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camurillo\Desktop\"/>
    </mc:Choice>
  </mc:AlternateContent>
  <xr:revisionPtr revIDLastSave="0" documentId="13_ncr:1_{187E7ED1-E0B8-4DBD-BA5A-958439872752}" xr6:coauthVersionLast="41" xr6:coauthVersionMax="41" xr10:uidLastSave="{00000000-0000-0000-0000-000000000000}"/>
  <bookViews>
    <workbookView xWindow="-108" yWindow="-108" windowWidth="23256" windowHeight="12576" tabRatio="820" activeTab="3" xr2:uid="{00000000-000D-0000-FFFF-FFFF00000000}"/>
  </bookViews>
  <sheets>
    <sheet name="Menú" sheetId="1" r:id="rId1"/>
    <sheet name="Lista de indicadores" sheetId="2" r:id="rId2"/>
    <sheet name="Información de la subvención" sheetId="4" r:id="rId3"/>
    <sheet name="Introducción de datos" sheetId="3"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1"/>
    <externalReference r:id="rId12"/>
  </externalReferences>
  <definedNames>
    <definedName name="__xlfn_COMPOUNDVALUE">NA()</definedName>
    <definedName name="__xlfn_CUBEKPIMEMBER">NA()</definedName>
    <definedName name="__xlfn_CUBEMEMBER">NA()</definedName>
    <definedName name="__xlfn_CUBERANKEDMEMBER">NA()</definedName>
    <definedName name="__xlfn_CUBESET">NA()</definedName>
    <definedName name="__xlfn_CUBEVALUE">NA()</definedName>
    <definedName name="Afganistán" localSheetId="0">Countries</definedName>
    <definedName name="Afganistán">Countries</definedName>
    <definedName name="_xlnm.Print_Area" localSheetId="8">Acciones!$A$1:$L$43</definedName>
    <definedName name="_xlnm.Print_Area" localSheetId="4">Financiamiento!$A$2:$L$32</definedName>
    <definedName name="_xlnm.Print_Area" localSheetId="5">Gestión!$A$1:$L$35</definedName>
    <definedName name="_xlnm.Print_Area" localSheetId="2">'Información de la subvención'!$A$1:$K$15</definedName>
    <definedName name="_xlnm.Print_Area" localSheetId="3">'Introducción de datos'!$A$1:$Q$175</definedName>
    <definedName name="_xlnm.Print_Area" localSheetId="6">Programatico!$A$1:$Q$26</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datos'!$B$25:$J$69</definedName>
    <definedName name="PrintDataM">'Introducción de datos'!$B$71:$H$123</definedName>
    <definedName name="PrintF">Financiamiento!$A$2:$K$32</definedName>
    <definedName name="PrintGD">'Información de la subvención'!$A$2:$J$13</definedName>
    <definedName name="PrintM" localSheetId="8">Acciones!$A$2:$L$6</definedName>
    <definedName name="PrintM">Gestión!$A$2:$L$37</definedName>
    <definedName name="PrintP">Programatico!$A$2:$P$26</definedName>
    <definedName name="PrintR">Recomendaciones!$A$2:$N$41</definedName>
    <definedName name="Rating">Setup!$G$9:$G$14</definedName>
    <definedName name="Round">Setup!$D$9:$D$21</definedName>
  </definedNames>
  <calcPr calcId="181029"/>
  <fileRecoveryPr autoRecover="0"/>
</workbook>
</file>

<file path=xl/calcChain.xml><?xml version="1.0" encoding="utf-8"?>
<calcChain xmlns="http://schemas.openxmlformats.org/spreadsheetml/2006/main">
  <c r="E102" i="3" l="1"/>
  <c r="D53" i="3"/>
  <c r="D41" i="3"/>
  <c r="G120" i="3" l="1"/>
  <c r="G119" i="3"/>
  <c r="I116" i="3" l="1"/>
  <c r="D58" i="3" l="1"/>
  <c r="E56" i="3"/>
  <c r="E52" i="3" l="1"/>
  <c r="C39" i="3" l="1"/>
  <c r="C43" i="3"/>
  <c r="C42" i="3"/>
  <c r="C41" i="3"/>
  <c r="C40" i="3"/>
  <c r="F25" i="7" l="1"/>
  <c r="E25" i="7"/>
  <c r="F24" i="7"/>
  <c r="E24" i="7"/>
  <c r="F23" i="7"/>
  <c r="E23" i="7"/>
  <c r="F22" i="7"/>
  <c r="E22" i="7"/>
  <c r="F21" i="7"/>
  <c r="E21" i="7"/>
  <c r="F20" i="7"/>
  <c r="E20" i="7"/>
  <c r="D12" i="8" l="1"/>
  <c r="I37" i="6"/>
  <c r="E53" i="3"/>
  <c r="G122" i="3"/>
  <c r="G121" i="3"/>
  <c r="G118" i="3"/>
  <c r="I121" i="3"/>
  <c r="K121" i="3" s="1"/>
  <c r="L38" i="6" s="1"/>
  <c r="G116" i="3"/>
  <c r="G114" i="3"/>
  <c r="I114" i="3" s="1"/>
  <c r="G115" i="3"/>
  <c r="I115" i="3" s="1"/>
  <c r="G113" i="3"/>
  <c r="I113" i="3" s="1"/>
  <c r="G23" i="7"/>
  <c r="H168" i="3"/>
  <c r="H170" i="3"/>
  <c r="H172" i="3"/>
  <c r="E54" i="3"/>
  <c r="E57" i="3"/>
  <c r="B11" i="4"/>
  <c r="G13" i="4"/>
  <c r="I40" i="6"/>
  <c r="G117" i="3"/>
  <c r="I117" i="3" s="1"/>
  <c r="I39" i="6"/>
  <c r="B2" i="9"/>
  <c r="B3" i="9"/>
  <c r="C3" i="9"/>
  <c r="J3" i="9"/>
  <c r="L3" i="9"/>
  <c r="B4" i="9"/>
  <c r="C4" i="9"/>
  <c r="E4" i="9"/>
  <c r="J4" i="9"/>
  <c r="D5" i="9"/>
  <c r="K5" i="9"/>
  <c r="B34" i="9"/>
  <c r="B36" i="9"/>
  <c r="B2" i="8"/>
  <c r="B3" i="8"/>
  <c r="C3" i="8"/>
  <c r="L3" i="8"/>
  <c r="M3" i="8"/>
  <c r="B4" i="8"/>
  <c r="C4" i="8"/>
  <c r="E4" i="8"/>
  <c r="L4" i="8"/>
  <c r="M4" i="8"/>
  <c r="E5" i="8"/>
  <c r="L5" i="8"/>
  <c r="M5" i="8"/>
  <c r="D11" i="8"/>
  <c r="D13" i="8"/>
  <c r="D14" i="8"/>
  <c r="D19" i="8"/>
  <c r="D20" i="8"/>
  <c r="D21" i="8"/>
  <c r="D22" i="8"/>
  <c r="D23" i="8"/>
  <c r="D24" i="8"/>
  <c r="D29" i="8"/>
  <c r="D30" i="8"/>
  <c r="D31" i="8"/>
  <c r="D32" i="8"/>
  <c r="D33" i="8"/>
  <c r="D34" i="8"/>
  <c r="D35" i="8"/>
  <c r="D36" i="8"/>
  <c r="D37" i="8"/>
  <c r="D38" i="8"/>
  <c r="D39" i="8"/>
  <c r="D40" i="8"/>
  <c r="D41" i="8"/>
  <c r="B2" i="7"/>
  <c r="B3" i="7"/>
  <c r="C3" i="7"/>
  <c r="O3" i="7"/>
  <c r="Q3" i="7"/>
  <c r="B4" i="7"/>
  <c r="C4" i="7"/>
  <c r="E4" i="7"/>
  <c r="P4" i="7"/>
  <c r="Q4" i="7"/>
  <c r="D5" i="7"/>
  <c r="P5" i="7"/>
  <c r="Q5" i="7"/>
  <c r="B8" i="7"/>
  <c r="F8" i="7"/>
  <c r="L8" i="7"/>
  <c r="B20" i="7"/>
  <c r="B21" i="7"/>
  <c r="T21" i="7"/>
  <c r="U21" i="7"/>
  <c r="V21" i="7"/>
  <c r="W21" i="7"/>
  <c r="X21" i="7"/>
  <c r="AB21" i="7"/>
  <c r="AC21" i="7"/>
  <c r="AD21" i="7"/>
  <c r="AE21" i="7"/>
  <c r="AF21" i="7"/>
  <c r="B22" i="7"/>
  <c r="T22" i="7"/>
  <c r="U22" i="7"/>
  <c r="V22" i="7"/>
  <c r="W22" i="7"/>
  <c r="X22" i="7"/>
  <c r="Z22" i="7"/>
  <c r="AA22" i="7"/>
  <c r="B23" i="7"/>
  <c r="T23" i="7"/>
  <c r="U23" i="7"/>
  <c r="V23" i="7"/>
  <c r="W23" i="7"/>
  <c r="X23" i="7"/>
  <c r="Z23" i="7"/>
  <c r="AA23" i="7"/>
  <c r="AE23" i="7" s="1"/>
  <c r="B24" i="7"/>
  <c r="T24" i="7"/>
  <c r="U24" i="7"/>
  <c r="V24" i="7"/>
  <c r="W24" i="7"/>
  <c r="X24" i="7"/>
  <c r="Z24" i="7"/>
  <c r="AA24" i="7"/>
  <c r="AB24" i="7" s="1"/>
  <c r="B25" i="7"/>
  <c r="T25" i="7"/>
  <c r="U25" i="7"/>
  <c r="V25" i="7"/>
  <c r="W25" i="7"/>
  <c r="X25" i="7"/>
  <c r="B26" i="7"/>
  <c r="T26" i="7"/>
  <c r="U26" i="7"/>
  <c r="V26" i="7"/>
  <c r="W26" i="7"/>
  <c r="X26" i="7"/>
  <c r="B2" i="6"/>
  <c r="B3" i="6"/>
  <c r="C3" i="6"/>
  <c r="J3" i="6"/>
  <c r="L3" i="6"/>
  <c r="B7" i="6" s="1"/>
  <c r="B4" i="6"/>
  <c r="C4" i="6"/>
  <c r="E4" i="6"/>
  <c r="J4" i="6"/>
  <c r="L4" i="6"/>
  <c r="D5" i="6"/>
  <c r="K5" i="6"/>
  <c r="L5" i="6"/>
  <c r="B26" i="6"/>
  <c r="H30" i="6"/>
  <c r="I30" i="6"/>
  <c r="K30" i="6"/>
  <c r="I31" i="6"/>
  <c r="I32" i="6"/>
  <c r="I33" i="6"/>
  <c r="K33" i="6"/>
  <c r="I34" i="6"/>
  <c r="K34" i="6"/>
  <c r="I35" i="6"/>
  <c r="K35" i="6"/>
  <c r="I36" i="6"/>
  <c r="I38" i="6"/>
  <c r="K38" i="6"/>
  <c r="B2" i="5"/>
  <c r="B3" i="5"/>
  <c r="C3" i="5"/>
  <c r="I3" i="5"/>
  <c r="B23" i="5" s="1"/>
  <c r="K3" i="5"/>
  <c r="B4" i="5"/>
  <c r="C4" i="5"/>
  <c r="E4" i="5"/>
  <c r="I4" i="5"/>
  <c r="K4" i="5"/>
  <c r="D5" i="5"/>
  <c r="J5" i="5"/>
  <c r="K5" i="5"/>
  <c r="H28" i="5"/>
  <c r="J28" i="5"/>
  <c r="K28" i="5"/>
  <c r="H29" i="5"/>
  <c r="J29" i="5"/>
  <c r="K29" i="5"/>
  <c r="H30" i="5"/>
  <c r="J30" i="5"/>
  <c r="K30" i="5"/>
  <c r="B31" i="3"/>
  <c r="B32" i="3"/>
  <c r="C33" i="3"/>
  <c r="D33" i="3" s="1"/>
  <c r="I33" i="3"/>
  <c r="P35" i="3" s="1"/>
  <c r="J33" i="3"/>
  <c r="P49" i="3" s="1"/>
  <c r="K33" i="3"/>
  <c r="P50" i="3" s="1"/>
  <c r="L33" i="3"/>
  <c r="L35" i="3" s="1"/>
  <c r="M33" i="3"/>
  <c r="M35" i="3" s="1"/>
  <c r="N33" i="3"/>
  <c r="N35" i="3" s="1"/>
  <c r="C34" i="3"/>
  <c r="D34" i="3"/>
  <c r="E34" i="3"/>
  <c r="F34" i="3" s="1"/>
  <c r="G34" i="3"/>
  <c r="H34" i="3"/>
  <c r="I34" i="3"/>
  <c r="J34" i="3"/>
  <c r="K34" i="3"/>
  <c r="L34" i="3"/>
  <c r="M34" i="3"/>
  <c r="N34" i="3"/>
  <c r="C38" i="3"/>
  <c r="D38" i="3"/>
  <c r="E51" i="3"/>
  <c r="E58" i="3"/>
  <c r="G76" i="3"/>
  <c r="G77" i="3"/>
  <c r="F20" i="8"/>
  <c r="E83" i="3"/>
  <c r="E93" i="3"/>
  <c r="E94" i="3"/>
  <c r="C103" i="3"/>
  <c r="D103" i="3" s="1"/>
  <c r="E103" i="3" s="1"/>
  <c r="F103" i="3" s="1"/>
  <c r="G103" i="3" s="1"/>
  <c r="H103" i="3" s="1"/>
  <c r="I103" i="3" s="1"/>
  <c r="J103" i="3" s="1"/>
  <c r="K103" i="3" s="1"/>
  <c r="L103" i="3" s="1"/>
  <c r="M103" i="3" s="1"/>
  <c r="N103" i="3" s="1"/>
  <c r="C104" i="3"/>
  <c r="D104" i="3" s="1"/>
  <c r="E104" i="3" s="1"/>
  <c r="F104" i="3" s="1"/>
  <c r="G104" i="3" s="1"/>
  <c r="H104" i="3" s="1"/>
  <c r="I104" i="3" s="1"/>
  <c r="J104" i="3" s="1"/>
  <c r="K104" i="3" s="1"/>
  <c r="L104" i="3" s="1"/>
  <c r="M104" i="3" s="1"/>
  <c r="N104" i="3" s="1"/>
  <c r="C105" i="3"/>
  <c r="D105" i="3"/>
  <c r="E105" i="3" s="1"/>
  <c r="F105" i="3" s="1"/>
  <c r="G105" i="3" s="1"/>
  <c r="H105" i="3" s="1"/>
  <c r="I105" i="3" s="1"/>
  <c r="J105" i="3" s="1"/>
  <c r="K105" i="3" s="1"/>
  <c r="L105" i="3" s="1"/>
  <c r="M105" i="3" s="1"/>
  <c r="N105" i="3" s="1"/>
  <c r="H167" i="3"/>
  <c r="I167" i="3"/>
  <c r="J167" i="3"/>
  <c r="K167" i="3"/>
  <c r="L167" i="3"/>
  <c r="M167" i="3"/>
  <c r="N167" i="3"/>
  <c r="O167" i="3"/>
  <c r="P167" i="3"/>
  <c r="Q167" i="3"/>
  <c r="B168" i="3"/>
  <c r="E168" i="3"/>
  <c r="F168" i="3"/>
  <c r="I168" i="3"/>
  <c r="J168" i="3"/>
  <c r="K168" i="3"/>
  <c r="L168" i="3"/>
  <c r="M168" i="3"/>
  <c r="N168" i="3"/>
  <c r="O168" i="3"/>
  <c r="P168" i="3"/>
  <c r="Q168" i="3"/>
  <c r="H169" i="3"/>
  <c r="I169" i="3"/>
  <c r="J169" i="3"/>
  <c r="K169" i="3"/>
  <c r="L169" i="3"/>
  <c r="M169" i="3"/>
  <c r="N169" i="3"/>
  <c r="O169" i="3"/>
  <c r="P169" i="3"/>
  <c r="Q169" i="3"/>
  <c r="B170" i="3"/>
  <c r="E170" i="3"/>
  <c r="F170" i="3"/>
  <c r="I170" i="3"/>
  <c r="J170" i="3"/>
  <c r="K170" i="3"/>
  <c r="L170" i="3"/>
  <c r="M170" i="3"/>
  <c r="N170" i="3"/>
  <c r="O170" i="3"/>
  <c r="P170" i="3"/>
  <c r="Q170" i="3"/>
  <c r="H171" i="3"/>
  <c r="I171" i="3"/>
  <c r="J171" i="3"/>
  <c r="K171" i="3"/>
  <c r="L171" i="3"/>
  <c r="M171" i="3"/>
  <c r="N171" i="3"/>
  <c r="O171" i="3"/>
  <c r="P171" i="3"/>
  <c r="Q171" i="3"/>
  <c r="B172" i="3"/>
  <c r="E172" i="3"/>
  <c r="F172" i="3"/>
  <c r="I172" i="3"/>
  <c r="J172" i="3"/>
  <c r="K172" i="3"/>
  <c r="L172" i="3"/>
  <c r="M172" i="3"/>
  <c r="N172" i="3"/>
  <c r="O172" i="3"/>
  <c r="P172" i="3"/>
  <c r="Q172" i="3"/>
  <c r="H173" i="3"/>
  <c r="I173" i="3"/>
  <c r="J173" i="3"/>
  <c r="K173" i="3"/>
  <c r="L173" i="3"/>
  <c r="M173" i="3"/>
  <c r="N173" i="3"/>
  <c r="O173" i="3"/>
  <c r="P173" i="3"/>
  <c r="Q173" i="3"/>
  <c r="B3" i="4"/>
  <c r="B3" i="10"/>
  <c r="B6" i="4"/>
  <c r="F6" i="4"/>
  <c r="B9" i="4"/>
  <c r="D9" i="4"/>
  <c r="G9" i="4"/>
  <c r="I9" i="4"/>
  <c r="B10" i="4"/>
  <c r="D10" i="4"/>
  <c r="G10" i="4"/>
  <c r="D11" i="4"/>
  <c r="G11" i="4"/>
  <c r="I11" i="4"/>
  <c r="B12" i="4"/>
  <c r="G12" i="4"/>
  <c r="B13" i="4"/>
  <c r="B2" i="2"/>
  <c r="B8" i="2"/>
  <c r="B9" i="2"/>
  <c r="B10" i="2"/>
  <c r="B11" i="2"/>
  <c r="B19" i="2"/>
  <c r="B20" i="2"/>
  <c r="B21" i="2"/>
  <c r="B22" i="2"/>
  <c r="B23" i="2"/>
  <c r="B25" i="2"/>
  <c r="B2" i="1"/>
  <c r="B4" i="1"/>
  <c r="H4" i="1"/>
  <c r="D47" i="3"/>
  <c r="H15" i="6"/>
  <c r="I35" i="3"/>
  <c r="E55" i="3"/>
  <c r="H8" i="5"/>
  <c r="C47" i="3"/>
  <c r="G33" i="3"/>
  <c r="P33" i="3" s="1"/>
  <c r="H33" i="3"/>
  <c r="P34" i="3" s="1"/>
  <c r="AD24" i="7"/>
  <c r="AF24" i="7"/>
  <c r="AE24" i="7"/>
  <c r="AB23" i="7"/>
  <c r="AC23" i="7"/>
  <c r="AF23" i="7"/>
  <c r="AE22" i="7"/>
  <c r="AD22" i="7"/>
  <c r="AF22" i="7"/>
  <c r="AB22" i="7"/>
  <c r="AC22" i="7"/>
  <c r="J38" i="6"/>
  <c r="I118" i="3"/>
  <c r="J35" i="6" s="1"/>
  <c r="C35" i="3"/>
  <c r="E20" i="8"/>
  <c r="J30" i="6" l="1"/>
  <c r="K113" i="3"/>
  <c r="L30" i="6" s="1"/>
  <c r="H23" i="5"/>
  <c r="G24" i="7"/>
  <c r="G25" i="7"/>
  <c r="G21" i="7"/>
  <c r="G22" i="7"/>
  <c r="H35" i="3"/>
  <c r="J35" i="3"/>
  <c r="K35" i="3"/>
  <c r="B8" i="5"/>
  <c r="H7" i="6"/>
  <c r="G20" i="7"/>
  <c r="P30" i="3"/>
  <c r="D35" i="3"/>
  <c r="E33" i="3"/>
  <c r="P31" i="3" s="1"/>
  <c r="K116" i="3"/>
  <c r="L33" i="6" s="1"/>
  <c r="J33" i="6"/>
  <c r="J34" i="6"/>
  <c r="K117" i="3"/>
  <c r="L34" i="6" s="1"/>
  <c r="K118" i="3"/>
  <c r="L35" i="6" s="1"/>
  <c r="O51" i="3"/>
  <c r="P29" i="3"/>
  <c r="G35" i="3"/>
  <c r="B15" i="6"/>
  <c r="AC24" i="7"/>
  <c r="AD23" i="7"/>
  <c r="H26" i="6"/>
  <c r="F33" i="3" l="1"/>
  <c r="F47" i="3" s="1"/>
  <c r="E35" i="3"/>
  <c r="P32" i="3" l="1"/>
  <c r="F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6" authorId="0" shapeId="0" xr:uid="{00000000-0006-0000-0300-000001000000}">
      <text>
        <r>
          <rPr>
            <b/>
            <sz val="8"/>
            <color indexed="32"/>
            <rFont val="Tahoma"/>
            <family val="2"/>
          </rPr>
          <t xml:space="preserve">Si los datos no están disponibles, no introduzca ceros; deje las celdas de la tabla en blanco. </t>
        </r>
      </text>
    </comment>
    <comment ref="B77" authorId="0" shapeId="0" xr:uid="{00000000-0006-0000-0300-000002000000}">
      <text>
        <r>
          <rPr>
            <b/>
            <sz val="8"/>
            <color indexed="32"/>
            <rFont val="Tahoma"/>
            <family val="2"/>
          </rPr>
          <t>Si los datos no están disponibles, no introduzca ceros; deje las celdas de esta tabla en blanco.</t>
        </r>
      </text>
    </comment>
  </commentList>
</comments>
</file>

<file path=xl/sharedStrings.xml><?xml version="1.0" encoding="utf-8"?>
<sst xmlns="http://schemas.openxmlformats.org/spreadsheetml/2006/main" count="551" uniqueCount="385">
  <si>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</si>
  <si>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</si>
  <si>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</si>
  <si>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</si>
  <si>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</si>
  <si>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</si>
  <si>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</si>
  <si>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</si>
  <si>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</si>
  <si>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</si>
  <si>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</si>
  <si>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</si>
  <si>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</si>
  <si>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</si>
  <si>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</si>
  <si>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</si>
  <si>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P1</t>
  </si>
  <si>
    <t>P2</t>
  </si>
  <si>
    <t>P3</t>
  </si>
  <si>
    <t>P4</t>
  </si>
  <si>
    <t>P5</t>
  </si>
  <si>
    <t>P6</t>
  </si>
  <si>
    <t>P7</t>
  </si>
  <si>
    <t>P8</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</si>
  <si>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</si>
  <si>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</si>
  <si>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</si>
  <si>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</si>
  <si>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</si>
  <si>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</si>
  <si>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</si>
  <si>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</si>
  <si>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</si>
  <si>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</si>
  <si>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</si>
  <si>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</si>
  <si>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</si>
  <si>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</si>
  <si>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</si>
  <si>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</si>
  <si>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</si>
  <si>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</si>
  <si>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</si>
  <si>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</si>
  <si>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</si>
  <si>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</si>
  <si>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</si>
  <si>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</si>
  <si>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CA (Crown Agents)</t>
  </si>
  <si>
    <t>Antigua y Barbuda</t>
  </si>
  <si>
    <t>MALARIA</t>
  </si>
  <si>
    <t>€</t>
  </si>
  <si>
    <t>Ronda 2</t>
  </si>
  <si>
    <t>A2</t>
  </si>
  <si>
    <t>DEL (Deloitte)</t>
  </si>
  <si>
    <t>Antillas Holandesas</t>
  </si>
  <si>
    <t>Ronda 3</t>
  </si>
  <si>
    <t>RCC</t>
  </si>
  <si>
    <t>B1</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</si>
  <si>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</si>
  <si>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</si>
  <si>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</si>
  <si>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</si>
  <si>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</si>
  <si>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</si>
  <si>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</si>
  <si>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</si>
  <si>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</si>
  <si>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</si>
  <si>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</si>
  <si>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</si>
  <si>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</si>
  <si>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</si>
  <si>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</si>
  <si>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</si>
  <si>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</si>
  <si>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</si>
  <si>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</si>
  <si>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</si>
  <si>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</si>
  <si>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</si>
  <si>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</si>
  <si>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</si>
  <si>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</si>
  <si>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PwC (PricewaterhouseCoopers)</t>
  </si>
  <si>
    <t>AZT</t>
  </si>
  <si>
    <t>Bolivia</t>
  </si>
  <si>
    <t>Ronda 10</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</si>
  <si>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</si>
  <si>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</si>
  <si>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</si>
  <si>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</si>
  <si>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</si>
  <si>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</si>
  <si>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</si>
  <si>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</si>
  <si>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</si>
  <si>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</si>
  <si>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</si>
  <si>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</si>
  <si>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</si>
  <si>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</si>
  <si>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</si>
  <si>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</si>
  <si>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</si>
  <si>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</si>
  <si>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</si>
  <si>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</si>
  <si>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</si>
  <si>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</si>
  <si>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</si>
  <si>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</si>
  <si>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</si>
  <si>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</si>
  <si>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</si>
  <si>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</si>
  <si>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</si>
  <si>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</si>
  <si>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</si>
  <si>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</si>
  <si>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</si>
  <si>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</si>
  <si>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</si>
  <si>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</si>
  <si>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</si>
  <si>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</si>
  <si>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</si>
  <si>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</si>
  <si>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</si>
  <si>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Indicadores Financieros</t>
  </si>
  <si>
    <t>Nombre:</t>
  </si>
  <si>
    <t>Definición</t>
  </si>
  <si>
    <t>Mediciones</t>
  </si>
  <si>
    <t>Fuentes de información</t>
  </si>
  <si>
    <r>
      <t xml:space="preserve">Presupuesto acumulado: </t>
    </r>
    <r>
      <rPr>
        <sz val="11"/>
        <color indexed="8"/>
        <rFont val="Arial"/>
        <family val="2"/>
      </rPr>
      <t xml:space="preserve">Importe del presupuesto de la subvención desde el periodo uno (trimestral, cuatrimestral o semestral) de la fase actual, hasta el periodo de referencia del cuadro de mando inclusive.
</t>
    </r>
    <r>
      <rPr>
        <b/>
        <sz val="11"/>
        <color indexed="8"/>
        <rFont val="Arial"/>
        <family val="2"/>
      </rPr>
      <t xml:space="preserve">Desembolsos acumulados realizados por el Fondo Mundial: </t>
    </r>
    <r>
      <rPr>
        <sz val="11"/>
        <color indexed="8"/>
        <rFont val="Arial"/>
        <family val="2"/>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</si>
  <si>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</si>
  <si>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</si>
  <si>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rPr>
      <t xml:space="preserve"> Suma del presupuesto de la subvención por Objetivo, desde el periodo uno de la fase actual hasta el periodo de referencia del cuadro de mando inclusive. 
</t>
    </r>
    <r>
      <rPr>
        <b/>
        <sz val="11"/>
        <color indexed="8"/>
        <rFont val="Arial"/>
        <family val="2"/>
      </rPr>
      <t>Gasto acumulado por objetivo:</t>
    </r>
    <r>
      <rPr>
        <sz val="11"/>
        <color indexed="8"/>
        <rFont val="Arial"/>
        <family val="2"/>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</si>
  <si>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</si>
  <si>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rPr>
      <t xml:space="preserve"> Suma de las cantidades transferidas por el Fondo Mundial al RP o abonadas directamente a los proveedores (p. ej. medicamentos, equipo, mosquiteras),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Desembolso realizado por el Fondo Mundial: Periodo de referencia:</t>
    </r>
    <r>
      <rPr>
        <sz val="11"/>
        <color indexed="8"/>
        <rFont val="Arial"/>
        <family val="2"/>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rPr>
      <t>Desembolsos y gastos del RP:</t>
    </r>
    <r>
      <rPr>
        <sz val="11"/>
        <color indexed="8"/>
        <rFont val="Arial"/>
        <family val="2"/>
      </rPr>
      <t xml:space="preserve"> </t>
    </r>
    <r>
      <rPr>
        <b/>
        <sz val="11"/>
        <color indexed="8"/>
        <rFont val="Arial"/>
        <family val="2"/>
      </rPr>
      <t>Antes de este periodo de referencia:</t>
    </r>
    <r>
      <rPr>
        <sz val="11"/>
        <color indexed="8"/>
        <rFont val="Arial"/>
        <family val="2"/>
      </rPr>
      <t xml:space="preserve"> Total de fondos registrados como gastados por el RP y/o desembolsados a los subreceptores hasta, </t>
    </r>
    <r>
      <rPr>
        <b/>
        <i/>
        <sz val="11"/>
        <color indexed="8"/>
        <rFont val="Arial"/>
        <family val="2"/>
      </rPr>
      <t xml:space="preserve">aunque sin incluirlo, </t>
    </r>
    <r>
      <rPr>
        <sz val="11"/>
        <color indexed="8"/>
        <rFont val="Arial"/>
        <family val="2"/>
      </rPr>
      <t>el periodo de referencia del cuadro de mando.</t>
    </r>
    <r>
      <rPr>
        <b/>
        <sz val="11"/>
        <color indexed="8"/>
        <rFont val="Arial"/>
        <family val="2"/>
      </rPr>
      <t xml:space="preserve"> Desembolsos y gastos del RP: Periodo de referencia:</t>
    </r>
    <r>
      <rPr>
        <sz val="11"/>
        <color indexed="8"/>
        <rFont val="Arial"/>
        <family val="2"/>
      </rPr>
      <t xml:space="preserve"> Total de fondos registrados como gastados por el RP y/o desembolsados a los subreceptores durante el periodo de referencia del cuadro de mando.
</t>
    </r>
    <r>
      <rPr>
        <b/>
        <sz val="11"/>
        <color indexed="8"/>
        <rFont val="Arial"/>
        <family val="2"/>
      </rPr>
      <t xml:space="preserve">Desembolsos a los subreceptores: Antes de este periodo de referencia: </t>
    </r>
    <r>
      <rPr>
        <sz val="11"/>
        <color indexed="8"/>
        <rFont val="Arial"/>
        <family val="2"/>
      </rPr>
      <t xml:space="preserve">El importe total transferido por el RP a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 xml:space="preserve">Desembolsos a los subreceptores: Periodo de referencia: </t>
    </r>
    <r>
      <rPr>
        <sz val="11"/>
        <color indexed="8"/>
        <rFont val="Arial"/>
        <family val="2"/>
      </rPr>
      <t xml:space="preserve">El importe total transferido por el RP a los subreceptores en el periodo de referencia del cuadro de mando.
</t>
    </r>
    <r>
      <rPr>
        <b/>
        <sz val="11"/>
        <color indexed="8"/>
        <rFont val="Arial"/>
        <family val="2"/>
      </rPr>
      <t xml:space="preserve">Gastos de los subreceptores: Antes de este periodo de referencia: </t>
    </r>
    <r>
      <rPr>
        <sz val="11"/>
        <color indexed="8"/>
        <rFont val="Arial"/>
        <family val="2"/>
      </rPr>
      <t xml:space="preserve">El importe de todos los gastos registrados por los subreceptores, hasta, </t>
    </r>
    <r>
      <rPr>
        <b/>
        <i/>
        <sz val="11"/>
        <color indexed="8"/>
        <rFont val="Arial"/>
        <family val="2"/>
      </rPr>
      <t>aunque sin incluirlo,</t>
    </r>
    <r>
      <rPr>
        <sz val="11"/>
        <color indexed="8"/>
        <rFont val="Arial"/>
        <family val="2"/>
      </rPr>
      <t xml:space="preserve"> el periodo de referencia del cuadro de mando. </t>
    </r>
    <r>
      <rPr>
        <b/>
        <sz val="11"/>
        <color indexed="8"/>
        <rFont val="Arial"/>
        <family val="2"/>
      </rPr>
      <t>Gastos de los subreceptores: Periodo de referencia:</t>
    </r>
    <r>
      <rPr>
        <sz val="11"/>
        <color indexed="8"/>
        <rFont val="Arial"/>
        <family val="2"/>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</si>
  <si>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rPr>
      <t>aunque sin incluirlo,</t>
    </r>
    <r>
      <rPr>
        <sz val="11"/>
        <color indexed="8"/>
        <rFont val="Arial"/>
        <family val="2"/>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</si>
  <si>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</si>
  <si>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rPr>
      <t xml:space="preserve">Días que el desembolso ha tardado en llegar al RP – </t>
    </r>
    <r>
      <rPr>
        <sz val="11"/>
        <color indexed="8"/>
        <rFont val="Arial"/>
        <family val="2"/>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rPr>
      <t xml:space="preserve">Días que el desembolso ha tardado en llegar a los subreceptores – </t>
    </r>
    <r>
      <rPr>
        <sz val="11"/>
        <color indexed="8"/>
        <rFont val="Arial"/>
        <family val="2"/>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</si>
  <si>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</si>
  <si>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</si>
  <si>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</si>
  <si>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</si>
  <si>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</si>
  <si>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</si>
  <si>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</si>
  <si>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</si>
  <si>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</si>
  <si>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</si>
  <si>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rPr>
      <t xml:space="preserve">Identificados: </t>
    </r>
    <r>
      <rPr>
        <sz val="11"/>
        <color indexed="8"/>
        <rFont val="Arial"/>
        <family val="2"/>
      </rPr>
      <t xml:space="preserve">Número total de subreceptores potenciales identificados por el RP para la fase. </t>
    </r>
    <r>
      <rPr>
        <b/>
        <sz val="11"/>
        <color indexed="8"/>
        <rFont val="Arial"/>
        <family val="2"/>
      </rPr>
      <t xml:space="preserve">Evaluados: </t>
    </r>
    <r>
      <rPr>
        <sz val="11"/>
        <color indexed="8"/>
        <rFont val="Arial"/>
        <family val="2"/>
      </rPr>
      <t xml:space="preserve">Número total de subreceptores potenciales evaluados por el RP para determinar si cumplen los requisitos para actuar como subreceptores de la subvención. </t>
    </r>
    <r>
      <rPr>
        <b/>
        <sz val="11"/>
        <color indexed="8"/>
        <rFont val="Arial"/>
        <family val="2"/>
      </rPr>
      <t>Aprobados:</t>
    </r>
    <r>
      <rPr>
        <sz val="11"/>
        <color indexed="8"/>
        <rFont val="Arial"/>
        <family val="2"/>
      </rPr>
      <t xml:space="preserve"> Número total de subreceptores que han sido aprobados</t>
    </r>
    <r>
      <rPr>
        <b/>
        <sz val="11"/>
        <color indexed="8"/>
        <rFont val="Arial"/>
        <family val="2"/>
      </rPr>
      <t xml:space="preserve">. Firmados: </t>
    </r>
    <r>
      <rPr>
        <sz val="11"/>
        <color indexed="8"/>
        <rFont val="Arial"/>
        <family val="2"/>
      </rPr>
      <t xml:space="preserve">Número total de subreceptores que han firmado acuerdos o contratos con el RP en relación a la subvención. </t>
    </r>
    <r>
      <rPr>
        <b/>
        <sz val="11"/>
        <color indexed="8"/>
        <rFont val="Arial"/>
        <family val="2"/>
      </rPr>
      <t xml:space="preserve">Que reciben financiación: </t>
    </r>
    <r>
      <rPr>
        <sz val="11"/>
        <color indexed="8"/>
        <rFont val="Arial"/>
        <family val="2"/>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rPr>
      <t>no</t>
    </r>
    <r>
      <rPr>
        <sz val="11"/>
        <color indexed="8"/>
        <rFont val="Arial"/>
        <family val="2"/>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</si>
  <si>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</si>
  <si>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</si>
  <si>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</si>
  <si>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</si>
  <si>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</si>
  <si>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rPr>
      <t xml:space="preserve">aprobado: </t>
    </r>
    <r>
      <rPr>
        <sz val="11"/>
        <color indexed="8"/>
        <rFont val="Arial"/>
        <family val="2"/>
      </rPr>
      <t xml:space="preserve">Presupuesto total aprobado para las compras (categorías 4 y 5) </t>
    </r>
    <r>
      <rPr>
        <b/>
        <i/>
        <sz val="11"/>
        <color indexed="8"/>
        <rFont val="Arial"/>
        <family val="2"/>
      </rPr>
      <t>para la fase completa</t>
    </r>
    <r>
      <rPr>
        <i/>
        <sz val="11"/>
        <color indexed="8"/>
        <rFont val="Arial"/>
        <family val="2"/>
      </rPr>
      <t xml:space="preserve"> </t>
    </r>
    <r>
      <rPr>
        <sz val="11"/>
        <color indexed="8"/>
        <rFont val="Arial"/>
        <family val="2"/>
      </rPr>
      <t xml:space="preserve">de la subvención. No incluye las sumas para honorarios, gastos de gestión, gastos operativos, etc.
</t>
    </r>
    <r>
      <rPr>
        <b/>
        <sz val="11"/>
        <color indexed="8"/>
        <rFont val="Arial"/>
        <family val="2"/>
      </rPr>
      <t>Obligaciones acumuladas:</t>
    </r>
    <r>
      <rPr>
        <sz val="11"/>
        <color indexed="8"/>
        <rFont val="Arial"/>
        <family val="2"/>
      </rPr>
      <t xml:space="preserve"> Total de todos los pedidos realizados y sumas de dinero comprometidas para estas compras por parte del RP </t>
    </r>
    <r>
      <rPr>
        <b/>
        <i/>
        <sz val="11"/>
        <color indexed="8"/>
        <rFont val="Arial"/>
        <family val="2"/>
      </rPr>
      <t xml:space="preserve">hasta </t>
    </r>
    <r>
      <rPr>
        <sz val="11"/>
        <color indexed="8"/>
        <rFont val="Arial"/>
        <family val="2"/>
      </rPr>
      <t xml:space="preserve">el periodo de referencia del cuadro de mando inclusive. Lo ideal es que, al final de la fase, el presupuesto iguale a las obligaciones.
</t>
    </r>
    <r>
      <rPr>
        <b/>
        <sz val="11"/>
        <color indexed="8"/>
        <rFont val="Arial"/>
        <family val="2"/>
      </rPr>
      <t>Gasto acumulado:</t>
    </r>
    <r>
      <rPr>
        <sz val="11"/>
        <color indexed="8"/>
        <rFont val="Arial"/>
        <family val="2"/>
      </rPr>
      <t xml:space="preserve"> Total del gasto real en las categorías 4 y 5 </t>
    </r>
    <r>
      <rPr>
        <b/>
        <i/>
        <sz val="11"/>
        <color indexed="8"/>
        <rFont val="Arial"/>
        <family val="2"/>
      </rPr>
      <t>hasta</t>
    </r>
    <r>
      <rPr>
        <sz val="11"/>
        <color indexed="8"/>
        <rFont val="Arial"/>
        <family val="2"/>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</si>
  <si>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</si>
  <si>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</si>
  <si>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</si>
  <si>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</si>
  <si>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</si>
  <si>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</si>
  <si>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</si>
  <si>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</si>
  <si>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</si>
  <si>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</si>
  <si>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</si>
  <si>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</si>
  <si>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</si>
  <si>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</si>
  <si>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</si>
  <si>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</si>
  <si>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Componente:</t>
  </si>
  <si>
    <t>TB</t>
  </si>
  <si>
    <t>Financiación total:</t>
  </si>
  <si>
    <t>Receptor Principal:</t>
  </si>
  <si>
    <t>Convocatoria:</t>
  </si>
  <si>
    <t>Ronda 9</t>
  </si>
  <si>
    <t>Fase:</t>
  </si>
  <si>
    <t>Fase 2</t>
  </si>
  <si>
    <t>Fecha de inicio (dd/mm/aa):</t>
  </si>
  <si>
    <t>Agente Local del Fondo:</t>
  </si>
  <si>
    <t xml:space="preserve">STI (Swiss Tropical Institute), </t>
  </si>
  <si>
    <t>Ultima calificación:</t>
  </si>
  <si>
    <t>A1</t>
  </si>
  <si>
    <t>Gerente de Cartera del Fondo:</t>
  </si>
  <si>
    <t>Periodo de referencia del que se informa</t>
  </si>
  <si>
    <t>Periodo:</t>
  </si>
  <si>
    <t>P12</t>
  </si>
  <si>
    <t>Desde:</t>
  </si>
  <si>
    <t>Hasta:</t>
  </si>
  <si>
    <t>Fecha de introducción de la información:</t>
  </si>
  <si>
    <t>Elaborado por:</t>
  </si>
  <si>
    <t>Información sobre los indicadores</t>
  </si>
  <si>
    <t>Introduzca los datos según el código de colores de las celdas</t>
  </si>
  <si>
    <t xml:space="preserve">Información financiera: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</si>
  <si>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</si>
  <si>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</si>
  <si>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</si>
  <si>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</si>
  <si>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</si>
  <si>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</si>
  <si>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</si>
  <si>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P9</t>
  </si>
  <si>
    <t>P10</t>
  </si>
  <si>
    <t>P11</t>
  </si>
  <si>
    <t>Presupuesto acumulado</t>
  </si>
  <si>
    <t>Desembolsos  acumulados</t>
  </si>
  <si>
    <t>Total</t>
  </si>
  <si>
    <t>F3: Desembolsos y gastos</t>
  </si>
  <si>
    <t>Anterior al periodo de referencia</t>
  </si>
  <si>
    <t>Periodo de referencia actual</t>
  </si>
  <si>
    <t>Desembolsado por el Fondo Mundial</t>
  </si>
  <si>
    <t>Desembolsado a los subreceptores</t>
  </si>
  <si>
    <t>Gastos de los subreceptores</t>
  </si>
  <si>
    <t>F4: Último ciclo de información y desembolso del RP</t>
  </si>
  <si>
    <t>Último desembolso de fondos: Número de días calendario</t>
  </si>
  <si>
    <t>(Días) esperados</t>
  </si>
  <si>
    <t>(Días) reales</t>
  </si>
  <si>
    <t>Días que el desembolso ha tardado en llegar al RP</t>
  </si>
  <si>
    <t xml:space="preserve">Días que el desembolso ha tardado en llegar a los subreceptores </t>
  </si>
  <si>
    <t>Información de gestión:</t>
  </si>
  <si>
    <t xml:space="preserve">     Introduzca los datos de gestión en todas las celdas azules.</t>
  </si>
  <si>
    <t>M1: Estado de las condiciones precedentes y acciones con fecha límite</t>
  </si>
  <si>
    <t>Cumplidas</t>
  </si>
  <si>
    <t>No cumplidas, aunque dentro de plazo</t>
  </si>
  <si>
    <t>No cumplidas y con el plazo vencido</t>
  </si>
  <si>
    <t>Condiciones precedentes</t>
  </si>
  <si>
    <t>Acciones con fecha límite</t>
  </si>
  <si>
    <t>M2: Estado de los principales puestos directivos del RP</t>
  </si>
  <si>
    <t>Planificados</t>
  </si>
  <si>
    <t>Cubiertos</t>
  </si>
  <si>
    <t>Vacantes</t>
  </si>
  <si>
    <t>Unidad de gestión de proyecto</t>
  </si>
  <si>
    <t xml:space="preserve">M3: Acuerdos contractuales (subreceptores) </t>
  </si>
  <si>
    <t>Identificados</t>
  </si>
  <si>
    <t>Evaluados</t>
  </si>
  <si>
    <t>Aprobados</t>
  </si>
  <si>
    <t>Firmados</t>
  </si>
  <si>
    <t>Que reciben financiación</t>
  </si>
  <si>
    <t>Subreceptores</t>
  </si>
  <si>
    <t>M4: Número de informes completos recibidos a tiempo</t>
  </si>
  <si>
    <t>Esperados</t>
  </si>
  <si>
    <t>Recibidos</t>
  </si>
  <si>
    <t>Pendientes</t>
  </si>
  <si>
    <t>Sub SR al SR</t>
  </si>
  <si>
    <t>M5: Presupuesto y compra de productos y equipo sanitario, medicamentos y productos farmacéuticos</t>
  </si>
  <si>
    <t>Presupuesto aprobado*</t>
  </si>
  <si>
    <t>Obligaciones</t>
  </si>
  <si>
    <t>Gastos</t>
  </si>
  <si>
    <t>Presupuesto aprobado acumulado*</t>
  </si>
  <si>
    <t>Obligaciones acumuladas</t>
  </si>
  <si>
    <t>Gastos acumulados</t>
  </si>
  <si>
    <t>M6: Diferencia entre existencias actuales y existencias de seguridad</t>
  </si>
  <si>
    <t>Componente</t>
  </si>
  <si>
    <t>Productos</t>
  </si>
  <si>
    <t>(8 = 6 - 7)
Diferencia entre existencias actuales y existencias de seguridad</t>
  </si>
  <si>
    <t>PASER</t>
  </si>
  <si>
    <t>Cicloserina 250mg</t>
  </si>
  <si>
    <t>Kanamicina 1gr</t>
  </si>
  <si>
    <t>Etionamida 250mg</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</si>
  <si>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</si>
  <si>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</si>
  <si>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</si>
  <si>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</si>
  <si>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</si>
  <si>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</si>
  <si>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</si>
  <si>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</si>
  <si>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</si>
  <si>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</si>
  <si>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</si>
  <si>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</si>
  <si>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</si>
  <si>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</si>
  <si>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</si>
  <si>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</si>
  <si>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</si>
  <si>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</si>
  <si>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</si>
  <si>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</si>
  <si>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</si>
  <si>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</si>
  <si>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</si>
  <si>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Último desembolso de fondos: Días calendario</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</si>
  <si>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</si>
  <si>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</si>
  <si>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</si>
  <si>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</si>
  <si>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</si>
  <si>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</si>
  <si>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</si>
  <si>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</si>
  <si>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</si>
  <si>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</si>
  <si>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</si>
  <si>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</si>
  <si>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</si>
  <si>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</si>
  <si>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</si>
  <si>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</si>
  <si>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</si>
  <si>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</si>
  <si>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</si>
  <si>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COMENTARIOS CME -MCP</t>
  </si>
  <si>
    <t>SLV-H-PLAN</t>
  </si>
  <si>
    <t>PLAN  INTERNACIONAL</t>
  </si>
  <si>
    <t>INNOVANDO SERVICIOS, REDUCIENDO RIESGOS, RENOVANDO VIDAS EN EL SALVADOR</t>
  </si>
  <si>
    <t>GRUPO JACOBS</t>
  </si>
  <si>
    <t xml:space="preserve">UCP/PLAN </t>
  </si>
  <si>
    <t>SR al RP</t>
  </si>
  <si>
    <t>% Y Número de personas HSH alcanzadas con el paquete básico de prevención de VIH</t>
  </si>
  <si>
    <t>% Y Número de personas TS alcanzadas con el paquete básico de prevención de VIH</t>
  </si>
  <si>
    <t>% Y Número de personas TRANS alcanzadas con el paquete básico de prevención de VIH</t>
  </si>
  <si>
    <t>TOP TEN</t>
  </si>
  <si>
    <t>NO TOP TEN</t>
  </si>
  <si>
    <t>CONDONES FEMENINOS (TS)</t>
  </si>
  <si>
    <t>(5)
Existencias actuales en el almacén central.</t>
  </si>
  <si>
    <t xml:space="preserve">(7)
Nivel de existencias de seguridad
(expresado en meses) </t>
  </si>
  <si>
    <t>No existieron condiciones precedentes</t>
  </si>
  <si>
    <t>CONDONES MASCULINOS (HSH)</t>
  </si>
  <si>
    <t>CONDONES MASCULINOS (TS)</t>
  </si>
  <si>
    <t>CONDONES MASCULINOS (TRANS)</t>
  </si>
  <si>
    <t>LUBRICANTES/TUBOS HSH</t>
  </si>
  <si>
    <t>LUBRICANTES/TUBOS TS</t>
  </si>
  <si>
    <t>LUBRICANTES/TUBOS TRANS</t>
  </si>
  <si>
    <t>LUBRICANTES/SACHETS HSH</t>
  </si>
  <si>
    <t>LUBRICANTES/SACHETS TS</t>
  </si>
  <si>
    <t>Días tardados en presentar el informe de progreso actualizado y solicitud de desembolso al ALF*</t>
  </si>
  <si>
    <t>Saldo en caja**</t>
  </si>
  <si>
    <t>(1)
Número minimo de productos por usuario  en promedio</t>
  </si>
  <si>
    <t xml:space="preserve">(3)
Número total de poblacion  atendidas </t>
  </si>
  <si>
    <t>(6 = 5 / 4)
Nivel de existencias de productos, expresado en meses, según numero de población atendida</t>
  </si>
  <si>
    <t>Los recursos estan contratados desde el primer semestre de la subvención</t>
  </si>
  <si>
    <t xml:space="preserve">% de TS que reciben una prueba para VIH durante el periodo de reporte y conoce su resultado </t>
  </si>
  <si>
    <t xml:space="preserve">% de TRANS que reciben una prueba para VIH durante el periodo de reporte y conoce su resultado </t>
  </si>
  <si>
    <t xml:space="preserve">(2)
Numero de productos entregados 
(por ciclo cerrado ) </t>
  </si>
  <si>
    <t>Modulos de la subvención</t>
  </si>
  <si>
    <t>F2: Presupuesto y gastos reales por modulo de la subvención</t>
  </si>
  <si>
    <t>Modulo 1: M&amp;E</t>
  </si>
  <si>
    <t>Modulo 2: Prevencion en HSH y Trans</t>
  </si>
  <si>
    <t>Modulo 3: Prevención en TS</t>
  </si>
  <si>
    <t>Modulo 4: Programa Administrativo</t>
  </si>
  <si>
    <t>Modulo 5: Cuidado y Tratamiento</t>
  </si>
  <si>
    <t>Los SR entregan al RP informe financiero y tecnico mensual, trimestral y semestral</t>
  </si>
  <si>
    <t>Obligacion: lo que ya esta en orden de compra.</t>
  </si>
  <si>
    <t xml:space="preserve">80% entre Plan y MINSAL EL 20% es PEPFAR. </t>
  </si>
  <si>
    <t>Trans 1126, de estas 60% Plan y 40% MINSAL</t>
  </si>
  <si>
    <t>Gasto RP</t>
  </si>
  <si>
    <t>% de HSH que reciben una prueba para VIH durante el periodo de reporte y conoce su resultado</t>
  </si>
  <si>
    <t>* Fuente de Información : Datos de ejecucion del 1 de enero al 31 de diciembre de 2018 - SIGPRO</t>
  </si>
  <si>
    <t>Jaime Briz De Felipe</t>
  </si>
  <si>
    <t>Compromisos al 31 de diciembre de 2018</t>
  </si>
  <si>
    <t>Se presento PU e informe mejorado el 1 de marzo de 2019, el retraso de 1 dia se debio a proceso de revisión de la informacion a ser enviada por Plan El Salvador.</t>
  </si>
  <si>
    <t>Obligaciones relacionadas al plan de cierre 2018</t>
  </si>
  <si>
    <t xml:space="preserve">El progreso alcanzado durante el   año 2018 permitió lograr las metas programáticas previstas, las cuales incluyeron  el ingreso de personas con CUIs registrados en el sistema SIGPRO.  Para el periodo reportado se alcanza un 99% de cumplimiento Enero-Diciembre 2018, obteniendo de cobertura 18,023 HSH.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se realizo segun lo estipulado en el marco de desempeño (96 condones masculinos, 7 tubos de lubricantes y 26 sobres de lubricante en sachet) para el cumplimiento de la meta y todas las entregas de los insumos fueron acompañadas de sesiones educativas.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Sumado a todo lo anterior se establecieron coordinaciones con las diferentes regiones de salud para facilitar el acceso de las poblaciones a los servicios de salud, se visitaron los lugares de concentración de usuarios HSH lo que facilitó el cumplimiento de la meta programática. Por otra parte, para acercar se los servicios a usuarios que no se podían acceder en horarios convencionales se ofrecieron servicios horarios accesibles para los usuarios, otro accion que contribuyo al logro de este indicador fue fortalecimiento de la vinculación de usuarios, realizandose coordinaciones efectivas con los médicos responsables de las unidades de salud o VICITS y navegadores de la Universidad del Valle de Guatemala,  para la recepción y atención inmediata de los usuarios. Asi mismo, estrategicamente se coordinó con algunas unidades de salud para el desarrollar jornadas de toma de prueba de VIH extramurales, lo que permitio realizar pruebas de VIH in-situ, esfuerzo que fue posible gracias a la coordinaciones con el Laboratorio Nacional de Referencia  y Universidad del Valle de Guatemala, para la recepción y procesamiento de muestras de VIH efectivas. Toda la informacion de estos paquetes de informacion esta digitada en nuestro sistema de monitoreo SIGPRO (Sistema Integral de Gestion de Proyectos) y se cuenta ademas, con el respaldo de los formularios correspondientes en fisico de recepcion por cada uno de los usuarios.
</t>
  </si>
  <si>
    <t>El progreso alcanzado durante el   año 2018 permitió lograr las metas programáticas previstas, las cuales incluyeron  el ingreso de personas con CUIs registrados en el sistema SIGPRO.  Para el periodo reportado se alcanza un 99% de cumplimiento Enero-Diciembre 2018, obteniendo de cobertura 9622 MTS.
Las personas alcanzadas  en este paquete básico fueron intervenidas a través de un paquete  de prevención que incluye:
1- Una Actividad de cambio de comportamiento.(abordajes cara a cara relacionados con la prevención del VIH y enfasis en la toma voluntaria para VIH).
2-En cada actividad realizada con el SR se entrego el kit de prevencion con insumos medicos, los insumos se entregaron en las siguientes cantidades: 266 condones masculinos, 15 tubos de lubricantes, 9 condones femeninos y 26 sobres de lubricante, cantidades reflejadas en el marco de desempeño.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Sumado a todo lo anterior, se establecieron coordinaciones con las diferentes regiones de salud para facilitar el acceso de las poblaciones a los servicios de salud, se coordinó en conjunto con las Unidades Comunitarias de Salud Familiar y VICITS a nivel nacional para el acompañamiento de usuarias en referencias efectivas. Coordinación con UCSF para el apoyo en el indicador de referencias efectivas.  Debido al nivel de violencia que el país atraviesa, se hizo un nuevo mapeo para considerar nuevas zonas de trabajo y hacer nuevos contactos para el cumplimiento de los indicadores.  Coordinaciones con el Laboratorio Nacional de Referencia para la recepción y procesamiento de muestras de VIH efectivas, esto con el apoyo de las unidades móviles del ministerio de salud. Coordinación con otros actores claves a nivel de gobiernos locales para la realización de jornadas de testeo a través de las unidades móviles de Plan. Toda la informacion de estos paquetes de informacion esta digitada en nuestro sistema de monitoreo SIGPRO (Sistema Integral de Gestion de Proyectos) y  se cuenta ademas, con el respaldo de los formularios correspondientes en fisico de recepcion por cada una de los usuarias.</t>
  </si>
  <si>
    <t>El progreso alcanzado durante el   año 2018 permitió lograr las metas programáticas previstas, las cuales incluyeron  el ingreso de personas con CUIs registrados en el sistema SIGPRO.  Para el periodo reportado se alcanza un 100% de cumplimiento Enero-Diciembre 2018, obteniendo de cobertura 1604 Mujeres Trans.
Las personas alcanzadas  en este paquete básico fueron intervenidas a través de un paquete  de prevención que incluye:
1- Una Actividad de cambio de comportamiento.(abordajes cara a cara relacionados con la prevención del VIH y enfasis en la toma voluntaria para VIH).
2- En cada actividad realizada con el SR se entrego el kit de prevencion con insumos medicos, los insumos se entregaron en las siguientes cantidades: 144 condones masculinos y 15 tubos de lubricantes, cantidades reflejadas en el marco de desempeño.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Sumado a todo lo anterior, se establecieron coordinaciones con las diferentes regiones de salud para facilitar el acceso de las poblaciones a los servicios de salud, se coordinó en conjunto con las Unidades Comunitarias de Salud Familiar y VICITS a nivel nacional para el acompañamiento de usuarias en referencias efectivas. El acompañamiento de los equipo de Plan en cada actividad con mujeres Trans facilitó el alcance de la meta en un tiempo menor al comprometido según POA. La identificación de mujeres trans lideresas de diferentes zonas de trabajo facilitó el acercamiento de las educadoras y equipo de Plan a mas usuarias. La visita casa por casa de las mujeres trans, permite un mayor acercamiento a la población, facilitó el acceso a los servicios de prevencion para el VIH y por ende el cumplimiento de la meta. La realización de rutas estratégicas para la optimización del recurso de unidad móvil permitió hacer mayor cantidad de abordajes diariamente, gracias al mapeo previo de las zonas. Para el año 2018 se alcanzaron un total de 906 referencias efectivas en usuarias de la poblacion Trans, desde los CCPI a las clinicas VICITS y otras USCF, las cuales fueron emitidas y acompañadas por los equipos de campo de los socios implementadores hacia los sevicios nacionales de salud, Clinicas VICITS y otras USCF con laboratorio para la toma de prueba de VIH y otras ITS. Toda la informacion de estos paquetes de informacion esta digitada en nuestro sistema de monitoreo SIGPRO (Sistema Integral de Gestion de Proyectos) y se cuenta ademas, con el respaldo de los formularios correspondientes en fisico de recepcion por cada uno de los usuarias.</t>
  </si>
  <si>
    <t xml:space="preserve">Los datos que se muestran corresponden al cumplimiento como país del año 2018 del indicador de toma de prueba para VIH en Población HSH y que conoce su resultado, el cual es un indicador compartido entre Plan, MINSAL y PEPFAR; por lo que el avance reportado es un avance de Plan Internacional y sus socios implementadores. Como denominador para este periodo se tiene una meta de 8117 con lo que se tiene un cumplimiento registrado en el SUMEVE de 7979 de post-consejerias lo que corresponde al 98% de la meta del año, sin embargo, adicionalmente hay 123 usuarios HSH que debido a su perfil de riesgo accesaron a prueba de VIH dos veces en el año y a quienes se les brindo post consejeria.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El 100 % de la informacion de testeo esta digitada en nuestro sistema de monitoreo SIGPRO (Sistema Integral de Gestion de Proyectos) y en el SUMEVE, se cuenta ademas, con el respaldo de los formularios correspondientes en fisico (FVIH - 01) de recepcion por cada uno de los usuarios.
</t>
  </si>
  <si>
    <t xml:space="preserve">Los datos que se muestran corresponden al cumplimiento como país del año 2018 del indicador de toma de prueba para VIH en Población MTS y que conoce su resultado, el cual es un indicador compartido entre Plan, MINSAL y PEPFAR; por lo que el avance reportado es un avance de Plan Internacional y sus socios implementadores. Como denominador para este periodo se tiene una meta de 4370 con lo que se tiene un cumplimiento registrado en el SUMEVE de 4354  de post-consejerias lo que corresponde al 99.6% de la meta del año, sin embargo, adicionalmente hay 15 usuarias MTS que debido a su perfil de riesgo accesaron a prueba de VIH dos veces en el año y a quienes se les brindo post consejeria.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El 100 % de la informacion de testeo esta digitada en nuestro sistema de monitoreo SIGPRO (Sistema Integral de Gestion de Proyectos) y en el SUMEVE, se cuenta ademas, con el respaldo de los formularios correspondientes en fisico (FVIH - 01) de recepcion por cada uno de los usuarios.
</t>
  </si>
  <si>
    <t>Los datos que se muestran corresponden al cumplimiento como país del año 2018 del indicador de toma de prueba para VIH en Población Trans y que conoce su resultado, el cual es un indicador compartido entre Plan y MINSAL; por lo que el avance reportado es un avance de Plan Internacional y sus socios implementadores. Como denominador para este periodo se tiene una meta de 676 con lo que se tiene un cumplimiento registrado en el SUMEVE de 598 de post-consejerias lo que corresponde al 88.4 % de la meta del año, sin embargo, adicionalmente hay 110 usuarias trans que debido a su perfil de riesgo accesaron a prueba de VIH dos veces en el año y a quienes se les brindo post consejeria.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El 100 % de la informacion de testeo esta digitada en nuestro sistema de monitoreo SIGPRO (Sistema Integral de Gestion de Proyectos) y en el SUMEVE, se cuenta ademas, con el respaldo de los formularios correspondientes en fisico (FVIH - 01) de recepcion por cada uno de los usuarios.</t>
  </si>
  <si>
    <t>(4)
Número total de productos de salud entregados en el periodo</t>
  </si>
  <si>
    <t>PRUEBAS RAPIDAS CAPILARES*</t>
  </si>
  <si>
    <t>Durante la subvencion SLV-H-PLAN 2017-2018, el RP Plan recibió desembolsos directamente del FM por $ 6,261,111.70, de los cuales $ 2,025,719.70 fueron recibidos en el año 2018, adicionalmente el FM transfirió directamente $ 38,287.89 a WAMBO por compras de pruebas capilares y traslado $ 262,723.06 correspondiente al saldo de caja determinado al cierre de la subvención 2014-2016 el cual además incluía intereses.
Por lo anteriormente descrito, La diferencia entre el presupuesto de la subvención y el total desembolsado asciende a $ 439,356.35; sobre dicho monto no desembolsado Plan solicitó $ 326,842.96 como presupuesto para ejecución de un plan de cierre para la referida subvención, por lo que se puede concluir que al final de la subvención 2017-2018 quedará un remanente no desembolsado de $ 112,513.39 lo que representara un 1.61%</t>
  </si>
  <si>
    <t xml:space="preserve">Al cierre del P4, se observa una salida de efectivo neta por gastos acumulados entre el RP y SR de $ 3,486,566.09 de los cuales $ 592,964.61 corresponde a pago de compromisos y obligaciones del año 2017, por lo que se muestra un avance con relación al presupuesto anual del año 2018 del 104.61%.
La sobre ejecución con relación al presupuesto aprobado, fue cubierta con fondos que fueron recalendarizados del presupuesto del año 2017 para ser utilizados en el año 2018. 
De manera general, se observa una salida de efectivo por gastos acumulados para los años 2017 y 2018 por $ 6,268,182.03 lo que representa una ejecución del 89.53% con relación al presupuesto de la subvención, adicionalmente al cierre del año 2018 se reportaron $ 198,655.68 como compromisos pendientes de pago, los cuales equivalen al 2.84%; Por lo que al cierre de la subvención 2017-2018 se espera una ejecución final del 92.37% con relación al presupuesto aprobado.
El saldo de caja al 31 de diciembre es de $ 347,736.13 distribuido entre el RP y SR.
Importante mencionar que se incluyen en la gráfica $ 326,842.96 los cuales corresponden a presupuesto de plan de cierre de la subvención 2017-2018.
</t>
  </si>
  <si>
    <t>En el módulo de M&amp;E se tiene un avance del 97.64%, con relación al presupuesto aprobado.
Para los módulos HSH&amp;TRANS, se observa un avance del 93.60% la diferencia esta distribuida entre compromisos pendientes de pago al 31/12/2018 
Para el módulo de TSF, se observa una sub ejecución del 16.18% la cual se ha generado principalmente porque presupuestariamente se dejo en ese módulo la adquisicón de productos de salud que finalmente no se realizo por contar con existencias suficientes en bodega principal del RP Plan para cubrir las necesidades de la subvención.
Para el módulo de Cuidado y Tratamiento se observa un avance del 97.22% el monto remanente en este módulo conforma parte de la economia al cierre del año 2018.</t>
  </si>
  <si>
    <t>En cuanto a la fecha esperada para el envio de informe PUDR, debido a un proceso interno del RP Plan en cuanto a la revisión de la información a ser remitida al FM se tuvo una demora de un (1) día en el envio del informe. 
En relación al desembolso esperado del FM. al cierre del P4, el FM ha desembolsado en los tiempos y de acuerdo a la carta de notificación de decisión anual de desembolsos que nos fue compartida.
En relación a los dias en que el desembolso tarda en llegar a los SR, este se mantiene en los 15 dias esperados, ya que una vez son solventadas todas las observaciones técnicas y financieras se ha procedido a hacer efectivo el desembolso.</t>
  </si>
  <si>
    <t>8 SR contratados para el año 2018.</t>
  </si>
  <si>
    <t>Los 8 SR presentaron sus informes de ejecución técnica y financiera, correspondiente al primer semestre.</t>
  </si>
  <si>
    <t>El porcentaje reportado corresponde a las personas HSH alcanzadas con paquete básico durante los años 2017 (P2) y 2018 (P4), de acuerdo con  el desarrollo de la metodologia de prevención combinada.</t>
  </si>
  <si>
    <t xml:space="preserve">El porcentaje reportado corresponde a las personas TS alcanzadas con paquete basico durante los años 2017 (P2) y 2018 (P4), de acuerdo con  el desarrollo de la metodologia de prevención combinada. </t>
  </si>
  <si>
    <t>El porcentaje reportado corresponde a las personas TRANS alcanzadas con paquete basico durante el los años 2017 (P2) y 2018 (P4), de acuerdo con  el desarrollo de la metodologia de prevención combinada.</t>
  </si>
  <si>
    <t>Enero del 2018</t>
  </si>
  <si>
    <t>Diciembre del 2018</t>
  </si>
  <si>
    <t xml:space="preserve">** El saldo de caja reportado corresponde a la suma de los saldos en Plan y los SR al 31/12/2018, estos estan constituidos por: intereses generados en la cuenta, mas otros ingresos. </t>
  </si>
  <si>
    <t>Para la subvención 2017-2018 no se distribuyen mantas de latex, el remanente de la subvención anterior (113,000) se esta distribuyendo con MTS pero no son condicionante para paquete básico. Se proyecta que las existencias al 31 de diciembre de 2018 son suficientes para cubrir las necesidades de insumos para los años 2019-2021 por lo que el presupuesto de la subvención SLV-h-MoH en lo que corresponde a Plan como organización SR, no incluye compra de insumos de salud, a excepción de pruebas rapidas capilares las cuales por su corta fecha de vencimiento serán adquiridas anualmente.</t>
  </si>
  <si>
    <t>RP Plan tiene compromisos y obligaciones pendientes de pago al 31/12/2018 por $ 525,498.64</t>
  </si>
  <si>
    <t xml:space="preserve">La adquisición de producto de salud son realizadas por el RP, no se han tenido dificultades en las adquisiciones. </t>
  </si>
  <si>
    <t xml:space="preserve"> Se proyecta que las existencias al 31 de diciembre de 2018 son suficientes para cubrir las necesidades de insumos para los años 2019-2021 por lo que el presupuesto de la subvención SLV-H-MoH en lo que corresponde a Plan como organización SR, no incluye compra de insumos de salud, a excepción de pruebas rapidas capilares las cuales por su corta fecha de vencimiento serán adquiridas anualmente.</t>
  </si>
  <si>
    <t>HSH 14618 de estos el FM 85% QUE SON 12619, Plan reportara 60% y el 40% MINSAL</t>
  </si>
  <si>
    <t>TS el FM 94% (6798) 60 % Plan y 40% MINSAL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</si>
</sst>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2" formatCode="_-&quot;$&quot;* #,##0_-;\-&quot;$&quot;* #,##0_-;_-&quot;$&quot;* &quot;-&quot;_-;_-@_-"/>
    <numFmt numFmtId="44" formatCode="_-&quot;$&quot;* #,##0.00_-;\-&quot;$&quot;* #,##0.00_-;_-&quot;$&quot;* &quot;-&quot;??_-;_-@_-"/>
    <numFmt numFmtId="43" formatCode="_-* #,##0.00_-;\-* #,##0.00_-;_-* &quot;-&quot;??_-;_-@_-"/>
    <numFmt numFmtId="164" formatCode="_-* #,##0.00\ &quot;€&quot;_-;\-* #,##0.00\ &quot;€&quot;_-;_-* &quot;-&quot;??\ &quot;€&quot;_-;_-@_-"/>
    <numFmt numFmtId="165" formatCode="_-* #,##0.00\ _€_-;\-* #,##0.00\ _€_-;_-* &quot;-&quot;??\ _€_-;_-@_-"/>
    <numFmt numFmtId="166" formatCode="_([$€]* #,##0.00_);_([$€]* \(#,##0.00\);_([$€]* \-??_);_(@_)"/>
    <numFmt numFmtId="167" formatCode="_(* #,##0.00_);_(* \(#,##0.00\);_(* \-??_);_(@_)"/>
    <numFmt numFmtId="168" formatCode="_(\$* #,##0.00_);_(\$* \(#,##0.00\);_(\$* \-??_);_(@_)"/>
    <numFmt numFmtId="169" formatCode="d&quot; de &quot;mmm&quot; de &quot;yy"/>
    <numFmt numFmtId="170" formatCode="\Q#,##0_);[Red]&quot;(Q&quot;#,##0\)"/>
    <numFmt numFmtId="171" formatCode="_(* #,##0_);_(* \(#,##0\);_(* \-??_);_(@_)"/>
    <numFmt numFmtId="172" formatCode="#.##0"/>
    <numFmt numFmtId="173" formatCode="#,##0.00\ _€;[Red]#,##0.00\ _€"/>
    <numFmt numFmtId="174" formatCode="#.##000"/>
    <numFmt numFmtId="175" formatCode="[$$-409]#,##0"/>
    <numFmt numFmtId="176" formatCode="_-* #,##0.00\ _€_-;\-* #,##0.00\ _€_-;_-* \-??\ _€_-;_-@_-"/>
    <numFmt numFmtId="177" formatCode="000%"/>
    <numFmt numFmtId="178" formatCode="#"/>
    <numFmt numFmtId="179" formatCode="0.0"/>
    <numFmt numFmtId="180" formatCode="#.00"/>
    <numFmt numFmtId="181" formatCode="#.##"/>
    <numFmt numFmtId="182" formatCode="dd\/mm\/yyyy"/>
    <numFmt numFmtId="183" formatCode="[$$-409]#,##0_);\([$$-409]#,##0\)"/>
    <numFmt numFmtId="184" formatCode="d/mmm/yyyy;@"/>
    <numFmt numFmtId="185" formatCode="dd\/mm\/yy\ hh:mm"/>
    <numFmt numFmtId="186" formatCode="000"/>
    <numFmt numFmtId="187" formatCode=";;;"/>
    <numFmt numFmtId="188" formatCode=";;;&quot;Financial Variance in %&quot;"/>
    <numFmt numFmtId="189" formatCode="0.0%"/>
    <numFmt numFmtId="190" formatCode="0.000"/>
    <numFmt numFmtId="191" formatCode="#.0"/>
    <numFmt numFmtId="192" formatCode="&quot;$&quot;#,##0.00"/>
    <numFmt numFmtId="193" formatCode="_-[$$-440A]* #,##0.00_-;\-[$$-440A]* #,##0.00_-;_-[$$-440A]* &quot;-&quot;??_-;_-@_-"/>
  </numFmts>
  <fonts count="117">
    <font>
      <sz val="11"/>
      <color indexed="8"/>
      <name val="Calibri"/>
      <family val="2"/>
    </font>
    <font>
      <sz val="10"/>
      <name val="Arial"/>
    </font>
    <font>
      <sz val="11"/>
      <color indexed="9"/>
      <name val="Calibri"/>
      <family val="2"/>
    </font>
    <font>
      <sz val="11"/>
      <color indexed="20"/>
      <name val="Calibri"/>
      <family val="2"/>
    </font>
    <font>
      <b/>
      <sz val="11"/>
      <color indexed="52"/>
      <name val="Calibri"/>
      <family val="2"/>
    </font>
    <font>
      <b/>
      <sz val="11"/>
      <color indexed="56"/>
      <name val="Calibri"/>
      <family val="2"/>
    </font>
    <font>
      <i/>
      <sz val="11"/>
      <color indexed="23"/>
      <name val="Calibri"/>
      <family val="2"/>
    </font>
    <font>
      <b/>
      <sz val="13"/>
      <color indexed="62"/>
      <name val="Calibri"/>
      <family val="2"/>
    </font>
    <font>
      <b/>
      <sz val="11"/>
      <color indexed="62"/>
      <name val="Calibri"/>
      <family val="2"/>
    </font>
    <font>
      <sz val="10"/>
      <name val="Arial"/>
      <family val="2"/>
    </font>
    <font>
      <sz val="11"/>
      <color indexed="60"/>
      <name val="Calibri"/>
      <family val="2"/>
    </font>
    <font>
      <b/>
      <sz val="11"/>
      <color indexed="63"/>
      <name val="Calibri"/>
      <family val="2"/>
    </font>
    <font>
      <sz val="11"/>
      <color indexed="10"/>
      <name val="Calibri"/>
      <family val="2"/>
    </font>
    <font>
      <b/>
      <sz val="18"/>
      <color indexed="62"/>
      <name val="Cambria"/>
      <family val="2"/>
    </font>
    <font>
      <b/>
      <sz val="11"/>
      <color indexed="8"/>
      <name val="Calibri"/>
      <family val="2"/>
    </font>
    <font>
      <b/>
      <sz val="18"/>
      <color indexed="56"/>
      <name val="Cambria"/>
      <family val="2"/>
    </font>
    <font>
      <b/>
      <sz val="13"/>
      <color indexed="56"/>
      <name val="Calibri"/>
      <family val="2"/>
    </font>
    <font>
      <sz val="11"/>
      <color indexed="53"/>
      <name val="Calibri"/>
      <family val="2"/>
    </font>
    <font>
      <sz val="22"/>
      <color indexed="9"/>
      <name val="Calibri"/>
      <family val="2"/>
    </font>
    <font>
      <sz val="28"/>
      <color indexed="9"/>
      <name val="Calibri"/>
      <family val="2"/>
    </font>
    <font>
      <b/>
      <sz val="14"/>
      <color indexed="8"/>
      <name val="Calibri"/>
      <family val="2"/>
    </font>
    <font>
      <b/>
      <sz val="16"/>
      <color indexed="8"/>
      <name val="Calibri"/>
      <family val="2"/>
    </font>
    <font>
      <sz val="10"/>
      <color indexed="9"/>
      <name val="Arial"/>
      <family val="2"/>
    </font>
    <font>
      <b/>
      <i/>
      <sz val="11"/>
      <color indexed="8"/>
      <name val="Calibri"/>
      <family val="2"/>
    </font>
    <font>
      <sz val="10"/>
      <color indexed="8"/>
      <name val="Arial"/>
      <family val="2"/>
    </font>
    <font>
      <sz val="11"/>
      <color indexed="8"/>
      <name val="Arial"/>
      <family val="2"/>
    </font>
    <font>
      <b/>
      <sz val="18"/>
      <color indexed="8"/>
      <name val="Calibri"/>
      <family val="2"/>
    </font>
    <font>
      <sz val="16"/>
      <color indexed="8"/>
      <name val="Calibri"/>
      <family val="2"/>
    </font>
    <font>
      <b/>
      <sz val="12"/>
      <color indexed="8"/>
      <name val="Arial"/>
      <family val="2"/>
    </font>
    <font>
      <b/>
      <sz val="11"/>
      <color indexed="8"/>
      <name val="Arial"/>
      <family val="2"/>
    </font>
    <font>
      <b/>
      <i/>
      <sz val="11"/>
      <color indexed="8"/>
      <name val="Arial"/>
      <family val="2"/>
    </font>
    <font>
      <i/>
      <sz val="11"/>
      <color indexed="8"/>
      <name val="Arial"/>
      <family val="2"/>
    </font>
    <font>
      <sz val="11"/>
      <name val="Arial"/>
      <family val="2"/>
    </font>
    <font>
      <b/>
      <sz val="14"/>
      <color indexed="61"/>
      <name val="Calibri"/>
      <family val="2"/>
    </font>
    <font>
      <b/>
      <sz val="12"/>
      <color indexed="8"/>
      <name val="Calibri"/>
      <family val="2"/>
    </font>
    <font>
      <b/>
      <sz val="12"/>
      <name val="Arial"/>
      <family val="2"/>
    </font>
    <font>
      <sz val="10"/>
      <color indexed="8"/>
      <name val="Calibri"/>
      <family val="2"/>
    </font>
    <font>
      <sz val="14"/>
      <color indexed="9"/>
      <name val="Calibri"/>
      <family val="2"/>
    </font>
    <font>
      <sz val="16"/>
      <color indexed="9"/>
      <name val="Calibri"/>
      <family val="2"/>
    </font>
    <font>
      <i/>
      <sz val="11"/>
      <color indexed="8"/>
      <name val="Calibri"/>
      <family val="2"/>
    </font>
    <font>
      <i/>
      <sz val="9"/>
      <color indexed="8"/>
      <name val="Calibri"/>
      <family val="2"/>
    </font>
    <font>
      <b/>
      <sz val="14"/>
      <color indexed="60"/>
      <name val="Calibri"/>
      <family val="2"/>
    </font>
    <font>
      <b/>
      <sz val="11"/>
      <color indexed="60"/>
      <name val="Calibri"/>
      <family val="2"/>
    </font>
    <font>
      <sz val="11"/>
      <color indexed="12"/>
      <name val="Calibri"/>
      <family val="2"/>
    </font>
    <font>
      <b/>
      <sz val="10"/>
      <color indexed="8"/>
      <name val="Calibri"/>
      <family val="2"/>
    </font>
    <font>
      <b/>
      <sz val="11"/>
      <color indexed="16"/>
      <name val="Calibri"/>
      <family val="2"/>
    </font>
    <font>
      <sz val="11"/>
      <color indexed="16"/>
      <name val="Calibri"/>
      <family val="2"/>
    </font>
    <font>
      <b/>
      <sz val="10"/>
      <color indexed="16"/>
      <name val="Calibri"/>
      <family val="2"/>
    </font>
    <font>
      <sz val="10"/>
      <color indexed="60"/>
      <name val="Calibri"/>
      <family val="2"/>
    </font>
    <font>
      <b/>
      <sz val="10"/>
      <color indexed="60"/>
      <name val="Calibri"/>
      <family val="2"/>
    </font>
    <font>
      <sz val="11"/>
      <name val="Calibri"/>
      <family val="2"/>
    </font>
    <font>
      <sz val="10"/>
      <name val="Calibri"/>
      <family val="2"/>
    </font>
    <font>
      <b/>
      <sz val="14"/>
      <color indexed="40"/>
      <name val="Calibri"/>
      <family val="2"/>
    </font>
    <font>
      <b/>
      <sz val="14"/>
      <color indexed="44"/>
      <name val="Calibri"/>
      <family val="2"/>
    </font>
    <font>
      <sz val="11"/>
      <color indexed="40"/>
      <name val="Calibri"/>
      <family val="2"/>
    </font>
    <font>
      <b/>
      <sz val="14"/>
      <color indexed="52"/>
      <name val="Calibri"/>
      <family val="2"/>
    </font>
    <font>
      <b/>
      <sz val="14"/>
      <color indexed="51"/>
      <name val="Calibri"/>
      <family val="2"/>
    </font>
    <font>
      <b/>
      <sz val="10"/>
      <color indexed="53"/>
      <name val="Calibri"/>
      <family val="2"/>
    </font>
    <font>
      <b/>
      <sz val="10"/>
      <name val="Arial"/>
      <family val="2"/>
    </font>
    <font>
      <b/>
      <sz val="8"/>
      <color indexed="32"/>
      <name val="Tahoma"/>
      <family val="2"/>
    </font>
    <font>
      <sz val="28"/>
      <name val="Calibri"/>
      <family val="2"/>
    </font>
    <font>
      <sz val="12"/>
      <color indexed="8"/>
      <name val="Calibri"/>
      <family val="2"/>
    </font>
    <font>
      <b/>
      <sz val="11"/>
      <name val="Calibri"/>
      <family val="2"/>
    </font>
    <font>
      <sz val="11"/>
      <color indexed="9"/>
      <name val="Arial"/>
      <family val="2"/>
    </font>
    <font>
      <sz val="14"/>
      <color indexed="8"/>
      <name val="Calibri"/>
      <family val="2"/>
    </font>
    <font>
      <sz val="12"/>
      <color indexed="9"/>
      <name val="Calibri"/>
      <family val="2"/>
    </font>
    <font>
      <b/>
      <sz val="11"/>
      <color indexed="61"/>
      <name val="Calibri"/>
      <family val="2"/>
    </font>
    <font>
      <sz val="11"/>
      <color indexed="59"/>
      <name val="Calibri"/>
      <family val="2"/>
    </font>
    <font>
      <b/>
      <i/>
      <sz val="14"/>
      <color indexed="12"/>
      <name val="Calibri"/>
      <family val="2"/>
    </font>
    <font>
      <b/>
      <sz val="9"/>
      <color indexed="8"/>
      <name val="Calibri"/>
      <family val="2"/>
    </font>
    <font>
      <sz val="8"/>
      <color indexed="8"/>
      <name val="Calibri"/>
      <family val="2"/>
    </font>
    <font>
      <sz val="8"/>
      <name val="Calibri"/>
      <family val="2"/>
    </font>
    <font>
      <b/>
      <sz val="8"/>
      <color indexed="8"/>
      <name val="Calibri"/>
      <family val="2"/>
    </font>
    <font>
      <sz val="9"/>
      <color indexed="16"/>
      <name val="Calibri"/>
      <family val="2"/>
    </font>
    <font>
      <sz val="7"/>
      <color indexed="16"/>
      <name val="Calibri"/>
      <family val="2"/>
    </font>
    <font>
      <i/>
      <sz val="8"/>
      <color indexed="8"/>
      <name val="Calibri"/>
      <family val="2"/>
    </font>
    <font>
      <b/>
      <sz val="9"/>
      <name val="Calibri"/>
      <family val="2"/>
    </font>
    <font>
      <sz val="9"/>
      <color indexed="8"/>
      <name val="Verdana"/>
      <family val="2"/>
    </font>
    <font>
      <b/>
      <sz val="10"/>
      <color indexed="63"/>
      <name val="Verdana"/>
      <family val="2"/>
    </font>
    <font>
      <b/>
      <sz val="10"/>
      <name val="Verdana"/>
      <family val="2"/>
    </font>
    <font>
      <sz val="8"/>
      <color indexed="8"/>
      <name val="Verdana"/>
      <family val="2"/>
    </font>
    <font>
      <b/>
      <sz val="12"/>
      <color indexed="56"/>
      <name val="Tahoma"/>
      <family val="2"/>
    </font>
    <font>
      <b/>
      <sz val="8"/>
      <name val="Tahoma"/>
      <family val="2"/>
    </font>
    <font>
      <b/>
      <sz val="8"/>
      <color indexed="9"/>
      <name val="Tahoma"/>
      <family val="2"/>
    </font>
    <font>
      <sz val="8"/>
      <name val="Webdings"/>
      <family val="1"/>
      <charset val="2"/>
    </font>
    <font>
      <sz val="7"/>
      <color indexed="43"/>
      <name val="Verdana"/>
      <family val="2"/>
    </font>
    <font>
      <sz val="14"/>
      <name val="Calibri"/>
      <family val="2"/>
    </font>
    <font>
      <sz val="9"/>
      <color indexed="8"/>
      <name val="Tahoma"/>
      <family val="2"/>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b/>
      <sz val="8"/>
      <name val="Arial"/>
      <family val="2"/>
    </font>
    <font>
      <b/>
      <sz val="8"/>
      <color indexed="56"/>
      <name val="Tahoma"/>
      <family val="2"/>
    </font>
    <font>
      <b/>
      <sz val="8"/>
      <color indexed="9"/>
      <name val="Calibri"/>
      <family val="2"/>
    </font>
    <font>
      <sz val="8"/>
      <color indexed="9"/>
      <name val="Arial"/>
      <family val="2"/>
    </font>
    <font>
      <sz val="8"/>
      <color indexed="9"/>
      <name val="Tahoma"/>
      <family val="2"/>
    </font>
    <font>
      <b/>
      <sz val="8"/>
      <color indexed="9"/>
      <name val="Verdana"/>
      <family val="2"/>
    </font>
    <font>
      <b/>
      <sz val="10"/>
      <color indexed="8"/>
      <name val="Arial"/>
      <family val="2"/>
    </font>
    <font>
      <b/>
      <sz val="10"/>
      <color indexed="16"/>
      <name val="Arial"/>
      <family val="2"/>
    </font>
    <font>
      <sz val="11"/>
      <color indexed="16"/>
      <name val="Arial Black"/>
      <family val="2"/>
    </font>
    <font>
      <b/>
      <sz val="14"/>
      <color indexed="16"/>
      <name val="Calibri"/>
      <family val="2"/>
    </font>
    <font>
      <sz val="9"/>
      <color indexed="16"/>
      <name val="Verdana"/>
      <family val="2"/>
    </font>
    <font>
      <b/>
      <sz val="10"/>
      <color indexed="16"/>
      <name val="Verdana"/>
      <family val="2"/>
    </font>
    <font>
      <b/>
      <sz val="14"/>
      <color indexed="9"/>
      <name val="Calibri"/>
      <family val="2"/>
    </font>
    <font>
      <sz val="10"/>
      <color indexed="59"/>
      <name val="Calibri"/>
      <family val="2"/>
    </font>
    <font>
      <sz val="11"/>
      <color indexed="8"/>
      <name val="Calibri"/>
      <family val="2"/>
    </font>
    <font>
      <sz val="9"/>
      <color indexed="8"/>
      <name val="Calibri"/>
      <family val="2"/>
    </font>
    <font>
      <sz val="9"/>
      <name val="Calibri"/>
      <family val="2"/>
    </font>
    <font>
      <b/>
      <sz val="8"/>
      <name val="Calibri"/>
      <family val="2"/>
    </font>
    <font>
      <sz val="11"/>
      <color rgb="FFFF0000"/>
      <name val="Calibri"/>
      <family val="2"/>
    </font>
    <font>
      <sz val="11"/>
      <color theme="1"/>
      <name val="Calibri"/>
      <family val="2"/>
    </font>
    <font>
      <sz val="9"/>
      <color theme="1"/>
      <name val="Calibri"/>
      <family val="2"/>
    </font>
    <font>
      <b/>
      <i/>
      <sz val="8"/>
      <color theme="1"/>
      <name val="Calibri"/>
      <family val="2"/>
      <scheme val="minor"/>
    </font>
    <font>
      <b/>
      <sz val="9"/>
      <color theme="1"/>
      <name val="Calibri"/>
      <family val="2"/>
    </font>
    <font>
      <sz val="10"/>
      <color rgb="FFFF0000"/>
      <name val="Calibri"/>
      <family val="2"/>
    </font>
  </fonts>
  <fills count="39">
    <fill>
      <patternFill patternType="none"/>
    </fill>
    <fill>
      <patternFill patternType="gray125"/>
    </fill>
    <fill>
      <patternFill patternType="solid">
        <fgColor indexed="9"/>
        <bgColor indexed="28"/>
      </patternFill>
    </fill>
    <fill>
      <patternFill patternType="solid">
        <fgColor indexed="47"/>
        <bgColor indexed="33"/>
      </patternFill>
    </fill>
    <fill>
      <patternFill patternType="solid">
        <fgColor indexed="26"/>
        <bgColor indexed="28"/>
      </patternFill>
    </fill>
    <fill>
      <patternFill patternType="solid">
        <fgColor indexed="27"/>
        <bgColor indexed="42"/>
      </patternFill>
    </fill>
    <fill>
      <patternFill patternType="solid">
        <fgColor indexed="31"/>
        <bgColor indexed="14"/>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2"/>
        <bgColor indexed="36"/>
      </patternFill>
    </fill>
    <fill>
      <patternFill patternType="solid">
        <fgColor indexed="29"/>
        <bgColor indexed="10"/>
      </patternFill>
    </fill>
    <fill>
      <patternFill patternType="solid">
        <fgColor indexed="43"/>
        <bgColor indexed="34"/>
      </patternFill>
    </fill>
    <fill>
      <patternFill patternType="solid">
        <fgColor indexed="44"/>
        <bgColor indexed="35"/>
      </patternFill>
    </fill>
    <fill>
      <patternFill patternType="solid">
        <fgColor indexed="11"/>
        <bgColor indexed="19"/>
      </patternFill>
    </fill>
    <fill>
      <patternFill patternType="solid">
        <fgColor indexed="51"/>
        <bgColor indexed="13"/>
      </patternFill>
    </fill>
    <fill>
      <patternFill patternType="solid">
        <fgColor indexed="49"/>
        <bgColor indexed="40"/>
      </patternFill>
    </fill>
    <fill>
      <patternFill patternType="solid">
        <fgColor indexed="10"/>
        <bgColor indexed="29"/>
      </patternFill>
    </fill>
    <fill>
      <patternFill patternType="solid">
        <fgColor indexed="30"/>
        <bgColor indexed="21"/>
      </patternFill>
    </fill>
    <fill>
      <patternFill patternType="solid">
        <fgColor indexed="20"/>
        <bgColor indexed="16"/>
      </patternFill>
    </fill>
    <fill>
      <patternFill patternType="solid">
        <fgColor indexed="52"/>
        <bgColor indexed="51"/>
      </patternFill>
    </fill>
    <fill>
      <patternFill patternType="solid">
        <fgColor indexed="53"/>
        <bgColor indexed="61"/>
      </patternFill>
    </fill>
    <fill>
      <patternFill patternType="solid">
        <fgColor indexed="57"/>
        <bgColor indexed="19"/>
      </patternFill>
    </fill>
    <fill>
      <patternFill patternType="solid">
        <fgColor indexed="54"/>
        <bgColor indexed="23"/>
      </patternFill>
    </fill>
    <fill>
      <patternFill patternType="solid">
        <fgColor indexed="61"/>
        <bgColor indexed="10"/>
      </patternFill>
    </fill>
    <fill>
      <patternFill patternType="solid">
        <fgColor indexed="62"/>
        <bgColor indexed="56"/>
      </patternFill>
    </fill>
    <fill>
      <patternFill patternType="solid">
        <fgColor indexed="28"/>
        <bgColor indexed="9"/>
      </patternFill>
    </fill>
    <fill>
      <patternFill patternType="solid">
        <fgColor indexed="47"/>
        <bgColor indexed="64"/>
      </patternFill>
    </fill>
    <fill>
      <patternFill patternType="solid">
        <fgColor indexed="34"/>
        <bgColor indexed="43"/>
      </patternFill>
    </fill>
    <fill>
      <patternFill patternType="gray0625">
        <fgColor indexed="52"/>
      </patternFill>
    </fill>
    <fill>
      <patternFill patternType="solid">
        <fgColor indexed="43"/>
        <bgColor indexed="64"/>
      </patternFill>
    </fill>
    <fill>
      <patternFill patternType="solid">
        <fgColor indexed="43"/>
        <bgColor indexed="52"/>
      </patternFill>
    </fill>
    <fill>
      <patternFill patternType="solid">
        <fgColor indexed="25"/>
        <bgColor indexed="60"/>
      </patternFill>
    </fill>
    <fill>
      <patternFill patternType="solid">
        <fgColor indexed="18"/>
        <bgColor indexed="56"/>
      </patternFill>
    </fill>
    <fill>
      <patternFill patternType="solid">
        <fgColor indexed="43"/>
        <bgColor indexed="51"/>
      </patternFill>
    </fill>
    <fill>
      <patternFill patternType="gray0625">
        <fgColor indexed="52"/>
        <bgColor indexed="43"/>
      </patternFill>
    </fill>
    <fill>
      <patternFill patternType="solid">
        <fgColor theme="4" tint="0.79998168889431442"/>
        <bgColor indexed="19"/>
      </patternFill>
    </fill>
    <fill>
      <patternFill patternType="solid">
        <fgColor theme="4" tint="0.39997558519241921"/>
        <bgColor indexed="10"/>
      </patternFill>
    </fill>
    <fill>
      <patternFill patternType="solid">
        <fgColor theme="4" tint="0.59999389629810485"/>
        <bgColor indexed="51"/>
      </patternFill>
    </fill>
  </fills>
  <borders count="223">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right/>
      <top/>
      <bottom style="medium">
        <color indexed="60"/>
      </bottom>
      <diagonal/>
    </border>
    <border>
      <left style="medium">
        <color indexed="60"/>
      </left>
      <right style="medium">
        <color indexed="60"/>
      </right>
      <top style="medium">
        <color indexed="60"/>
      </top>
      <bottom style="medium">
        <color indexed="60"/>
      </bottom>
      <diagonal/>
    </border>
    <border>
      <left style="medium">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medium">
        <color indexed="16"/>
      </left>
      <right style="thin">
        <color indexed="16"/>
      </right>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thin">
        <color indexed="32"/>
      </left>
      <right style="thin">
        <color indexed="32"/>
      </right>
      <top style="thin">
        <color indexed="32"/>
      </top>
      <bottom style="medium">
        <color indexed="16"/>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16"/>
      </left>
      <right style="thin">
        <color indexed="32"/>
      </right>
      <top style="thin">
        <color indexed="32"/>
      </top>
      <bottom style="thin">
        <color indexed="32"/>
      </bottom>
      <diagonal/>
    </border>
    <border>
      <left style="thin">
        <color indexed="32"/>
      </left>
      <right style="medium">
        <color indexed="16"/>
      </right>
      <top style="thin">
        <color indexed="32"/>
      </top>
      <bottom style="thin">
        <color indexed="32"/>
      </bottom>
      <diagonal/>
    </border>
    <border>
      <left style="medium">
        <color indexed="32"/>
      </left>
      <right style="thin">
        <color indexed="32"/>
      </right>
      <top style="thin">
        <color indexed="32"/>
      </top>
      <bottom style="thin">
        <color indexed="32"/>
      </bottom>
      <diagonal/>
    </border>
    <border>
      <left style="medium">
        <color indexed="16"/>
      </left>
      <right style="thin">
        <color indexed="32"/>
      </right>
      <top style="thin">
        <color indexed="32"/>
      </top>
      <bottom style="medium">
        <color indexed="16"/>
      </bottom>
      <diagonal/>
    </border>
    <border>
      <left style="thin">
        <color indexed="32"/>
      </left>
      <right style="medium">
        <color indexed="16"/>
      </right>
      <top style="thin">
        <color indexed="32"/>
      </top>
      <bottom style="medium">
        <color indexed="16"/>
      </bottom>
      <diagonal/>
    </border>
    <border>
      <left/>
      <right/>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32"/>
      </left>
      <right style="thin">
        <color indexed="32"/>
      </right>
      <top style="medium">
        <color indexed="48"/>
      </top>
      <bottom style="thin">
        <color indexed="32"/>
      </bottom>
      <diagonal/>
    </border>
    <border>
      <left style="thin">
        <color indexed="32"/>
      </left>
      <right style="medium">
        <color indexed="48"/>
      </right>
      <top style="medium">
        <color indexed="48"/>
      </top>
      <bottom style="thin">
        <color indexed="32"/>
      </bottom>
      <diagonal/>
    </border>
    <border>
      <left style="medium">
        <color indexed="48"/>
      </left>
      <right style="thin">
        <color indexed="32"/>
      </right>
      <top style="thin">
        <color indexed="32"/>
      </top>
      <bottom style="thin">
        <color indexed="32"/>
      </bottom>
      <diagonal/>
    </border>
    <border>
      <left style="thin">
        <color indexed="32"/>
      </left>
      <right style="medium">
        <color indexed="48"/>
      </right>
      <top style="thin">
        <color indexed="32"/>
      </top>
      <bottom style="thin">
        <color indexed="32"/>
      </bottom>
      <diagonal/>
    </border>
    <border>
      <left style="medium">
        <color indexed="48"/>
      </left>
      <right style="thin">
        <color indexed="32"/>
      </right>
      <top style="thin">
        <color indexed="32"/>
      </top>
      <bottom style="medium">
        <color indexed="48"/>
      </bottom>
      <diagonal/>
    </border>
    <border>
      <left style="thin">
        <color indexed="32"/>
      </left>
      <right style="thin">
        <color indexed="32"/>
      </right>
      <top style="thin">
        <color indexed="32"/>
      </top>
      <bottom style="medium">
        <color indexed="48"/>
      </bottom>
      <diagonal/>
    </border>
    <border>
      <left style="thin">
        <color indexed="32"/>
      </left>
      <right style="medium">
        <color indexed="48"/>
      </right>
      <top style="thin">
        <color indexed="32"/>
      </top>
      <bottom style="medium">
        <color indexed="48"/>
      </bottom>
      <diagonal/>
    </border>
    <border>
      <left style="medium">
        <color indexed="48"/>
      </left>
      <right/>
      <top style="medium">
        <color indexed="48"/>
      </top>
      <bottom/>
      <diagonal/>
    </border>
    <border>
      <left style="medium">
        <color indexed="32"/>
      </left>
      <right style="thin">
        <color indexed="32"/>
      </right>
      <top style="medium">
        <color indexed="32"/>
      </top>
      <bottom style="thin">
        <color indexed="32"/>
      </bottom>
      <diagonal/>
    </border>
    <border>
      <left style="thin">
        <color indexed="16"/>
      </left>
      <right style="thin">
        <color indexed="16"/>
      </right>
      <top style="medium">
        <color indexed="32"/>
      </top>
      <bottom style="thin">
        <color indexed="32"/>
      </bottom>
      <diagonal/>
    </border>
    <border>
      <left style="thin">
        <color indexed="16"/>
      </left>
      <right style="medium">
        <color indexed="16"/>
      </right>
      <top style="medium">
        <color indexed="32"/>
      </top>
      <bottom style="thin">
        <color indexed="32"/>
      </bottom>
      <diagonal/>
    </border>
    <border>
      <left style="medium">
        <color indexed="32"/>
      </left>
      <right/>
      <top/>
      <bottom style="thin">
        <color indexed="32"/>
      </bottom>
      <diagonal/>
    </border>
    <border>
      <left style="thin">
        <color indexed="58"/>
      </left>
      <right style="thin">
        <color indexed="58"/>
      </right>
      <top style="thin">
        <color indexed="58"/>
      </top>
      <bottom style="thin">
        <color indexed="58"/>
      </bottom>
      <diagonal/>
    </border>
    <border>
      <left style="medium">
        <color indexed="32"/>
      </left>
      <right style="thin">
        <color indexed="32"/>
      </right>
      <top/>
      <bottom style="thin">
        <color indexed="32"/>
      </bottom>
      <diagonal/>
    </border>
    <border>
      <left/>
      <right/>
      <top/>
      <bottom style="medium">
        <color indexed="51"/>
      </bottom>
      <diagonal/>
    </border>
    <border>
      <left style="medium">
        <color indexed="51"/>
      </left>
      <right style="medium">
        <color indexed="51"/>
      </right>
      <top style="medium">
        <color indexed="51"/>
      </top>
      <bottom style="thin">
        <color indexed="32"/>
      </bottom>
      <diagonal/>
    </border>
    <border>
      <left/>
      <right style="thin">
        <color indexed="32"/>
      </right>
      <top style="medium">
        <color indexed="51"/>
      </top>
      <bottom style="thin">
        <color indexed="32"/>
      </bottom>
      <diagonal/>
    </border>
    <border>
      <left style="thin">
        <color indexed="32"/>
      </left>
      <right style="thin">
        <color indexed="32"/>
      </right>
      <top style="medium">
        <color indexed="51"/>
      </top>
      <bottom style="thin">
        <color indexed="32"/>
      </bottom>
      <diagonal/>
    </border>
    <border>
      <left style="thin">
        <color indexed="16"/>
      </left>
      <right style="thin">
        <color indexed="16"/>
      </right>
      <top style="medium">
        <color indexed="51"/>
      </top>
      <bottom style="thin">
        <color indexed="32"/>
      </bottom>
      <diagonal/>
    </border>
    <border>
      <left style="medium">
        <color indexed="51"/>
      </left>
      <right/>
      <top/>
      <bottom style="thin">
        <color indexed="32"/>
      </bottom>
      <diagonal/>
    </border>
    <border>
      <left/>
      <right/>
      <top/>
      <bottom style="thin">
        <color indexed="32"/>
      </bottom>
      <diagonal/>
    </border>
    <border>
      <left style="medium">
        <color indexed="51"/>
      </left>
      <right style="medium">
        <color indexed="51"/>
      </right>
      <top/>
      <bottom style="thin">
        <color indexed="32"/>
      </bottom>
      <diagonal/>
    </border>
    <border>
      <left/>
      <right style="thin">
        <color indexed="32"/>
      </right>
      <top/>
      <bottom style="thin">
        <color indexed="32"/>
      </bottom>
      <diagonal/>
    </border>
    <border>
      <left style="thin">
        <color indexed="32"/>
      </left>
      <right style="thin">
        <color indexed="32"/>
      </right>
      <top/>
      <bottom style="thin">
        <color indexed="32"/>
      </bottom>
      <diagonal/>
    </border>
    <border>
      <left style="thin">
        <color indexed="32"/>
      </left>
      <right/>
      <top/>
      <bottom style="thin">
        <color indexed="32"/>
      </bottom>
      <diagonal/>
    </border>
    <border>
      <left style="thin">
        <color indexed="32"/>
      </left>
      <right/>
      <top style="thin">
        <color indexed="32"/>
      </top>
      <bottom style="medium">
        <color indexed="51"/>
      </bottom>
      <diagonal/>
    </border>
    <border>
      <left style="thin">
        <color indexed="58"/>
      </left>
      <right style="thin">
        <color indexed="58"/>
      </right>
      <top style="thin">
        <color indexed="58"/>
      </top>
      <bottom style="medium">
        <color indexed="51"/>
      </bottom>
      <diagonal/>
    </border>
    <border>
      <left/>
      <right/>
      <top style="thin">
        <color indexed="30"/>
      </top>
      <bottom style="thin">
        <color indexed="30"/>
      </bottom>
      <diagonal/>
    </border>
    <border>
      <left style="thin">
        <color indexed="32"/>
      </left>
      <right style="medium">
        <color indexed="32"/>
      </right>
      <top style="medium">
        <color indexed="32"/>
      </top>
      <bottom style="thin">
        <color indexed="32"/>
      </bottom>
      <diagonal/>
    </border>
    <border>
      <left style="medium">
        <color indexed="32"/>
      </left>
      <right style="thin">
        <color indexed="32"/>
      </right>
      <top style="thin">
        <color indexed="32"/>
      </top>
      <bottom style="medium">
        <color indexed="32"/>
      </bottom>
      <diagonal/>
    </border>
    <border>
      <left style="thin">
        <color indexed="32"/>
      </left>
      <right style="medium">
        <color indexed="32"/>
      </right>
      <top style="thin">
        <color indexed="32"/>
      </top>
      <bottom style="medium">
        <color indexed="32"/>
      </bottom>
      <diagonal/>
    </border>
    <border>
      <left style="thin">
        <color indexed="9"/>
      </left>
      <right style="thin">
        <color indexed="9"/>
      </right>
      <top style="thin">
        <color indexed="9"/>
      </top>
      <bottom style="thin">
        <color indexed="9"/>
      </bottom>
      <diagonal/>
    </border>
    <border>
      <left style="medium">
        <color indexed="60"/>
      </left>
      <right style="dotted">
        <color indexed="32"/>
      </right>
      <top style="medium">
        <color indexed="60"/>
      </top>
      <bottom style="hair">
        <color indexed="32"/>
      </bottom>
      <diagonal/>
    </border>
    <border>
      <left style="dotted">
        <color indexed="32"/>
      </left>
      <right style="dotted">
        <color indexed="32"/>
      </right>
      <top style="medium">
        <color indexed="52"/>
      </top>
      <bottom style="hair">
        <color indexed="32"/>
      </bottom>
      <diagonal/>
    </border>
    <border>
      <left style="medium">
        <color indexed="60"/>
      </left>
      <right style="dotted">
        <color indexed="32"/>
      </right>
      <top style="hair">
        <color indexed="32"/>
      </top>
      <bottom style="hair">
        <color indexed="32"/>
      </bottom>
      <diagonal/>
    </border>
    <border>
      <left style="dotted">
        <color indexed="32"/>
      </left>
      <right style="dotted">
        <color indexed="32"/>
      </right>
      <top style="hair">
        <color indexed="32"/>
      </top>
      <bottom style="hair">
        <color indexed="32"/>
      </bottom>
      <diagonal/>
    </border>
    <border>
      <left style="medium">
        <color indexed="60"/>
      </left>
      <right style="dotted">
        <color indexed="32"/>
      </right>
      <top style="hair">
        <color indexed="32"/>
      </top>
      <bottom style="medium">
        <color indexed="60"/>
      </bottom>
      <diagonal/>
    </border>
    <border>
      <left style="dotted">
        <color indexed="32"/>
      </left>
      <right style="dotted">
        <color indexed="32"/>
      </right>
      <top style="hair">
        <color indexed="32"/>
      </top>
      <bottom style="medium">
        <color indexed="52"/>
      </bottom>
      <diagonal/>
    </border>
    <border>
      <left style="medium">
        <color indexed="62"/>
      </left>
      <right/>
      <top style="medium">
        <color indexed="62"/>
      </top>
      <bottom style="hair">
        <color indexed="32"/>
      </bottom>
      <diagonal/>
    </border>
    <border>
      <left style="dotted">
        <color indexed="62"/>
      </left>
      <right style="dotted">
        <color indexed="32"/>
      </right>
      <top style="medium">
        <color indexed="62"/>
      </top>
      <bottom style="hair">
        <color indexed="32"/>
      </bottom>
      <diagonal/>
    </border>
    <border>
      <left style="medium">
        <color indexed="62"/>
      </left>
      <right/>
      <top style="hair">
        <color indexed="32"/>
      </top>
      <bottom style="hair">
        <color indexed="32"/>
      </bottom>
      <diagonal/>
    </border>
    <border>
      <left style="dotted">
        <color indexed="62"/>
      </left>
      <right style="dotted">
        <color indexed="32"/>
      </right>
      <top style="hair">
        <color indexed="32"/>
      </top>
      <bottom style="hair">
        <color indexed="32"/>
      </bottom>
      <diagonal/>
    </border>
    <border>
      <left style="medium">
        <color indexed="62"/>
      </left>
      <right/>
      <top style="hair">
        <color indexed="32"/>
      </top>
      <bottom style="medium">
        <color indexed="62"/>
      </bottom>
      <diagonal/>
    </border>
    <border>
      <left style="dotted">
        <color indexed="62"/>
      </left>
      <right style="dotted">
        <color indexed="32"/>
      </right>
      <top style="hair">
        <color indexed="32"/>
      </top>
      <bottom style="medium">
        <color indexed="62"/>
      </bottom>
      <diagonal/>
    </border>
    <border>
      <left style="medium">
        <color indexed="51"/>
      </left>
      <right style="hair">
        <color indexed="32"/>
      </right>
      <top style="medium">
        <color indexed="51"/>
      </top>
      <bottom style="hair">
        <color indexed="32"/>
      </bottom>
      <diagonal/>
    </border>
    <border>
      <left style="hair">
        <color indexed="32"/>
      </left>
      <right style="hair">
        <color indexed="32"/>
      </right>
      <top style="medium">
        <color indexed="51"/>
      </top>
      <bottom style="hair">
        <color indexed="32"/>
      </bottom>
      <diagonal/>
    </border>
    <border>
      <left style="medium">
        <color indexed="51"/>
      </left>
      <right style="hair">
        <color indexed="32"/>
      </right>
      <top style="hair">
        <color indexed="32"/>
      </top>
      <bottom style="hair">
        <color indexed="32"/>
      </bottom>
      <diagonal/>
    </border>
    <border>
      <left style="hair">
        <color indexed="32"/>
      </left>
      <right style="hair">
        <color indexed="32"/>
      </right>
      <top/>
      <bottom style="hair">
        <color indexed="32"/>
      </bottom>
      <diagonal/>
    </border>
    <border>
      <left style="medium">
        <color indexed="51"/>
      </left>
      <right/>
      <top/>
      <bottom style="hair">
        <color indexed="32"/>
      </bottom>
      <diagonal/>
    </border>
    <border>
      <left style="hair">
        <color indexed="32"/>
      </left>
      <right style="hair">
        <color indexed="32"/>
      </right>
      <top/>
      <bottom/>
      <diagonal/>
    </border>
    <border>
      <left style="hair">
        <color indexed="32"/>
      </left>
      <right style="hair">
        <color indexed="32"/>
      </right>
      <top style="hair">
        <color indexed="32"/>
      </top>
      <bottom style="medium">
        <color indexed="51"/>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style="thin">
        <color indexed="16"/>
      </left>
      <right style="thin">
        <color indexed="16"/>
      </right>
      <top style="thin">
        <color indexed="16"/>
      </top>
      <bottom/>
      <diagonal/>
    </border>
    <border>
      <left style="thin">
        <color indexed="60"/>
      </left>
      <right style="thin">
        <color indexed="60"/>
      </right>
      <top style="thin">
        <color indexed="60"/>
      </top>
      <bottom style="medium">
        <color indexed="60"/>
      </bottom>
      <diagonal/>
    </border>
    <border>
      <left/>
      <right style="medium">
        <color indexed="51"/>
      </right>
      <top/>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right style="thin">
        <color indexed="58"/>
      </right>
      <top style="thin">
        <color indexed="58"/>
      </top>
      <bottom style="thin">
        <color indexed="58"/>
      </bottom>
      <diagonal/>
    </border>
    <border>
      <left/>
      <right style="thin">
        <color indexed="58"/>
      </right>
      <top style="thin">
        <color indexed="58"/>
      </top>
      <bottom/>
      <diagonal/>
    </border>
    <border>
      <left style="medium">
        <color indexed="64"/>
      </left>
      <right style="thin">
        <color indexed="32"/>
      </right>
      <top style="medium">
        <color indexed="64"/>
      </top>
      <bottom style="thin">
        <color indexed="32"/>
      </bottom>
      <diagonal/>
    </border>
    <border>
      <left style="thin">
        <color indexed="32"/>
      </left>
      <right style="thin">
        <color indexed="32"/>
      </right>
      <top style="medium">
        <color indexed="64"/>
      </top>
      <bottom/>
      <diagonal/>
    </border>
    <border>
      <left style="thin">
        <color indexed="32"/>
      </left>
      <right style="thin">
        <color indexed="32"/>
      </right>
      <top style="medium">
        <color indexed="64"/>
      </top>
      <bottom style="thin">
        <color indexed="32"/>
      </bottom>
      <diagonal/>
    </border>
    <border>
      <left style="thin">
        <color indexed="64"/>
      </left>
      <right style="thin">
        <color indexed="64"/>
      </right>
      <top style="thin">
        <color indexed="64"/>
      </top>
      <bottom style="medium">
        <color indexed="64"/>
      </bottom>
      <diagonal/>
    </border>
    <border>
      <left/>
      <right style="thin">
        <color indexed="58"/>
      </right>
      <top style="thin">
        <color indexed="58"/>
      </top>
      <bottom style="medium">
        <color indexed="64"/>
      </bottom>
      <diagonal/>
    </border>
    <border>
      <left style="thin">
        <color indexed="32"/>
      </left>
      <right style="thin">
        <color indexed="32"/>
      </right>
      <top style="thin">
        <color indexed="32"/>
      </top>
      <bottom style="medium">
        <color indexed="32"/>
      </bottom>
      <diagonal/>
    </border>
    <border>
      <left style="medium">
        <color indexed="32"/>
      </left>
      <right style="thin">
        <color indexed="32"/>
      </right>
      <top style="medium">
        <color indexed="32"/>
      </top>
      <bottom/>
      <diagonal/>
    </border>
    <border>
      <left style="thin">
        <color indexed="32"/>
      </left>
      <right/>
      <top style="medium">
        <color indexed="32"/>
      </top>
      <bottom/>
      <diagonal/>
    </border>
    <border>
      <left style="thin">
        <color indexed="32"/>
      </left>
      <right style="thin">
        <color indexed="32"/>
      </right>
      <top style="medium">
        <color indexed="32"/>
      </top>
      <bottom/>
      <diagonal/>
    </border>
    <border>
      <left/>
      <right style="medium">
        <color indexed="32"/>
      </right>
      <top style="medium">
        <color indexed="32"/>
      </top>
      <bottom/>
      <diagonal/>
    </border>
    <border>
      <left style="thin">
        <color indexed="32"/>
      </left>
      <right/>
      <top style="medium">
        <color indexed="64"/>
      </top>
      <bottom style="thin">
        <color indexed="32"/>
      </bottom>
      <diagonal/>
    </border>
    <border>
      <left/>
      <right style="medium">
        <color indexed="64"/>
      </right>
      <top style="thin">
        <color indexed="32"/>
      </top>
      <bottom style="thin">
        <color indexed="32"/>
      </bottom>
      <diagonal/>
    </border>
    <border>
      <left/>
      <right style="thin">
        <color indexed="32"/>
      </right>
      <top/>
      <bottom/>
      <diagonal/>
    </border>
    <border>
      <left style="thin">
        <color indexed="32"/>
      </left>
      <right style="medium">
        <color indexed="64"/>
      </right>
      <top style="medium">
        <color indexed="64"/>
      </top>
      <bottom style="thin">
        <color indexed="32"/>
      </bottom>
      <diagonal/>
    </border>
    <border>
      <left style="thin">
        <color indexed="32"/>
      </left>
      <right/>
      <top style="thin">
        <color indexed="32"/>
      </top>
      <bottom style="medium">
        <color indexed="64"/>
      </bottom>
      <diagonal/>
    </border>
    <border>
      <left style="thin">
        <color indexed="64"/>
      </left>
      <right style="thin">
        <color indexed="64"/>
      </right>
      <top style="thin">
        <color indexed="64"/>
      </top>
      <bottom/>
      <diagonal/>
    </border>
    <border>
      <left style="thin">
        <color indexed="32"/>
      </left>
      <right style="medium">
        <color indexed="64"/>
      </right>
      <top style="thin">
        <color indexed="32"/>
      </top>
      <bottom style="thin">
        <color indexed="32"/>
      </bottom>
      <diagonal/>
    </border>
    <border>
      <left style="thin">
        <color indexed="58"/>
      </left>
      <right/>
      <top style="thin">
        <color indexed="58"/>
      </top>
      <bottom style="thin">
        <color indexed="58"/>
      </bottom>
      <diagonal/>
    </border>
    <border>
      <left style="thin">
        <color indexed="58"/>
      </left>
      <right/>
      <top style="thin">
        <color indexed="58"/>
      </top>
      <bottom style="medium">
        <color indexed="64"/>
      </bottom>
      <diagonal/>
    </border>
    <border>
      <left style="thin">
        <color indexed="60"/>
      </left>
      <right style="medium">
        <color indexed="60"/>
      </right>
      <top style="thin">
        <color indexed="60"/>
      </top>
      <bottom style="medium">
        <color indexed="60"/>
      </bottom>
      <diagonal/>
    </border>
    <border>
      <left style="thin">
        <color indexed="64"/>
      </left>
      <right style="medium">
        <color indexed="64"/>
      </right>
      <top style="thin">
        <color indexed="64"/>
      </top>
      <bottom style="medium">
        <color indexed="64"/>
      </bottom>
      <diagonal/>
    </border>
    <border>
      <left style="thin">
        <color indexed="32"/>
      </left>
      <right style="thin">
        <color indexed="32"/>
      </right>
      <top style="thin">
        <color indexed="32"/>
      </top>
      <bottom/>
      <diagonal/>
    </border>
    <border>
      <left/>
      <right/>
      <top style="thin">
        <color indexed="32"/>
      </top>
      <bottom/>
      <diagonal/>
    </border>
    <border>
      <left/>
      <right/>
      <top/>
      <bottom style="thin">
        <color indexed="64"/>
      </bottom>
      <diagonal/>
    </border>
    <border>
      <left style="medium">
        <color indexed="64"/>
      </left>
      <right/>
      <top style="thin">
        <color indexed="32"/>
      </top>
      <bottom style="medium">
        <color indexed="32"/>
      </bottom>
      <diagonal/>
    </border>
    <border>
      <left style="medium">
        <color indexed="64"/>
      </left>
      <right/>
      <top style="thin">
        <color indexed="32"/>
      </top>
      <bottom style="medium">
        <color indexed="64"/>
      </bottom>
      <diagonal/>
    </border>
    <border>
      <left/>
      <right style="medium">
        <color indexed="64"/>
      </right>
      <top style="thin">
        <color indexed="32"/>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58"/>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51"/>
      </left>
      <right style="medium">
        <color indexed="51"/>
      </right>
      <top style="medium">
        <color indexed="51"/>
      </top>
      <bottom style="medium">
        <color indexed="51"/>
      </bottom>
      <diagonal/>
    </border>
    <border>
      <left style="medium">
        <color indexed="51"/>
      </left>
      <right style="medium">
        <color indexed="51"/>
      </right>
      <top style="thin">
        <color indexed="32"/>
      </top>
      <bottom style="thin">
        <color indexed="32"/>
      </bottom>
      <diagonal/>
    </border>
    <border>
      <left style="medium">
        <color indexed="51"/>
      </left>
      <right style="thin">
        <color indexed="32"/>
      </right>
      <top style="thin">
        <color indexed="32"/>
      </top>
      <bottom style="thin">
        <color indexed="32"/>
      </bottom>
      <diagonal/>
    </border>
    <border>
      <left style="medium">
        <color indexed="51"/>
      </left>
      <right style="medium">
        <color indexed="51"/>
      </right>
      <top style="thin">
        <color indexed="32"/>
      </top>
      <bottom style="medium">
        <color indexed="51"/>
      </bottom>
      <diagonal/>
    </border>
    <border>
      <left style="medium">
        <color indexed="51"/>
      </left>
      <right/>
      <top style="thin">
        <color indexed="64"/>
      </top>
      <bottom/>
      <diagonal/>
    </border>
    <border>
      <left/>
      <right/>
      <top style="thin">
        <color indexed="64"/>
      </top>
      <bottom/>
      <diagonal/>
    </border>
    <border>
      <left/>
      <right style="medium">
        <color indexed="51"/>
      </right>
      <top style="thin">
        <color indexed="64"/>
      </top>
      <bottom/>
      <diagonal/>
    </border>
    <border>
      <left style="medium">
        <color indexed="51"/>
      </left>
      <right/>
      <top/>
      <bottom style="thin">
        <color indexed="64"/>
      </bottom>
      <diagonal/>
    </border>
    <border>
      <left/>
      <right style="medium">
        <color indexed="51"/>
      </right>
      <top/>
      <bottom style="thin">
        <color indexed="64"/>
      </bottom>
      <diagonal/>
    </border>
    <border>
      <left style="medium">
        <color indexed="51"/>
      </left>
      <right style="medium">
        <color indexed="51"/>
      </right>
      <top style="thin">
        <color indexed="64"/>
      </top>
      <bottom/>
      <diagonal/>
    </border>
    <border>
      <left style="medium">
        <color indexed="51"/>
      </left>
      <right style="medium">
        <color indexed="51"/>
      </right>
      <top/>
      <bottom style="thin">
        <color indexed="64"/>
      </bottom>
      <diagonal/>
    </border>
    <border>
      <left style="medium">
        <color indexed="51"/>
      </left>
      <right style="thin">
        <color indexed="64"/>
      </right>
      <top style="thin">
        <color indexed="64"/>
      </top>
      <bottom/>
      <diagonal/>
    </border>
    <border>
      <left style="medium">
        <color indexed="51"/>
      </left>
      <right style="thin">
        <color indexed="64"/>
      </right>
      <top/>
      <bottom style="thin">
        <color indexed="64"/>
      </bottom>
      <diagonal/>
    </border>
    <border>
      <left/>
      <right style="thin">
        <color indexed="32"/>
      </right>
      <top style="thin">
        <color indexed="32"/>
      </top>
      <bottom/>
      <diagonal/>
    </border>
    <border>
      <left/>
      <right style="thin">
        <color indexed="32"/>
      </right>
      <top/>
      <bottom style="thin">
        <color indexed="58"/>
      </bottom>
      <diagonal/>
    </border>
    <border>
      <left style="thin">
        <color indexed="32"/>
      </left>
      <right style="thin">
        <color indexed="32"/>
      </right>
      <top/>
      <bottom/>
      <diagonal/>
    </border>
    <border>
      <left style="thin">
        <color indexed="32"/>
      </left>
      <right style="thin">
        <color indexed="32"/>
      </right>
      <top/>
      <bottom style="thin">
        <color indexed="58"/>
      </bottom>
      <diagonal/>
    </border>
    <border>
      <left style="thin">
        <color indexed="32"/>
      </left>
      <right style="medium">
        <color indexed="64"/>
      </right>
      <top style="thin">
        <color indexed="32"/>
      </top>
      <bottom/>
      <diagonal/>
    </border>
    <border>
      <left style="thin">
        <color indexed="32"/>
      </left>
      <right style="medium">
        <color indexed="64"/>
      </right>
      <top/>
      <bottom/>
      <diagonal/>
    </border>
    <border>
      <left style="thin">
        <color indexed="32"/>
      </left>
      <right style="medium">
        <color indexed="64"/>
      </right>
      <top/>
      <bottom style="thin">
        <color indexed="32"/>
      </bottom>
      <diagonal/>
    </border>
    <border>
      <left/>
      <right/>
      <top style="medium">
        <color indexed="60"/>
      </top>
      <bottom/>
      <diagonal/>
    </border>
    <border>
      <left style="medium">
        <color indexed="16"/>
      </left>
      <right style="medium">
        <color indexed="16"/>
      </right>
      <top style="medium">
        <color indexed="16"/>
      </top>
      <bottom style="thin">
        <color indexed="16"/>
      </bottom>
      <diagonal/>
    </border>
    <border>
      <left style="medium">
        <color indexed="32"/>
      </left>
      <right style="medium">
        <color indexed="32"/>
      </right>
      <top style="medium">
        <color indexed="32"/>
      </top>
      <bottom style="medium">
        <color indexed="32"/>
      </bottom>
      <diagonal/>
    </border>
    <border>
      <left style="medium">
        <color indexed="16"/>
      </left>
      <right style="medium">
        <color indexed="16"/>
      </right>
      <top style="medium">
        <color indexed="16"/>
      </top>
      <bottom style="thin">
        <color indexed="32"/>
      </bottom>
      <diagonal/>
    </border>
    <border>
      <left style="medium">
        <color indexed="48"/>
      </left>
      <right style="thin">
        <color indexed="32"/>
      </right>
      <top style="medium">
        <color indexed="48"/>
      </top>
      <bottom style="thin">
        <color indexed="32"/>
      </bottom>
      <diagonal/>
    </border>
    <border>
      <left style="medium">
        <color indexed="32"/>
      </left>
      <right/>
      <top style="thin">
        <color indexed="32"/>
      </top>
      <bottom style="medium">
        <color indexed="32"/>
      </bottom>
      <diagonal/>
    </border>
    <border>
      <left/>
      <right style="medium">
        <color indexed="32"/>
      </right>
      <top style="thin">
        <color indexed="32"/>
      </top>
      <bottom style="medium">
        <color indexed="32"/>
      </bottom>
      <diagonal/>
    </border>
    <border>
      <left style="medium">
        <color indexed="32"/>
      </left>
      <right/>
      <top style="medium">
        <color indexed="32"/>
      </top>
      <bottom style="medium">
        <color indexed="32"/>
      </bottom>
      <diagonal/>
    </border>
    <border>
      <left/>
      <right/>
      <top style="medium">
        <color indexed="32"/>
      </top>
      <bottom style="medium">
        <color indexed="32"/>
      </bottom>
      <diagonal/>
    </border>
    <border>
      <left/>
      <right style="medium">
        <color indexed="32"/>
      </right>
      <top style="medium">
        <color indexed="32"/>
      </top>
      <bottom style="medium">
        <color indexed="32"/>
      </bottom>
      <diagonal/>
    </border>
    <border>
      <left style="medium">
        <color indexed="32"/>
      </left>
      <right/>
      <top style="medium">
        <color indexed="32"/>
      </top>
      <bottom style="thin">
        <color indexed="32"/>
      </bottom>
      <diagonal/>
    </border>
    <border>
      <left/>
      <right style="medium">
        <color indexed="32"/>
      </right>
      <top style="medium">
        <color indexed="32"/>
      </top>
      <bottom style="thin">
        <color indexed="32"/>
      </bottom>
      <diagonal/>
    </border>
    <border>
      <left style="medium">
        <color indexed="32"/>
      </left>
      <right/>
      <top style="thin">
        <color indexed="32"/>
      </top>
      <bottom style="thin">
        <color indexed="32"/>
      </bottom>
      <diagonal/>
    </border>
    <border>
      <left/>
      <right style="medium">
        <color indexed="32"/>
      </right>
      <top style="thin">
        <color indexed="32"/>
      </top>
      <bottom style="thin">
        <color indexed="32"/>
      </bottom>
      <diagonal/>
    </border>
    <border>
      <left style="thin">
        <color indexed="32"/>
      </left>
      <right style="medium">
        <color indexed="64"/>
      </right>
      <top/>
      <bottom style="medium">
        <color indexed="64"/>
      </bottom>
      <diagonal/>
    </border>
    <border>
      <left style="medium">
        <color indexed="64"/>
      </left>
      <right style="thin">
        <color indexed="32"/>
      </right>
      <top style="medium">
        <color indexed="64"/>
      </top>
      <bottom/>
      <diagonal/>
    </border>
    <border>
      <left style="medium">
        <color indexed="64"/>
      </left>
      <right style="thin">
        <color indexed="32"/>
      </right>
      <top/>
      <bottom/>
      <diagonal/>
    </border>
    <border>
      <left style="medium">
        <color indexed="64"/>
      </left>
      <right style="thin">
        <color indexed="32"/>
      </right>
      <top/>
      <bottom style="medium">
        <color indexed="64"/>
      </bottom>
      <diagonal/>
    </border>
    <border>
      <left style="thin">
        <color indexed="32"/>
      </left>
      <right style="medium">
        <color indexed="64"/>
      </right>
      <top style="medium">
        <color indexed="64"/>
      </top>
      <bottom/>
      <diagonal/>
    </border>
    <border>
      <left style="thin">
        <color indexed="32"/>
      </left>
      <right style="thin">
        <color indexed="32"/>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32"/>
      </left>
      <right style="medium">
        <color indexed="51"/>
      </right>
      <top style="hair">
        <color indexed="32"/>
      </top>
      <bottom style="hair">
        <color indexed="32"/>
      </bottom>
      <diagonal/>
    </border>
    <border>
      <left style="medium">
        <color indexed="51"/>
      </left>
      <right style="medium">
        <color indexed="51"/>
      </right>
      <top style="hair">
        <color indexed="51"/>
      </top>
      <bottom style="medium">
        <color indexed="51"/>
      </bottom>
      <diagonal/>
    </border>
    <border>
      <left style="medium">
        <color indexed="51"/>
      </left>
      <right style="medium">
        <color indexed="51"/>
      </right>
      <top style="hair">
        <color indexed="51"/>
      </top>
      <bottom style="hair">
        <color indexed="51"/>
      </bottom>
      <diagonal/>
    </border>
    <border>
      <left style="hair">
        <color indexed="32"/>
      </left>
      <right style="medium">
        <color indexed="51"/>
      </right>
      <top style="medium">
        <color indexed="51"/>
      </top>
      <bottom style="hair">
        <color indexed="32"/>
      </bottom>
      <diagonal/>
    </border>
    <border>
      <left style="medium">
        <color indexed="51"/>
      </left>
      <right style="medium">
        <color indexed="51"/>
      </right>
      <top style="medium">
        <color indexed="51"/>
      </top>
      <bottom style="hair">
        <color indexed="51"/>
      </bottom>
      <diagonal/>
    </border>
    <border>
      <left/>
      <right style="medium">
        <color indexed="52"/>
      </right>
      <top/>
      <bottom/>
      <diagonal/>
    </border>
    <border>
      <left/>
      <right style="medium">
        <color indexed="62"/>
      </right>
      <top style="hair">
        <color indexed="23"/>
      </top>
      <bottom style="hair">
        <color indexed="23"/>
      </bottom>
      <diagonal/>
    </border>
    <border>
      <left style="medium">
        <color indexed="18"/>
      </left>
      <right style="medium">
        <color indexed="18"/>
      </right>
      <top style="hair">
        <color indexed="18"/>
      </top>
      <bottom style="hair">
        <color indexed="18"/>
      </bottom>
      <diagonal/>
    </border>
    <border>
      <left/>
      <right style="medium">
        <color indexed="62"/>
      </right>
      <top style="hair">
        <color indexed="23"/>
      </top>
      <bottom style="medium">
        <color indexed="62"/>
      </bottom>
      <diagonal/>
    </border>
    <border>
      <left style="medium">
        <color indexed="18"/>
      </left>
      <right style="medium">
        <color indexed="18"/>
      </right>
      <top style="hair">
        <color indexed="18"/>
      </top>
      <bottom style="medium">
        <color indexed="18"/>
      </bottom>
      <diagonal/>
    </border>
    <border>
      <left/>
      <right style="medium">
        <color indexed="62"/>
      </right>
      <top style="medium">
        <color indexed="62"/>
      </top>
      <bottom style="hair">
        <color indexed="23"/>
      </bottom>
      <diagonal/>
    </border>
    <border>
      <left style="medium">
        <color indexed="18"/>
      </left>
      <right style="medium">
        <color indexed="18"/>
      </right>
      <top style="medium">
        <color indexed="18"/>
      </top>
      <bottom style="hair">
        <color indexed="18"/>
      </bottom>
      <diagonal/>
    </border>
    <border>
      <left/>
      <right style="medium">
        <color indexed="52"/>
      </right>
      <top/>
      <bottom style="medium">
        <color indexed="52"/>
      </bottom>
      <diagonal/>
    </border>
    <border>
      <left style="medium">
        <color indexed="18"/>
      </left>
      <right style="medium">
        <color indexed="18"/>
      </right>
      <top style="medium">
        <color indexed="18"/>
      </top>
      <bottom/>
      <diagonal/>
    </border>
    <border>
      <left style="medium">
        <color indexed="18"/>
      </left>
      <right/>
      <top style="medium">
        <color indexed="18"/>
      </top>
      <bottom style="medium">
        <color indexed="18"/>
      </bottom>
      <diagonal/>
    </border>
    <border>
      <left/>
      <right style="medium">
        <color indexed="60"/>
      </right>
      <top style="hair">
        <color indexed="23"/>
      </top>
      <bottom style="medium">
        <color indexed="60"/>
      </bottom>
      <diagonal/>
    </border>
    <border>
      <left style="medium">
        <color indexed="60"/>
      </left>
      <right style="medium">
        <color indexed="60"/>
      </right>
      <top/>
      <bottom style="medium">
        <color indexed="60"/>
      </bottom>
      <diagonal/>
    </border>
    <border>
      <left/>
      <right style="medium">
        <color indexed="60"/>
      </right>
      <top style="hair">
        <color indexed="23"/>
      </top>
      <bottom style="hair">
        <color indexed="23"/>
      </bottom>
      <diagonal/>
    </border>
    <border>
      <left style="medium">
        <color indexed="60"/>
      </left>
      <right style="medium">
        <color indexed="60"/>
      </right>
      <top/>
      <bottom style="hair">
        <color indexed="32"/>
      </bottom>
      <diagonal/>
    </border>
    <border>
      <left style="medium">
        <color indexed="60"/>
      </left>
      <right style="medium">
        <color indexed="60"/>
      </right>
      <top style="hair">
        <color indexed="32"/>
      </top>
      <bottom style="hair">
        <color indexed="32"/>
      </bottom>
      <diagonal/>
    </border>
    <border>
      <left style="medium">
        <color indexed="32"/>
      </left>
      <right style="medium">
        <color indexed="32"/>
      </right>
      <top style="hair">
        <color indexed="32"/>
      </top>
      <bottom style="medium">
        <color indexed="32"/>
      </bottom>
      <diagonal/>
    </border>
    <border>
      <left style="medium">
        <color indexed="32"/>
      </left>
      <right style="hair">
        <color indexed="32"/>
      </right>
      <top style="hair">
        <color indexed="32"/>
      </top>
      <bottom style="medium">
        <color indexed="32"/>
      </bottom>
      <diagonal/>
    </border>
    <border>
      <left style="hair">
        <color indexed="32"/>
      </left>
      <right style="hair">
        <color indexed="32"/>
      </right>
      <top style="hair">
        <color indexed="32"/>
      </top>
      <bottom style="medium">
        <color indexed="32"/>
      </bottom>
      <diagonal/>
    </border>
    <border>
      <left style="hair">
        <color indexed="32"/>
      </left>
      <right style="medium">
        <color indexed="32"/>
      </right>
      <top style="hair">
        <color indexed="32"/>
      </top>
      <bottom style="medium">
        <color indexed="32"/>
      </bottom>
      <diagonal/>
    </border>
    <border>
      <left style="medium">
        <color indexed="32"/>
      </left>
      <right style="medium">
        <color indexed="32"/>
      </right>
      <top style="hair">
        <color indexed="32"/>
      </top>
      <bottom style="hair">
        <color indexed="32"/>
      </bottom>
      <diagonal/>
    </border>
    <border>
      <left style="medium">
        <color indexed="32"/>
      </left>
      <right style="hair">
        <color indexed="32"/>
      </right>
      <top style="hair">
        <color indexed="32"/>
      </top>
      <bottom style="hair">
        <color indexed="32"/>
      </bottom>
      <diagonal/>
    </border>
    <border>
      <left style="hair">
        <color indexed="32"/>
      </left>
      <right style="hair">
        <color indexed="32"/>
      </right>
      <top style="hair">
        <color indexed="32"/>
      </top>
      <bottom style="hair">
        <color indexed="32"/>
      </bottom>
      <diagonal/>
    </border>
    <border>
      <left style="hair">
        <color indexed="32"/>
      </left>
      <right style="medium">
        <color indexed="32"/>
      </right>
      <top style="hair">
        <color indexed="32"/>
      </top>
      <bottom style="hair">
        <color indexed="32"/>
      </bottom>
      <diagonal/>
    </border>
    <border>
      <left style="medium">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hair">
        <color indexed="57"/>
      </left>
      <right style="medium">
        <color indexed="57"/>
      </right>
      <top style="medium">
        <color indexed="57"/>
      </top>
      <bottom style="medium">
        <color indexed="57"/>
      </bottom>
      <diagonal/>
    </border>
    <border>
      <left style="medium">
        <color indexed="32"/>
      </left>
      <right style="medium">
        <color indexed="32"/>
      </right>
      <top style="medium">
        <color indexed="57"/>
      </top>
      <bottom style="hair">
        <color indexed="32"/>
      </bottom>
      <diagonal/>
    </border>
    <border>
      <left style="medium">
        <color indexed="32"/>
      </left>
      <right style="hair">
        <color indexed="32"/>
      </right>
      <top/>
      <bottom style="hair">
        <color indexed="32"/>
      </bottom>
      <diagonal/>
    </border>
    <border>
      <left style="hair">
        <color indexed="32"/>
      </left>
      <right style="medium">
        <color indexed="32"/>
      </right>
      <top/>
      <bottom style="hair">
        <color indexed="32"/>
      </bottom>
      <diagonal/>
    </border>
    <border>
      <left/>
      <right style="medium">
        <color indexed="32"/>
      </right>
      <top style="hair">
        <color indexed="32"/>
      </top>
      <bottom style="medium">
        <color indexed="32"/>
      </bottom>
      <diagonal/>
    </border>
    <border>
      <left/>
      <right style="medium">
        <color indexed="32"/>
      </right>
      <top style="hair">
        <color indexed="32"/>
      </top>
      <bottom style="hair">
        <color indexed="32"/>
      </bottom>
      <diagonal/>
    </border>
    <border>
      <left style="hair">
        <color indexed="32"/>
      </left>
      <right style="medium">
        <color indexed="32"/>
      </right>
      <top style="medium">
        <color indexed="57"/>
      </top>
      <bottom style="hair">
        <color indexed="32"/>
      </bottom>
      <diagonal/>
    </border>
    <border>
      <left style="medium">
        <color indexed="32"/>
      </left>
      <right style="hair">
        <color indexed="32"/>
      </right>
      <top style="medium">
        <color indexed="57"/>
      </top>
      <bottom style="hair">
        <color indexed="32"/>
      </bottom>
      <diagonal/>
    </border>
    <border>
      <left style="hair">
        <color indexed="32"/>
      </left>
      <right style="hair">
        <color indexed="32"/>
      </right>
      <top style="medium">
        <color indexed="57"/>
      </top>
      <bottom style="hair">
        <color indexed="32"/>
      </bottom>
      <diagonal/>
    </border>
    <border>
      <left style="medium">
        <color theme="5"/>
      </left>
      <right style="thin">
        <color indexed="64"/>
      </right>
      <top style="medium">
        <color theme="5"/>
      </top>
      <bottom style="thin">
        <color indexed="64"/>
      </bottom>
      <diagonal/>
    </border>
    <border>
      <left style="thin">
        <color indexed="64"/>
      </left>
      <right style="thin">
        <color indexed="64"/>
      </right>
      <top style="medium">
        <color theme="5"/>
      </top>
      <bottom style="thin">
        <color indexed="64"/>
      </bottom>
      <diagonal/>
    </border>
    <border>
      <left style="thin">
        <color indexed="64"/>
      </left>
      <right style="medium">
        <color theme="5"/>
      </right>
      <top style="medium">
        <color theme="5"/>
      </top>
      <bottom style="thin">
        <color indexed="64"/>
      </bottom>
      <diagonal/>
    </border>
    <border>
      <left style="medium">
        <color theme="5"/>
      </left>
      <right style="thin">
        <color indexed="64"/>
      </right>
      <top style="thin">
        <color indexed="64"/>
      </top>
      <bottom style="thin">
        <color indexed="64"/>
      </bottom>
      <diagonal/>
    </border>
    <border>
      <left style="medium">
        <color theme="5"/>
      </left>
      <right style="thin">
        <color indexed="64"/>
      </right>
      <top style="thin">
        <color indexed="64"/>
      </top>
      <bottom style="medium">
        <color theme="5"/>
      </bottom>
      <diagonal/>
    </border>
    <border>
      <left style="thin">
        <color indexed="64"/>
      </left>
      <right style="thin">
        <color indexed="64"/>
      </right>
      <top style="thin">
        <color indexed="64"/>
      </top>
      <bottom style="medium">
        <color theme="5"/>
      </bottom>
      <diagonal/>
    </border>
    <border>
      <left style="medium">
        <color theme="5"/>
      </left>
      <right style="thin">
        <color indexed="64"/>
      </right>
      <top style="thin">
        <color indexed="64"/>
      </top>
      <bottom/>
      <diagonal/>
    </border>
    <border>
      <left style="thin">
        <color indexed="64"/>
      </left>
      <right style="medium">
        <color theme="5"/>
      </right>
      <top style="thin">
        <color indexed="64"/>
      </top>
      <bottom style="thin">
        <color indexed="64"/>
      </bottom>
      <diagonal/>
    </border>
    <border>
      <left style="thin">
        <color indexed="64"/>
      </left>
      <right style="medium">
        <color theme="5"/>
      </right>
      <top style="thin">
        <color indexed="64"/>
      </top>
      <bottom style="medium">
        <color theme="5"/>
      </bottom>
      <diagonal/>
    </border>
    <border>
      <left style="thin">
        <color indexed="58"/>
      </left>
      <right style="thin">
        <color indexed="58"/>
      </right>
      <top style="thin">
        <color indexed="58"/>
      </top>
      <bottom/>
      <diagonal/>
    </border>
  </borders>
  <cellStyleXfs count="104">
    <xf numFmtId="0" fontId="0" fillId="0" borderId="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2" borderId="0" applyNumberFormat="0" applyBorder="0" applyAlignment="0" applyProtection="0"/>
    <xf numFmtId="0" fontId="107" fillId="5" borderId="0" applyNumberFormat="0" applyBorder="0" applyAlignment="0" applyProtection="0"/>
    <xf numFmtId="0" fontId="107" fillId="3"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5" borderId="0" applyNumberFormat="0" applyBorder="0" applyAlignment="0" applyProtection="0"/>
    <xf numFmtId="0" fontId="107" fillId="3"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0" borderId="0" applyNumberFormat="0" applyBorder="0" applyAlignment="0" applyProtection="0"/>
    <xf numFmtId="0" fontId="107" fillId="13" borderId="0" applyNumberFormat="0" applyBorder="0" applyAlignment="0" applyProtection="0"/>
    <xf numFmtId="0" fontId="107" fillId="3" borderId="0" applyNumberFormat="0" applyBorder="0" applyAlignment="0" applyProtection="0"/>
    <xf numFmtId="0" fontId="107" fillId="13" borderId="0" applyNumberFormat="0" applyBorder="0" applyAlignment="0" applyProtection="0"/>
    <xf numFmtId="0" fontId="107" fillId="11" borderId="0" applyNumberFormat="0" applyBorder="0" applyAlignment="0" applyProtection="0"/>
    <xf numFmtId="0" fontId="107" fillId="14" borderId="0" applyNumberFormat="0" applyBorder="0" applyAlignment="0" applyProtection="0"/>
    <xf numFmtId="0" fontId="107" fillId="9" borderId="0" applyNumberFormat="0" applyBorder="0" applyAlignment="0" applyProtection="0"/>
    <xf numFmtId="0" fontId="107" fillId="13" borderId="0" applyNumberFormat="0" applyBorder="0" applyAlignment="0" applyProtection="0"/>
    <xf numFmtId="0" fontId="10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4" fillId="10" borderId="1" applyNumberFormat="0" applyAlignment="0" applyProtection="0"/>
    <xf numFmtId="0" fontId="2" fillId="25" borderId="0" applyNumberFormat="0" applyBorder="0" applyAlignment="0" applyProtection="0"/>
    <xf numFmtId="0" fontId="2" fillId="1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166" fontId="107" fillId="0" borderId="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3" fillId="7" borderId="0" applyNumberFormat="0" applyBorder="0" applyAlignment="0" applyProtection="0"/>
    <xf numFmtId="167" fontId="107" fillId="0" borderId="0" applyFill="0" applyBorder="0" applyAlignment="0" applyProtection="0"/>
    <xf numFmtId="167" fontId="9" fillId="0" borderId="0" applyFill="0" applyBorder="0" applyAlignment="0" applyProtection="0"/>
    <xf numFmtId="164" fontId="1" fillId="0" borderId="0" applyFill="0" applyBorder="0" applyAlignment="0" applyProtection="0"/>
    <xf numFmtId="0" fontId="10" fillId="12" borderId="0" applyNumberFormat="0" applyBorder="0" applyAlignment="0" applyProtection="0"/>
    <xf numFmtId="167" fontId="10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167" fontId="107" fillId="0" borderId="0"/>
    <xf numFmtId="0" fontId="9" fillId="0" borderId="0"/>
    <xf numFmtId="0" fontId="11" fillId="2" borderId="4" applyNumberFormat="0" applyAlignment="0" applyProtection="0"/>
    <xf numFmtId="9"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167" fontId="107" fillId="0" borderId="0" applyFill="0" applyBorder="0" applyAlignment="0" applyProtection="0"/>
    <xf numFmtId="0" fontId="11" fillId="10" borderId="4" applyNumberFormat="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5"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07" fillId="0" borderId="5" applyNumberFormat="0" applyFill="0" applyAlignment="0" applyProtection="0"/>
    <xf numFmtId="0" fontId="14" fillId="0" borderId="6" applyNumberFormat="0" applyFill="0" applyAlignment="0" applyProtection="0"/>
  </cellStyleXfs>
  <cellXfs count="723">
    <xf numFmtId="0" fontId="0" fillId="0" borderId="0" xfId="0"/>
    <xf numFmtId="167" fontId="19" fillId="0" borderId="0" xfId="70" applyFont="1" applyAlignment="1">
      <alignment vertical="center"/>
    </xf>
    <xf numFmtId="0" fontId="21" fillId="0" borderId="0" xfId="0" applyFont="1"/>
    <xf numFmtId="167" fontId="21" fillId="0" borderId="0" xfId="0" applyNumberFormat="1" applyFont="1"/>
    <xf numFmtId="167" fontId="18" fillId="0" borderId="0" xfId="69" applyFont="1" applyAlignment="1">
      <alignment horizontal="center" vertical="center"/>
    </xf>
    <xf numFmtId="167" fontId="19" fillId="0" borderId="0" xfId="69" applyFont="1" applyAlignment="1">
      <alignment vertical="center"/>
    </xf>
    <xf numFmtId="0" fontId="17" fillId="0" borderId="0" xfId="0" applyFont="1"/>
    <xf numFmtId="0" fontId="0" fillId="0" borderId="0" xfId="0" applyAlignment="1">
      <alignment horizontal="center"/>
    </xf>
    <xf numFmtId="0" fontId="33" fillId="0" borderId="0" xfId="0" applyFont="1"/>
    <xf numFmtId="0" fontId="25" fillId="12" borderId="7" xfId="0" applyFont="1" applyFill="1" applyBorder="1" applyAlignment="1">
      <alignment horizontal="justify" vertical="center" wrapText="1"/>
    </xf>
    <xf numFmtId="0" fontId="29" fillId="12" borderId="8" xfId="0" applyFont="1" applyFill="1" applyBorder="1" applyAlignment="1">
      <alignment horizontal="justify" vertical="center" wrapText="1"/>
    </xf>
    <xf numFmtId="0" fontId="29" fillId="12" borderId="9" xfId="0" applyFont="1" applyFill="1" applyBorder="1" applyAlignment="1">
      <alignment horizontal="justify" vertical="center" wrapText="1"/>
    </xf>
    <xf numFmtId="0" fontId="25" fillId="12" borderId="7" xfId="0" applyFont="1" applyFill="1" applyBorder="1" applyAlignment="1">
      <alignment horizontal="left" vertical="center" wrapText="1"/>
    </xf>
    <xf numFmtId="0" fontId="25" fillId="12" borderId="8" xfId="0" applyFont="1" applyFill="1" applyBorder="1" applyAlignment="1">
      <alignment horizontal="left" vertical="center" wrapText="1"/>
    </xf>
    <xf numFmtId="0" fontId="25" fillId="12" borderId="9" xfId="0" applyFont="1" applyFill="1" applyBorder="1" applyAlignment="1">
      <alignment horizontal="left" vertical="center" wrapText="1"/>
    </xf>
    <xf numFmtId="0" fontId="25" fillId="0" borderId="7"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25" fillId="0" borderId="7" xfId="0" applyFont="1" applyBorder="1" applyAlignment="1" applyProtection="1">
      <alignment horizontal="justify" vertical="center" wrapText="1"/>
      <protection locked="0"/>
    </xf>
    <xf numFmtId="0" fontId="29" fillId="0" borderId="8" xfId="0" applyFont="1" applyBorder="1" applyAlignment="1" applyProtection="1">
      <alignment horizontal="justify" vertical="center" wrapText="1"/>
      <protection locked="0"/>
    </xf>
    <xf numFmtId="0" fontId="29" fillId="0" borderId="9" xfId="0" applyFont="1" applyBorder="1" applyAlignment="1" applyProtection="1">
      <alignment horizontal="justify" vertical="center" wrapText="1"/>
      <protection locked="0"/>
    </xf>
    <xf numFmtId="0" fontId="28" fillId="0" borderId="7" xfId="0" applyFont="1" applyBorder="1" applyAlignment="1">
      <alignment vertical="center" wrapText="1"/>
    </xf>
    <xf numFmtId="0" fontId="28" fillId="0" borderId="8" xfId="0" applyFont="1" applyBorder="1" applyAlignment="1">
      <alignment vertical="center" wrapText="1"/>
    </xf>
    <xf numFmtId="0" fontId="25" fillId="0" borderId="8" xfId="0" applyFont="1" applyBorder="1" applyAlignment="1">
      <alignment horizontal="justify" vertical="center" wrapText="1"/>
    </xf>
    <xf numFmtId="0" fontId="29" fillId="0" borderId="8" xfId="0" applyFont="1" applyBorder="1" applyAlignment="1">
      <alignment horizontal="justify" vertical="center" wrapText="1"/>
    </xf>
    <xf numFmtId="0" fontId="25" fillId="0" borderId="9" xfId="0" applyFont="1" applyBorder="1" applyAlignment="1">
      <alignment horizontal="justify" vertical="center" wrapText="1"/>
    </xf>
    <xf numFmtId="0" fontId="25" fillId="0" borderId="7" xfId="0" applyFont="1" applyBorder="1" applyAlignment="1">
      <alignment horizontal="justify" vertical="center" wrapText="1"/>
    </xf>
    <xf numFmtId="167" fontId="38" fillId="0" borderId="0" xfId="61" applyFont="1" applyAlignment="1">
      <alignment vertical="center"/>
    </xf>
    <xf numFmtId="167" fontId="39" fillId="0" borderId="0" xfId="0" applyNumberFormat="1" applyFont="1" applyAlignment="1">
      <alignment horizontal="right"/>
    </xf>
    <xf numFmtId="167" fontId="0" fillId="0" borderId="10" xfId="0" applyNumberFormat="1" applyBorder="1" applyAlignment="1" applyProtection="1">
      <alignment horizontal="center"/>
      <protection locked="0"/>
    </xf>
    <xf numFmtId="0" fontId="39" fillId="0" borderId="0" xfId="0" applyFont="1" applyAlignment="1">
      <alignment horizontal="right"/>
    </xf>
    <xf numFmtId="0" fontId="39" fillId="0" borderId="0" xfId="0" applyFont="1"/>
    <xf numFmtId="49" fontId="39" fillId="0" borderId="0" xfId="0" applyNumberFormat="1" applyFont="1" applyAlignment="1">
      <alignment horizontal="right"/>
    </xf>
    <xf numFmtId="169" fontId="0" fillId="0" borderId="0" xfId="0" applyNumberFormat="1"/>
    <xf numFmtId="169" fontId="0" fillId="0" borderId="10" xfId="95" applyNumberFormat="1" applyFont="1" applyBorder="1" applyAlignment="1" applyProtection="1">
      <alignment horizontal="center"/>
      <protection locked="0"/>
    </xf>
    <xf numFmtId="167" fontId="39" fillId="0" borderId="11" xfId="0" applyNumberFormat="1" applyFont="1" applyBorder="1" applyAlignment="1">
      <alignment horizontal="right"/>
    </xf>
    <xf numFmtId="167" fontId="39" fillId="0" borderId="0" xfId="0" applyNumberFormat="1" applyFont="1"/>
    <xf numFmtId="0" fontId="0" fillId="3" borderId="10" xfId="0" applyFill="1" applyBorder="1"/>
    <xf numFmtId="0" fontId="0" fillId="13" borderId="10" xfId="0" applyFill="1" applyBorder="1"/>
    <xf numFmtId="167" fontId="41" fillId="0" borderId="12" xfId="101" applyNumberFormat="1" applyFont="1" applyBorder="1"/>
    <xf numFmtId="167" fontId="107" fillId="0" borderId="12" xfId="101" applyNumberFormat="1" applyBorder="1" applyAlignment="1">
      <alignment vertical="center"/>
    </xf>
    <xf numFmtId="167" fontId="42" fillId="0" borderId="12" xfId="101" applyNumberFormat="1" applyFont="1" applyBorder="1" applyAlignment="1">
      <alignment horizontal="left" vertical="center"/>
    </xf>
    <xf numFmtId="167" fontId="107" fillId="3" borderId="13" xfId="101" applyNumberFormat="1" applyFill="1" applyBorder="1" applyAlignment="1">
      <alignment vertical="center"/>
    </xf>
    <xf numFmtId="167" fontId="43" fillId="0" borderId="0" xfId="101" applyNumberFormat="1" applyFont="1" applyBorder="1" applyAlignment="1" applyProtection="1">
      <alignment vertical="center"/>
      <protection locked="0"/>
    </xf>
    <xf numFmtId="167" fontId="23" fillId="0" borderId="10" xfId="0" applyNumberFormat="1" applyFont="1" applyBorder="1" applyAlignment="1" applyProtection="1">
      <alignment horizontal="center"/>
      <protection locked="0"/>
    </xf>
    <xf numFmtId="167" fontId="107" fillId="0" borderId="0" xfId="101" applyNumberFormat="1" applyBorder="1" applyAlignment="1">
      <alignment vertical="center"/>
    </xf>
    <xf numFmtId="167" fontId="0" fillId="0" borderId="0" xfId="101" applyNumberFormat="1" applyFont="1" applyBorder="1" applyAlignment="1">
      <alignment vertical="center"/>
    </xf>
    <xf numFmtId="167" fontId="107" fillId="0" borderId="0" xfId="101" applyNumberFormat="1" applyBorder="1" applyAlignment="1" applyProtection="1">
      <alignment vertical="center"/>
      <protection locked="0"/>
    </xf>
    <xf numFmtId="167" fontId="41" fillId="0" borderId="0" xfId="101" applyNumberFormat="1" applyFont="1" applyBorder="1"/>
    <xf numFmtId="170" fontId="2" fillId="2" borderId="0" xfId="0" applyNumberFormat="1" applyFont="1" applyFill="1"/>
    <xf numFmtId="171" fontId="2" fillId="2" borderId="0" xfId="0" applyNumberFormat="1" applyFont="1" applyFill="1"/>
    <xf numFmtId="0" fontId="2" fillId="2" borderId="0" xfId="0" applyFont="1" applyFill="1"/>
    <xf numFmtId="167" fontId="44" fillId="0" borderId="14" xfId="0" applyNumberFormat="1" applyFont="1" applyBorder="1" applyAlignment="1">
      <alignment horizontal="left"/>
    </xf>
    <xf numFmtId="170" fontId="44" fillId="10" borderId="15" xfId="0" applyNumberFormat="1" applyFont="1" applyFill="1" applyBorder="1" applyAlignment="1" applyProtection="1">
      <alignment horizontal="center"/>
      <protection locked="0"/>
    </xf>
    <xf numFmtId="169" fontId="36" fillId="0" borderId="16" xfId="0" applyNumberFormat="1" applyFont="1" applyBorder="1" applyAlignment="1">
      <alignment horizontal="left"/>
    </xf>
    <xf numFmtId="172" fontId="36" fillId="3" borderId="15" xfId="0" applyNumberFormat="1" applyFont="1" applyFill="1" applyBorder="1" applyProtection="1">
      <protection locked="0"/>
    </xf>
    <xf numFmtId="0" fontId="36" fillId="0" borderId="14" xfId="0" applyFont="1" applyBorder="1" applyAlignment="1">
      <alignment horizontal="left"/>
    </xf>
    <xf numFmtId="169" fontId="36" fillId="0" borderId="17" xfId="0" applyNumberFormat="1" applyFont="1" applyBorder="1" applyAlignment="1">
      <alignment horizontal="left"/>
    </xf>
    <xf numFmtId="172" fontId="36" fillId="0" borderId="10" xfId="0" applyNumberFormat="1" applyFont="1" applyBorder="1"/>
    <xf numFmtId="169" fontId="36" fillId="0" borderId="18" xfId="0" applyNumberFormat="1" applyFont="1" applyBorder="1" applyAlignment="1">
      <alignment horizontal="left"/>
    </xf>
    <xf numFmtId="172" fontId="36" fillId="0" borderId="19" xfId="0" applyNumberFormat="1" applyFont="1" applyBorder="1"/>
    <xf numFmtId="9" fontId="2" fillId="0" borderId="0" xfId="80" applyFont="1"/>
    <xf numFmtId="49" fontId="0" fillId="0" borderId="0" xfId="0" applyNumberFormat="1"/>
    <xf numFmtId="171" fontId="0" fillId="0" borderId="0" xfId="0" applyNumberFormat="1"/>
    <xf numFmtId="170" fontId="44" fillId="0" borderId="0" xfId="0" applyNumberFormat="1" applyFont="1" applyAlignment="1">
      <alignment horizontal="center"/>
    </xf>
    <xf numFmtId="167" fontId="36" fillId="0" borderId="0" xfId="0" applyNumberFormat="1" applyFont="1"/>
    <xf numFmtId="167" fontId="45" fillId="0" borderId="20" xfId="0" applyNumberFormat="1" applyFont="1" applyBorder="1" applyAlignment="1">
      <alignment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39" fillId="0" borderId="0" xfId="0" applyFont="1" applyAlignment="1">
      <alignment horizontal="center"/>
    </xf>
    <xf numFmtId="0" fontId="10" fillId="0" borderId="0" xfId="0" applyFont="1" applyAlignment="1">
      <alignment horizontal="center" vertical="center"/>
    </xf>
    <xf numFmtId="0" fontId="46" fillId="0" borderId="0" xfId="0" applyFont="1" applyAlignment="1">
      <alignment horizontal="center"/>
    </xf>
    <xf numFmtId="167" fontId="46" fillId="0" borderId="23" xfId="0" applyNumberFormat="1" applyFont="1" applyBorder="1" applyAlignment="1" applyProtection="1">
      <alignment wrapText="1"/>
      <protection locked="0"/>
    </xf>
    <xf numFmtId="173" fontId="0" fillId="3" borderId="24" xfId="57" applyNumberFormat="1" applyFont="1" applyFill="1" applyBorder="1" applyProtection="1">
      <protection locked="0"/>
    </xf>
    <xf numFmtId="173" fontId="0" fillId="3" borderId="25" xfId="57" applyNumberFormat="1" applyFont="1" applyFill="1" applyBorder="1" applyProtection="1">
      <protection locked="0"/>
    </xf>
    <xf numFmtId="174" fontId="0" fillId="0" borderId="0" xfId="0" applyNumberFormat="1" applyProtection="1">
      <protection locked="0"/>
    </xf>
    <xf numFmtId="174" fontId="0" fillId="0" borderId="0" xfId="0" applyNumberFormat="1"/>
    <xf numFmtId="167" fontId="46" fillId="0" borderId="23" xfId="0" applyNumberFormat="1" applyFont="1" applyBorder="1" applyProtection="1">
      <protection locked="0"/>
    </xf>
    <xf numFmtId="0" fontId="0" fillId="0" borderId="0" xfId="0" applyProtection="1">
      <protection locked="0"/>
    </xf>
    <xf numFmtId="175" fontId="0" fillId="0" borderId="0" xfId="0" applyNumberFormat="1" applyProtection="1">
      <protection locked="0"/>
    </xf>
    <xf numFmtId="174" fontId="0" fillId="3" borderId="24" xfId="57" applyNumberFormat="1" applyFont="1" applyFill="1" applyBorder="1" applyProtection="1">
      <protection locked="0"/>
    </xf>
    <xf numFmtId="174" fontId="0" fillId="3" borderId="25" xfId="57" applyNumberFormat="1" applyFont="1" applyFill="1" applyBorder="1" applyProtection="1">
      <protection locked="0"/>
    </xf>
    <xf numFmtId="172" fontId="0" fillId="0" borderId="0" xfId="0" applyNumberFormat="1" applyProtection="1">
      <protection locked="0"/>
    </xf>
    <xf numFmtId="49" fontId="46" fillId="0" borderId="23" xfId="0" applyNumberFormat="1" applyFont="1" applyBorder="1" applyProtection="1">
      <protection locked="0"/>
    </xf>
    <xf numFmtId="0" fontId="46" fillId="0" borderId="23" xfId="0" applyFont="1" applyBorder="1" applyAlignment="1" applyProtection="1">
      <alignment wrapText="1"/>
      <protection locked="0"/>
    </xf>
    <xf numFmtId="167" fontId="0" fillId="0" borderId="26" xfId="0" applyNumberFormat="1" applyBorder="1"/>
    <xf numFmtId="172" fontId="0" fillId="0" borderId="0" xfId="0" applyNumberFormat="1"/>
    <xf numFmtId="172" fontId="2" fillId="2" borderId="0" xfId="0" applyNumberFormat="1" applyFont="1" applyFill="1"/>
    <xf numFmtId="172" fontId="10" fillId="0" borderId="0" xfId="0" applyNumberFormat="1" applyFont="1" applyAlignment="1">
      <alignment horizontal="right"/>
    </xf>
    <xf numFmtId="0" fontId="48" fillId="0" borderId="0" xfId="0" applyFont="1" applyAlignment="1">
      <alignment horizontal="center" vertical="center"/>
    </xf>
    <xf numFmtId="169" fontId="49" fillId="0" borderId="0" xfId="0" applyNumberFormat="1" applyFont="1" applyAlignment="1">
      <alignment horizontal="center" vertical="center" wrapText="1"/>
    </xf>
    <xf numFmtId="169" fontId="49" fillId="0" borderId="0" xfId="0" applyNumberFormat="1" applyFont="1" applyAlignment="1" applyProtection="1">
      <alignment horizontal="center" vertical="center" wrapText="1"/>
      <protection locked="0"/>
    </xf>
    <xf numFmtId="0" fontId="10" fillId="0" borderId="0" xfId="0" applyFont="1" applyAlignment="1">
      <alignment horizontal="center"/>
    </xf>
    <xf numFmtId="0" fontId="10" fillId="0" borderId="0" xfId="0" applyFont="1" applyProtection="1">
      <protection locked="0"/>
    </xf>
    <xf numFmtId="171" fontId="2" fillId="0" borderId="0" xfId="0" applyNumberFormat="1" applyFont="1"/>
    <xf numFmtId="171" fontId="10" fillId="0" borderId="0" xfId="57" applyNumberFormat="1" applyFont="1" applyProtection="1">
      <protection locked="0"/>
    </xf>
    <xf numFmtId="177" fontId="10" fillId="0" borderId="0" xfId="80" applyNumberFormat="1" applyFont="1" applyAlignment="1">
      <alignment horizontal="center"/>
    </xf>
    <xf numFmtId="177" fontId="10" fillId="0" borderId="0" xfId="80" applyNumberFormat="1" applyFont="1" applyAlignment="1" applyProtection="1">
      <alignment horizontal="center"/>
      <protection locked="0"/>
    </xf>
    <xf numFmtId="0" fontId="51" fillId="0" borderId="0" xfId="0" applyFont="1" applyAlignment="1" applyProtection="1">
      <alignment horizontal="left"/>
      <protection locked="0"/>
    </xf>
    <xf numFmtId="0" fontId="10" fillId="0" borderId="0" xfId="0" applyFont="1"/>
    <xf numFmtId="169" fontId="46" fillId="0" borderId="27" xfId="0" applyNumberFormat="1" applyFont="1" applyBorder="1"/>
    <xf numFmtId="167" fontId="46" fillId="0" borderId="10" xfId="0" applyNumberFormat="1" applyFont="1" applyBorder="1" applyAlignment="1">
      <alignment horizontal="center"/>
    </xf>
    <xf numFmtId="167" fontId="46" fillId="0" borderId="28" xfId="0" applyNumberFormat="1" applyFont="1" applyBorder="1" applyAlignment="1">
      <alignment horizontal="center"/>
    </xf>
    <xf numFmtId="167" fontId="46" fillId="0" borderId="27" xfId="0" applyNumberFormat="1" applyFont="1" applyBorder="1"/>
    <xf numFmtId="1" fontId="0" fillId="3" borderId="10" xfId="0" applyNumberFormat="1" applyFill="1" applyBorder="1" applyAlignment="1" applyProtection="1">
      <alignment horizontal="center"/>
      <protection locked="0"/>
    </xf>
    <xf numFmtId="1" fontId="0" fillId="3" borderId="28" xfId="0" applyNumberFormat="1" applyFill="1" applyBorder="1" applyAlignment="1" applyProtection="1">
      <alignment horizontal="center"/>
      <protection locked="0"/>
    </xf>
    <xf numFmtId="167" fontId="46" fillId="0" borderId="29" xfId="0" applyNumberFormat="1" applyFont="1" applyBorder="1"/>
    <xf numFmtId="167" fontId="46" fillId="0" borderId="30" xfId="0" applyNumberFormat="1" applyFont="1" applyBorder="1"/>
    <xf numFmtId="1" fontId="0" fillId="3" borderId="19" xfId="0" applyNumberFormat="1" applyFill="1" applyBorder="1" applyAlignment="1" applyProtection="1">
      <alignment horizontal="center"/>
      <protection locked="0"/>
    </xf>
    <xf numFmtId="1" fontId="0" fillId="3" borderId="31" xfId="0" applyNumberFormat="1" applyFill="1" applyBorder="1" applyAlignment="1" applyProtection="1">
      <alignment horizontal="center"/>
      <protection locked="0"/>
    </xf>
    <xf numFmtId="0" fontId="0" fillId="0" borderId="32" xfId="0" applyBorder="1"/>
    <xf numFmtId="167" fontId="52" fillId="0" borderId="32" xfId="101" applyNumberFormat="1" applyFont="1" applyBorder="1"/>
    <xf numFmtId="167" fontId="43" fillId="0" borderId="32" xfId="101" applyNumberFormat="1" applyFont="1" applyBorder="1" applyAlignment="1">
      <alignment vertical="center"/>
    </xf>
    <xf numFmtId="167" fontId="53" fillId="0" borderId="32" xfId="101" applyNumberFormat="1" applyFont="1" applyBorder="1" applyAlignment="1">
      <alignment vertical="center"/>
    </xf>
    <xf numFmtId="167" fontId="43" fillId="0" borderId="32" xfId="101" applyNumberFormat="1" applyFont="1" applyBorder="1" applyAlignment="1">
      <alignment horizontal="center" vertical="center"/>
    </xf>
    <xf numFmtId="167" fontId="43" fillId="13" borderId="33" xfId="101" applyNumberFormat="1" applyFont="1" applyFill="1" applyBorder="1" applyAlignment="1">
      <alignment horizontal="center" vertical="center"/>
    </xf>
    <xf numFmtId="167" fontId="43" fillId="0" borderId="34" xfId="101" applyNumberFormat="1" applyFont="1" applyBorder="1" applyAlignment="1">
      <alignment vertical="center"/>
    </xf>
    <xf numFmtId="167" fontId="43" fillId="0" borderId="0" xfId="101" applyNumberFormat="1" applyFont="1" applyBorder="1" applyAlignment="1" applyProtection="1">
      <alignment horizontal="center" vertical="center"/>
      <protection locked="0"/>
    </xf>
    <xf numFmtId="167" fontId="52" fillId="0" borderId="0" xfId="101" applyNumberFormat="1" applyFont="1" applyBorder="1"/>
    <xf numFmtId="167" fontId="43" fillId="0" borderId="0" xfId="101" applyNumberFormat="1" applyFont="1" applyBorder="1" applyAlignment="1">
      <alignment vertical="center"/>
    </xf>
    <xf numFmtId="167" fontId="54" fillId="0" borderId="0" xfId="101" applyNumberFormat="1" applyFont="1" applyBorder="1" applyAlignment="1">
      <alignment vertical="center"/>
    </xf>
    <xf numFmtId="0" fontId="14" fillId="0" borderId="0" xfId="0" applyFont="1" applyAlignment="1">
      <alignment horizontal="center"/>
    </xf>
    <xf numFmtId="167" fontId="14" fillId="0" borderId="35" xfId="0" applyNumberFormat="1" applyFont="1" applyBorder="1" applyAlignment="1">
      <alignment horizontal="center"/>
    </xf>
    <xf numFmtId="167" fontId="14" fillId="0" borderId="35" xfId="0" applyNumberFormat="1" applyFont="1" applyBorder="1" applyAlignment="1">
      <alignment horizontal="center" wrapText="1"/>
    </xf>
    <xf numFmtId="167" fontId="14" fillId="0" borderId="36" xfId="0" applyNumberFormat="1" applyFont="1" applyBorder="1" applyAlignment="1">
      <alignment horizontal="center"/>
    </xf>
    <xf numFmtId="0" fontId="43" fillId="0" borderId="0" xfId="0" applyFont="1" applyAlignment="1">
      <alignment horizontal="center" vertical="center"/>
    </xf>
    <xf numFmtId="167" fontId="0" fillId="0" borderId="37" xfId="0" applyNumberFormat="1" applyBorder="1" applyAlignment="1">
      <alignment horizontal="left"/>
    </xf>
    <xf numFmtId="1" fontId="50" fillId="13" borderId="10" xfId="0" applyNumberFormat="1" applyFont="1" applyFill="1" applyBorder="1" applyAlignment="1" applyProtection="1">
      <alignment horizontal="center"/>
      <protection locked="0"/>
    </xf>
    <xf numFmtId="1" fontId="50" fillId="2" borderId="38" xfId="0" applyNumberFormat="1" applyFont="1" applyFill="1" applyBorder="1" applyAlignment="1">
      <alignment horizontal="center"/>
    </xf>
    <xf numFmtId="0" fontId="0" fillId="0" borderId="0" xfId="0" applyAlignment="1" applyProtection="1">
      <alignment horizontal="left" vertical="top"/>
      <protection locked="0"/>
    </xf>
    <xf numFmtId="167" fontId="0" fillId="0" borderId="39" xfId="0" applyNumberFormat="1" applyBorder="1" applyAlignment="1">
      <alignment horizontal="left"/>
    </xf>
    <xf numFmtId="1" fontId="50" fillId="13" borderId="40" xfId="0" applyNumberFormat="1" applyFont="1" applyFill="1" applyBorder="1" applyAlignment="1" applyProtection="1">
      <alignment horizontal="center"/>
      <protection locked="0"/>
    </xf>
    <xf numFmtId="1" fontId="50" fillId="2" borderId="41" xfId="0" applyNumberFormat="1" applyFont="1" applyFill="1" applyBorder="1" applyAlignment="1">
      <alignment horizontal="center"/>
    </xf>
    <xf numFmtId="0" fontId="0" fillId="0" borderId="42" xfId="0" applyBorder="1"/>
    <xf numFmtId="167" fontId="0" fillId="0" borderId="35" xfId="0" applyNumberFormat="1" applyBorder="1" applyAlignment="1">
      <alignment horizontal="center"/>
    </xf>
    <xf numFmtId="167" fontId="0" fillId="0" borderId="36" xfId="0" applyNumberFormat="1" applyBorder="1" applyAlignment="1">
      <alignment horizontal="center"/>
    </xf>
    <xf numFmtId="0" fontId="0" fillId="13" borderId="40" xfId="0" applyFill="1" applyBorder="1" applyAlignment="1" applyProtection="1">
      <alignment horizontal="center"/>
      <protection locked="0"/>
    </xf>
    <xf numFmtId="0" fontId="0" fillId="0" borderId="41" xfId="0" applyBorder="1" applyAlignment="1">
      <alignment horizontal="center"/>
    </xf>
    <xf numFmtId="169" fontId="0" fillId="0" borderId="0" xfId="0" applyNumberFormat="1" applyAlignment="1">
      <alignment horizontal="left"/>
    </xf>
    <xf numFmtId="167" fontId="0" fillId="0" borderId="36" xfId="0" applyNumberFormat="1" applyBorder="1" applyAlignment="1">
      <alignment horizontal="center" wrapText="1"/>
    </xf>
    <xf numFmtId="0" fontId="0" fillId="13" borderId="41" xfId="0" applyFill="1" applyBorder="1" applyAlignment="1" applyProtection="1">
      <alignment horizontal="center"/>
      <protection locked="0"/>
    </xf>
    <xf numFmtId="169" fontId="0" fillId="0" borderId="0" xfId="0" applyNumberFormat="1" applyAlignment="1" applyProtection="1">
      <alignment horizontal="center"/>
      <protection locked="0"/>
    </xf>
    <xf numFmtId="167" fontId="44" fillId="0" borderId="35" xfId="0" applyNumberFormat="1" applyFont="1" applyBorder="1" applyAlignment="1">
      <alignment horizontal="center"/>
    </xf>
    <xf numFmtId="167" fontId="44" fillId="0" borderId="36" xfId="0" applyNumberFormat="1" applyFont="1" applyBorder="1" applyAlignment="1">
      <alignment horizontal="center"/>
    </xf>
    <xf numFmtId="1" fontId="0" fillId="13" borderId="10" xfId="0" applyNumberFormat="1" applyFill="1" applyBorder="1" applyAlignment="1" applyProtection="1">
      <alignment horizontal="center"/>
      <protection locked="0"/>
    </xf>
    <xf numFmtId="1" fontId="0" fillId="0" borderId="38" xfId="0" applyNumberFormat="1" applyBorder="1" applyAlignment="1">
      <alignment horizontal="center"/>
    </xf>
    <xf numFmtId="1" fontId="0" fillId="13" borderId="40" xfId="0" applyNumberFormat="1" applyFill="1" applyBorder="1" applyAlignment="1" applyProtection="1">
      <alignment horizontal="center"/>
      <protection locked="0"/>
    </xf>
    <xf numFmtId="0" fontId="0" fillId="0" borderId="43" xfId="0" applyBorder="1"/>
    <xf numFmtId="170" fontId="44" fillId="10" borderId="44" xfId="0" applyNumberFormat="1" applyFont="1" applyFill="1" applyBorder="1" applyAlignment="1" applyProtection="1">
      <alignment horizontal="center"/>
      <protection locked="0"/>
    </xf>
    <xf numFmtId="170" fontId="44" fillId="10" borderId="45" xfId="0" applyNumberFormat="1" applyFont="1" applyFill="1" applyBorder="1" applyAlignment="1" applyProtection="1">
      <alignment horizontal="center"/>
      <protection locked="0"/>
    </xf>
    <xf numFmtId="170" fontId="0" fillId="0" borderId="46" xfId="0" applyNumberFormat="1" applyBorder="1" applyAlignment="1">
      <alignment horizontal="left"/>
    </xf>
    <xf numFmtId="172" fontId="0" fillId="13" borderId="47" xfId="0" applyNumberFormat="1" applyFill="1" applyBorder="1" applyAlignment="1">
      <alignment horizontal="right" wrapText="1"/>
    </xf>
    <xf numFmtId="172" fontId="0" fillId="13" borderId="10" xfId="0" applyNumberFormat="1" applyFill="1" applyBorder="1" applyAlignment="1" applyProtection="1">
      <alignment horizontal="right" wrapText="1"/>
      <protection locked="0"/>
    </xf>
    <xf numFmtId="170" fontId="0" fillId="0" borderId="48" xfId="0" applyNumberFormat="1" applyBorder="1" applyAlignment="1">
      <alignment horizontal="left"/>
    </xf>
    <xf numFmtId="172" fontId="0" fillId="0" borderId="47" xfId="0" applyNumberFormat="1" applyBorder="1" applyAlignment="1">
      <alignment horizontal="right" wrapText="1"/>
    </xf>
    <xf numFmtId="172" fontId="0" fillId="0" borderId="10" xfId="0" applyNumberFormat="1" applyBorder="1" applyAlignment="1">
      <alignment horizontal="right" wrapText="1"/>
    </xf>
    <xf numFmtId="170" fontId="0" fillId="0" borderId="29" xfId="0" applyNumberFormat="1" applyBorder="1" applyAlignment="1">
      <alignment horizontal="left" wrapText="1"/>
    </xf>
    <xf numFmtId="172" fontId="0" fillId="0" borderId="47" xfId="57" applyNumberFormat="1" applyFont="1" applyBorder="1" applyAlignment="1">
      <alignment horizontal="right"/>
    </xf>
    <xf numFmtId="0" fontId="0" fillId="0" borderId="0" xfId="0" applyAlignment="1">
      <alignment horizontal="center" wrapText="1"/>
    </xf>
    <xf numFmtId="167" fontId="0" fillId="0" borderId="0" xfId="57" applyFont="1"/>
    <xf numFmtId="167" fontId="0" fillId="0" borderId="0" xfId="0" applyNumberFormat="1"/>
    <xf numFmtId="167" fontId="55" fillId="0" borderId="49" xfId="101" applyNumberFormat="1" applyFont="1" applyBorder="1"/>
    <xf numFmtId="167" fontId="56" fillId="0" borderId="49" xfId="101" applyNumberFormat="1" applyFont="1" applyBorder="1"/>
    <xf numFmtId="167" fontId="43" fillId="0" borderId="49" xfId="101" applyNumberFormat="1" applyFont="1" applyBorder="1" applyAlignment="1">
      <alignment vertical="center"/>
    </xf>
    <xf numFmtId="167" fontId="57" fillId="0" borderId="49" xfId="101" applyNumberFormat="1" applyFont="1" applyBorder="1" applyAlignment="1">
      <alignment vertical="center"/>
    </xf>
    <xf numFmtId="167" fontId="4" fillId="0" borderId="49" xfId="101" applyNumberFormat="1" applyFont="1" applyBorder="1" applyAlignment="1">
      <alignment vertical="center"/>
    </xf>
    <xf numFmtId="0" fontId="0" fillId="0" borderId="49" xfId="0" applyBorder="1"/>
    <xf numFmtId="167" fontId="56" fillId="0" borderId="49" xfId="101" applyNumberFormat="1" applyFont="1" applyBorder="1" applyAlignment="1">
      <alignment vertical="center"/>
    </xf>
    <xf numFmtId="167" fontId="58" fillId="0" borderId="50" xfId="0" applyNumberFormat="1" applyFont="1" applyBorder="1" applyAlignment="1">
      <alignment horizontal="center" vertical="center"/>
    </xf>
    <xf numFmtId="167" fontId="58" fillId="0" borderId="51" xfId="0" applyNumberFormat="1" applyFont="1" applyBorder="1" applyAlignment="1">
      <alignment horizontal="center" vertical="center" wrapText="1"/>
    </xf>
    <xf numFmtId="0" fontId="9" fillId="0" borderId="52" xfId="0" applyFont="1" applyBorder="1" applyAlignment="1">
      <alignment horizontal="center"/>
    </xf>
    <xf numFmtId="170" fontId="14" fillId="10" borderId="53" xfId="0" applyNumberFormat="1" applyFont="1" applyFill="1" applyBorder="1" applyAlignment="1" applyProtection="1">
      <alignment horizontal="center"/>
      <protection locked="0"/>
    </xf>
    <xf numFmtId="167" fontId="58" fillId="0" borderId="54" xfId="0" applyNumberFormat="1" applyFont="1" applyBorder="1" applyAlignment="1">
      <alignment horizontal="center" vertical="center"/>
    </xf>
    <xf numFmtId="0" fontId="58" fillId="0" borderId="55" xfId="0" applyFont="1" applyBorder="1" applyAlignment="1">
      <alignment horizontal="center" vertical="center"/>
    </xf>
    <xf numFmtId="167" fontId="58" fillId="0" borderId="56" xfId="0" applyNumberFormat="1" applyFont="1" applyBorder="1" applyAlignment="1">
      <alignment horizontal="center" vertical="center"/>
    </xf>
    <xf numFmtId="167" fontId="58" fillId="0" borderId="57" xfId="0" applyNumberFormat="1" applyFont="1" applyBorder="1" applyAlignment="1">
      <alignment horizontal="center" vertical="center" wrapText="1"/>
    </xf>
    <xf numFmtId="0" fontId="9" fillId="0" borderId="58" xfId="0" applyFont="1" applyBorder="1" applyAlignment="1">
      <alignment horizontal="center"/>
    </xf>
    <xf numFmtId="172" fontId="9" fillId="12" borderId="47" xfId="0" applyNumberFormat="1" applyFont="1" applyFill="1" applyBorder="1" applyAlignment="1">
      <alignment horizontal="center" vertical="center" wrapText="1"/>
    </xf>
    <xf numFmtId="179" fontId="9" fillId="12" borderId="47" xfId="0" applyNumberFormat="1" applyFont="1" applyFill="1" applyBorder="1" applyAlignment="1">
      <alignment horizontal="center" vertical="center" wrapText="1"/>
    </xf>
    <xf numFmtId="0" fontId="34" fillId="0" borderId="0" xfId="0" applyFont="1"/>
    <xf numFmtId="49" fontId="58" fillId="0" borderId="50" xfId="0" applyNumberFormat="1" applyFont="1" applyBorder="1" applyAlignment="1">
      <alignment horizontal="center" vertical="center"/>
    </xf>
    <xf numFmtId="49" fontId="58" fillId="0" borderId="51" xfId="0" applyNumberFormat="1" applyFont="1" applyBorder="1" applyAlignment="1">
      <alignment horizontal="center" vertical="center" wrapText="1"/>
    </xf>
    <xf numFmtId="49" fontId="9" fillId="2" borderId="59" xfId="0" applyNumberFormat="1" applyFont="1" applyFill="1" applyBorder="1"/>
    <xf numFmtId="172" fontId="9" fillId="0" borderId="47" xfId="0" applyNumberFormat="1" applyFont="1" applyBorder="1" applyAlignment="1">
      <alignment vertical="center"/>
    </xf>
    <xf numFmtId="172" fontId="9" fillId="0" borderId="10" xfId="0" applyNumberFormat="1" applyFont="1" applyBorder="1" applyAlignment="1">
      <alignment vertical="center"/>
    </xf>
    <xf numFmtId="49" fontId="9" fillId="2" borderId="7" xfId="0" applyNumberFormat="1" applyFont="1" applyFill="1" applyBorder="1"/>
    <xf numFmtId="49" fontId="9" fillId="26" borderId="10" xfId="0" applyNumberFormat="1" applyFont="1" applyFill="1" applyBorder="1"/>
    <xf numFmtId="172" fontId="9" fillId="26" borderId="10" xfId="0" applyNumberFormat="1" applyFont="1" applyFill="1" applyBorder="1" applyAlignment="1">
      <alignment vertical="center"/>
    </xf>
    <xf numFmtId="49" fontId="9" fillId="2" borderId="60" xfId="0" applyNumberFormat="1" applyFont="1" applyFill="1" applyBorder="1"/>
    <xf numFmtId="172" fontId="9" fillId="0" borderId="61" xfId="0" applyNumberFormat="1" applyFont="1" applyBorder="1" applyAlignment="1">
      <alignment vertical="center"/>
    </xf>
    <xf numFmtId="167" fontId="60" fillId="0" borderId="0" xfId="61" applyFont="1" applyAlignment="1">
      <alignment vertical="center"/>
    </xf>
    <xf numFmtId="0" fontId="50" fillId="0" borderId="0" xfId="0" applyFont="1"/>
    <xf numFmtId="167" fontId="61" fillId="0" borderId="0" xfId="73" applyFont="1" applyAlignment="1">
      <alignment horizontal="right" vertical="center"/>
    </xf>
    <xf numFmtId="0" fontId="2" fillId="0" borderId="0" xfId="0" applyFont="1" applyAlignment="1">
      <alignment horizontal="center"/>
    </xf>
    <xf numFmtId="0" fontId="62" fillId="0" borderId="0" xfId="0" applyFont="1" applyAlignment="1">
      <alignment horizontal="left"/>
    </xf>
    <xf numFmtId="0" fontId="63" fillId="0" borderId="0" xfId="0" applyFont="1"/>
    <xf numFmtId="0" fontId="2" fillId="0" borderId="0" xfId="0" applyFont="1"/>
    <xf numFmtId="167" fontId="64" fillId="0" borderId="0" xfId="73" applyFont="1"/>
    <xf numFmtId="167" fontId="64" fillId="0" borderId="0" xfId="73" applyFont="1" applyAlignment="1">
      <alignment horizontal="center"/>
    </xf>
    <xf numFmtId="167" fontId="64" fillId="0" borderId="0" xfId="73" applyFont="1" applyAlignment="1">
      <alignment horizontal="right"/>
    </xf>
    <xf numFmtId="167" fontId="107" fillId="0" borderId="0" xfId="72"/>
    <xf numFmtId="0" fontId="2" fillId="0" borderId="0" xfId="0" applyFont="1" applyAlignment="1">
      <alignment horizontal="left" indent="1"/>
    </xf>
    <xf numFmtId="0" fontId="22" fillId="0" borderId="0" xfId="0" applyFont="1" applyAlignment="1">
      <alignment horizontal="left" indent="1"/>
    </xf>
    <xf numFmtId="167" fontId="0" fillId="0" borderId="62" xfId="95" applyNumberFormat="1" applyFont="1" applyBorder="1" applyAlignment="1">
      <alignment horizontal="right"/>
    </xf>
    <xf numFmtId="182" fontId="34" fillId="13" borderId="62" xfId="95" applyNumberFormat="1" applyFont="1" applyFill="1" applyBorder="1" applyAlignment="1">
      <alignment horizontal="center" vertical="center"/>
    </xf>
    <xf numFmtId="167" fontId="61" fillId="0" borderId="62" xfId="95" applyNumberFormat="1" applyFont="1" applyBorder="1" applyAlignment="1">
      <alignment horizontal="right"/>
    </xf>
    <xf numFmtId="167" fontId="34" fillId="13" borderId="62" xfId="95" applyNumberFormat="1" applyFont="1" applyFill="1" applyBorder="1" applyAlignment="1">
      <alignment horizontal="center" vertical="center"/>
    </xf>
    <xf numFmtId="169" fontId="34" fillId="13" borderId="62" xfId="95" applyNumberFormat="1" applyFont="1" applyFill="1" applyBorder="1" applyAlignment="1">
      <alignment horizontal="center" vertical="center"/>
    </xf>
    <xf numFmtId="167" fontId="2" fillId="0" borderId="0" xfId="72" applyFont="1"/>
    <xf numFmtId="184" fontId="34" fillId="13" borderId="62" xfId="95" applyNumberFormat="1" applyFont="1" applyFill="1" applyBorder="1" applyAlignment="1">
      <alignment horizontal="center"/>
    </xf>
    <xf numFmtId="172" fontId="34" fillId="13" borderId="62" xfId="95" applyNumberFormat="1" applyFont="1" applyFill="1" applyBorder="1" applyAlignment="1">
      <alignment horizontal="center"/>
    </xf>
    <xf numFmtId="167" fontId="34" fillId="13" borderId="62" xfId="95" applyNumberFormat="1" applyFont="1" applyFill="1" applyBorder="1" applyAlignment="1">
      <alignment horizontal="center"/>
    </xf>
    <xf numFmtId="169" fontId="34" fillId="13" borderId="62" xfId="95" applyNumberFormat="1" applyFont="1" applyFill="1" applyBorder="1" applyAlignment="1">
      <alignment horizontal="center"/>
    </xf>
    <xf numFmtId="0" fontId="66" fillId="0" borderId="0" xfId="0" applyFont="1"/>
    <xf numFmtId="0" fontId="22" fillId="0" borderId="0" xfId="72" applyNumberFormat="1" applyFont="1"/>
    <xf numFmtId="167" fontId="67" fillId="0" borderId="0" xfId="72" applyFont="1"/>
    <xf numFmtId="167" fontId="2" fillId="0" borderId="0" xfId="74" applyFont="1"/>
    <xf numFmtId="167" fontId="67" fillId="0" borderId="0" xfId="74" applyFont="1"/>
    <xf numFmtId="167" fontId="19" fillId="0" borderId="0" xfId="61" applyFont="1" applyAlignment="1">
      <alignment vertical="center"/>
    </xf>
    <xf numFmtId="167" fontId="36" fillId="0" borderId="0" xfId="0" applyNumberFormat="1" applyFont="1" applyAlignment="1">
      <alignment horizontal="right"/>
    </xf>
    <xf numFmtId="0" fontId="36" fillId="0" borderId="0" xfId="0" applyFont="1" applyAlignment="1">
      <alignment horizontal="center"/>
    </xf>
    <xf numFmtId="169" fontId="36" fillId="0" borderId="0" xfId="0" applyNumberFormat="1" applyFont="1" applyAlignment="1">
      <alignment horizontal="center"/>
    </xf>
    <xf numFmtId="171" fontId="36" fillId="0" borderId="0" xfId="57" applyNumberFormat="1" applyFont="1" applyAlignment="1">
      <alignment horizontal="left"/>
    </xf>
    <xf numFmtId="0" fontId="64" fillId="0" borderId="0" xfId="0" applyFont="1" applyAlignment="1">
      <alignment horizontal="center"/>
    </xf>
    <xf numFmtId="169" fontId="36" fillId="0" borderId="0" xfId="0" applyNumberFormat="1" applyFont="1" applyAlignment="1">
      <alignment horizontal="right"/>
    </xf>
    <xf numFmtId="169" fontId="36" fillId="0" borderId="0" xfId="0" applyNumberFormat="1" applyFont="1" applyAlignment="1">
      <alignment horizontal="left"/>
    </xf>
    <xf numFmtId="167" fontId="69" fillId="0" borderId="0" xfId="0" applyNumberFormat="1" applyFont="1"/>
    <xf numFmtId="0" fontId="70" fillId="0" borderId="0" xfId="0" applyFont="1"/>
    <xf numFmtId="167" fontId="72" fillId="0" borderId="0" xfId="0" applyNumberFormat="1" applyFont="1"/>
    <xf numFmtId="0" fontId="0" fillId="0" borderId="0" xfId="0" applyAlignment="1">
      <alignment horizontal="left" wrapText="1"/>
    </xf>
    <xf numFmtId="0" fontId="70" fillId="0" borderId="0" xfId="0" applyFont="1" applyAlignment="1" applyProtection="1">
      <alignment horizontal="left"/>
      <protection locked="0"/>
    </xf>
    <xf numFmtId="167" fontId="73" fillId="0" borderId="0" xfId="0" applyNumberFormat="1" applyFont="1" applyAlignment="1">
      <alignment vertical="center" wrapText="1"/>
    </xf>
    <xf numFmtId="167" fontId="73" fillId="0" borderId="43" xfId="0" applyNumberFormat="1" applyFont="1" applyBorder="1" applyAlignment="1">
      <alignment horizontal="center" wrapText="1"/>
    </xf>
    <xf numFmtId="167" fontId="73" fillId="0" borderId="63" xfId="0" applyNumberFormat="1" applyFont="1" applyBorder="1" applyAlignment="1">
      <alignment horizontal="center" wrapText="1"/>
    </xf>
    <xf numFmtId="0" fontId="73" fillId="0" borderId="0" xfId="0" applyFont="1" applyAlignment="1">
      <alignment wrapText="1"/>
    </xf>
    <xf numFmtId="0" fontId="69" fillId="0" borderId="29" xfId="0" applyFont="1" applyBorder="1" applyAlignment="1">
      <alignment horizontal="center"/>
    </xf>
    <xf numFmtId="0" fontId="69" fillId="0" borderId="64" xfId="0" applyFont="1" applyBorder="1" applyAlignment="1">
      <alignment horizontal="center"/>
    </xf>
    <xf numFmtId="0" fontId="44" fillId="3" borderId="65" xfId="0" applyFont="1" applyFill="1" applyBorder="1" applyAlignment="1">
      <alignment horizontal="center"/>
    </xf>
    <xf numFmtId="167" fontId="19" fillId="0" borderId="0" xfId="71" applyFont="1" applyAlignment="1">
      <alignment vertical="center"/>
    </xf>
    <xf numFmtId="0" fontId="0" fillId="0" borderId="0" xfId="0" applyAlignment="1">
      <alignment horizontal="left"/>
    </xf>
    <xf numFmtId="185" fontId="0" fillId="0" borderId="0" xfId="0" applyNumberFormat="1"/>
    <xf numFmtId="186" fontId="107" fillId="0" borderId="0" xfId="95" applyNumberFormat="1" applyBorder="1" applyAlignment="1" applyProtection="1">
      <alignment horizontal="center"/>
      <protection locked="0"/>
    </xf>
    <xf numFmtId="186" fontId="0" fillId="0" borderId="0" xfId="0" applyNumberFormat="1"/>
    <xf numFmtId="169" fontId="0" fillId="0" borderId="0" xfId="0" applyNumberFormat="1" applyAlignment="1">
      <alignment horizontal="center"/>
    </xf>
    <xf numFmtId="1" fontId="50" fillId="0" borderId="0" xfId="0" applyNumberFormat="1" applyFont="1" applyAlignment="1">
      <alignment horizontal="center"/>
    </xf>
    <xf numFmtId="1" fontId="62" fillId="2" borderId="0" xfId="0" applyNumberFormat="1" applyFont="1" applyFill="1" applyAlignment="1">
      <alignment horizontal="center"/>
    </xf>
    <xf numFmtId="0" fontId="36" fillId="0" borderId="0" xfId="0" applyFont="1" applyAlignment="1">
      <alignment wrapText="1"/>
    </xf>
    <xf numFmtId="0" fontId="50" fillId="2" borderId="7" xfId="0" applyFont="1" applyFill="1" applyBorder="1"/>
    <xf numFmtId="179" fontId="0" fillId="2" borderId="10" xfId="0" applyNumberFormat="1" applyFill="1" applyBorder="1" applyAlignment="1">
      <alignment horizontal="center"/>
    </xf>
    <xf numFmtId="179" fontId="0" fillId="0" borderId="10" xfId="0" applyNumberFormat="1" applyBorder="1" applyAlignment="1">
      <alignment horizontal="center"/>
    </xf>
    <xf numFmtId="169" fontId="36" fillId="0" borderId="0" xfId="0" applyNumberFormat="1" applyFont="1"/>
    <xf numFmtId="0" fontId="12" fillId="0" borderId="0" xfId="0" applyFont="1"/>
    <xf numFmtId="167" fontId="14" fillId="0" borderId="0" xfId="0" applyNumberFormat="1" applyFont="1" applyAlignment="1">
      <alignment horizontal="center"/>
    </xf>
    <xf numFmtId="167" fontId="0" fillId="0" borderId="0" xfId="0" applyNumberFormat="1" applyAlignment="1">
      <alignment horizontal="right"/>
    </xf>
    <xf numFmtId="169" fontId="44" fillId="0" borderId="0" xfId="0" applyNumberFormat="1" applyFont="1" applyAlignment="1">
      <alignment horizontal="center"/>
    </xf>
    <xf numFmtId="0" fontId="70" fillId="0" borderId="10" xfId="0" applyFont="1" applyBorder="1" applyAlignment="1">
      <alignment horizontal="center" vertical="center" wrapText="1"/>
    </xf>
    <xf numFmtId="172" fontId="2" fillId="2" borderId="66" xfId="0" applyNumberFormat="1" applyFont="1" applyFill="1" applyBorder="1" applyAlignment="1">
      <alignment horizontal="right"/>
    </xf>
    <xf numFmtId="172" fontId="2" fillId="2" borderId="66" xfId="57" applyNumberFormat="1" applyFont="1" applyFill="1" applyBorder="1"/>
    <xf numFmtId="9" fontId="2" fillId="2" borderId="66" xfId="80" applyFont="1" applyFill="1" applyBorder="1"/>
    <xf numFmtId="9" fontId="2" fillId="2" borderId="66" xfId="80" applyFont="1" applyFill="1" applyBorder="1" applyAlignment="1">
      <alignment horizontal="center"/>
    </xf>
    <xf numFmtId="172" fontId="2" fillId="0" borderId="0" xfId="0" applyNumberFormat="1" applyFont="1"/>
    <xf numFmtId="172" fontId="2" fillId="2" borderId="66" xfId="0" applyNumberFormat="1" applyFont="1" applyFill="1" applyBorder="1"/>
    <xf numFmtId="167" fontId="2" fillId="0" borderId="0" xfId="0" applyNumberFormat="1" applyFont="1"/>
    <xf numFmtId="0" fontId="46" fillId="0" borderId="0" xfId="0" applyFont="1"/>
    <xf numFmtId="0" fontId="77" fillId="0" borderId="0" xfId="0" applyFont="1"/>
    <xf numFmtId="0" fontId="77" fillId="0" borderId="0" xfId="0" applyFont="1" applyAlignment="1">
      <alignment horizontal="right"/>
    </xf>
    <xf numFmtId="167" fontId="37" fillId="0" borderId="0" xfId="71" applyFont="1" applyAlignment="1">
      <alignment vertical="center"/>
    </xf>
    <xf numFmtId="0" fontId="78" fillId="0" borderId="0" xfId="0" applyFont="1" applyAlignment="1">
      <alignment horizontal="left" vertical="center"/>
    </xf>
    <xf numFmtId="0" fontId="78" fillId="0" borderId="0" xfId="0" applyFont="1" applyAlignment="1">
      <alignment horizontal="left"/>
    </xf>
    <xf numFmtId="187" fontId="78" fillId="0" borderId="0" xfId="0" applyNumberFormat="1" applyFont="1" applyAlignment="1">
      <alignment horizontal="left"/>
    </xf>
    <xf numFmtId="0" fontId="80" fillId="0" borderId="0" xfId="0" applyFont="1"/>
    <xf numFmtId="0" fontId="83" fillId="0" borderId="0" xfId="0" applyFont="1" applyAlignment="1">
      <alignment horizontal="right"/>
    </xf>
    <xf numFmtId="0" fontId="58" fillId="0" borderId="67" xfId="0" applyFont="1" applyBorder="1" applyAlignment="1">
      <alignment horizontal="center" vertical="center" wrapText="1"/>
    </xf>
    <xf numFmtId="0" fontId="84" fillId="0" borderId="68" xfId="0" applyFont="1" applyBorder="1" applyAlignment="1">
      <alignment horizontal="right"/>
    </xf>
    <xf numFmtId="9" fontId="85" fillId="0" borderId="0" xfId="0" applyNumberFormat="1" applyFont="1"/>
    <xf numFmtId="0" fontId="58" fillId="0" borderId="69" xfId="0" applyFont="1" applyBorder="1" applyAlignment="1">
      <alignment horizontal="center"/>
    </xf>
    <xf numFmtId="0" fontId="84" fillId="0" borderId="70" xfId="0" applyFont="1" applyBorder="1" applyAlignment="1">
      <alignment horizontal="right"/>
    </xf>
    <xf numFmtId="0" fontId="58" fillId="0" borderId="71" xfId="0" applyFont="1" applyBorder="1" applyAlignment="1">
      <alignment horizontal="center"/>
    </xf>
    <xf numFmtId="0" fontId="84" fillId="0" borderId="72" xfId="0" applyFont="1" applyBorder="1" applyAlignment="1">
      <alignment horizontal="right"/>
    </xf>
    <xf numFmtId="0" fontId="86" fillId="0" borderId="0" xfId="0" applyFont="1" applyAlignment="1">
      <alignment horizontal="center"/>
    </xf>
    <xf numFmtId="0" fontId="84" fillId="0" borderId="0" xfId="0" applyFont="1" applyAlignment="1">
      <alignment horizontal="right"/>
    </xf>
    <xf numFmtId="0" fontId="25" fillId="0" borderId="0" xfId="0" applyFont="1" applyAlignment="1">
      <alignment horizontal="center" vertical="center"/>
    </xf>
    <xf numFmtId="9" fontId="85" fillId="0" borderId="0" xfId="0" applyNumberFormat="1" applyFont="1" applyAlignment="1">
      <alignment horizontal="center"/>
    </xf>
    <xf numFmtId="188" fontId="87" fillId="2" borderId="0" xfId="0" applyNumberFormat="1" applyFont="1" applyFill="1" applyAlignment="1">
      <alignment vertical="center"/>
    </xf>
    <xf numFmtId="0" fontId="84" fillId="2" borderId="0" xfId="0" applyFont="1" applyFill="1" applyAlignment="1">
      <alignment horizontal="right"/>
    </xf>
    <xf numFmtId="0" fontId="25" fillId="2" borderId="0" xfId="0" applyFont="1" applyFill="1" applyAlignment="1">
      <alignment horizontal="center" vertical="center"/>
    </xf>
    <xf numFmtId="0" fontId="88" fillId="2" borderId="0" xfId="0" applyFont="1" applyFill="1" applyAlignment="1">
      <alignment horizontal="center" vertical="center"/>
    </xf>
    <xf numFmtId="179" fontId="87" fillId="2" borderId="0" xfId="80" applyNumberFormat="1" applyFont="1" applyFill="1" applyAlignment="1">
      <alignment horizontal="right"/>
    </xf>
    <xf numFmtId="9" fontId="89" fillId="2" borderId="0" xfId="0" applyNumberFormat="1" applyFont="1" applyFill="1"/>
    <xf numFmtId="0" fontId="90" fillId="2" borderId="0" xfId="0" applyFont="1" applyFill="1" applyAlignment="1">
      <alignment horizontal="center" vertical="center"/>
    </xf>
    <xf numFmtId="9" fontId="89" fillId="2" borderId="0" xfId="0" applyNumberFormat="1" applyFont="1" applyFill="1" applyAlignment="1">
      <alignment horizontal="left"/>
    </xf>
    <xf numFmtId="0" fontId="70" fillId="0" borderId="0" xfId="0" applyFont="1" applyAlignment="1">
      <alignment horizontal="center" vertical="center"/>
    </xf>
    <xf numFmtId="0" fontId="87" fillId="2" borderId="0" xfId="0" applyFont="1" applyFill="1" applyAlignment="1">
      <alignment horizontal="left" vertical="center"/>
    </xf>
    <xf numFmtId="172" fontId="91" fillId="0" borderId="0" xfId="0" applyNumberFormat="1" applyFont="1" applyAlignment="1">
      <alignment horizontal="right" vertical="center"/>
    </xf>
    <xf numFmtId="0" fontId="92" fillId="2" borderId="0" xfId="0" applyFont="1" applyFill="1" applyAlignment="1">
      <alignment horizontal="left" vertical="center"/>
    </xf>
    <xf numFmtId="0" fontId="58" fillId="0" borderId="73" xfId="0" applyFont="1" applyBorder="1" applyAlignment="1">
      <alignment horizontal="center"/>
    </xf>
    <xf numFmtId="0" fontId="84" fillId="0" borderId="74" xfId="0" applyFont="1" applyBorder="1" applyAlignment="1">
      <alignment horizontal="right"/>
    </xf>
    <xf numFmtId="9" fontId="89" fillId="0" borderId="0" xfId="0" applyNumberFormat="1" applyFont="1"/>
    <xf numFmtId="0" fontId="58" fillId="0" borderId="75" xfId="0" applyFont="1" applyBorder="1" applyAlignment="1">
      <alignment horizontal="center"/>
    </xf>
    <xf numFmtId="0" fontId="84" fillId="0" borderId="76" xfId="0" applyFont="1" applyBorder="1" applyAlignment="1">
      <alignment horizontal="right"/>
    </xf>
    <xf numFmtId="0" fontId="58" fillId="0" borderId="75" xfId="0" applyFont="1" applyBorder="1" applyAlignment="1">
      <alignment horizontal="center" vertical="center"/>
    </xf>
    <xf numFmtId="0" fontId="58" fillId="0" borderId="77" xfId="0" applyFont="1" applyBorder="1" applyAlignment="1">
      <alignment horizontal="center" vertical="center"/>
    </xf>
    <xf numFmtId="0" fontId="84" fillId="0" borderId="78" xfId="0" applyFont="1" applyBorder="1" applyAlignment="1">
      <alignment horizontal="right"/>
    </xf>
    <xf numFmtId="0" fontId="94" fillId="0" borderId="0" xfId="0" applyFont="1"/>
    <xf numFmtId="0" fontId="95" fillId="0" borderId="0" xfId="0" applyFont="1"/>
    <xf numFmtId="0" fontId="96" fillId="0" borderId="0" xfId="0" applyFont="1" applyAlignment="1">
      <alignment horizontal="center" vertical="center"/>
    </xf>
    <xf numFmtId="0" fontId="97" fillId="0" borderId="0" xfId="0" applyFont="1" applyAlignment="1">
      <alignment horizontal="center" vertical="center"/>
    </xf>
    <xf numFmtId="0" fontId="97" fillId="0" borderId="0" xfId="0" applyFont="1" applyAlignment="1">
      <alignment horizontal="right" vertical="center" indent="1"/>
    </xf>
    <xf numFmtId="0" fontId="98" fillId="0" borderId="0" xfId="0" applyFont="1" applyAlignment="1">
      <alignment horizontal="center"/>
    </xf>
    <xf numFmtId="0" fontId="99" fillId="0" borderId="79" xfId="0" applyFont="1" applyBorder="1" applyAlignment="1">
      <alignment horizontal="center" vertical="center"/>
    </xf>
    <xf numFmtId="0" fontId="70" fillId="0" borderId="80" xfId="0" applyFont="1" applyBorder="1" applyAlignment="1">
      <alignment vertical="center"/>
    </xf>
    <xf numFmtId="0" fontId="99" fillId="0" borderId="81" xfId="0" applyFont="1" applyBorder="1" applyAlignment="1">
      <alignment horizontal="center" vertical="center"/>
    </xf>
    <xf numFmtId="0" fontId="70" fillId="0" borderId="82" xfId="0" applyFont="1" applyBorder="1" applyAlignment="1">
      <alignment vertical="center"/>
    </xf>
    <xf numFmtId="0" fontId="99" fillId="0" borderId="83" xfId="0" applyFont="1" applyBorder="1" applyAlignment="1">
      <alignment horizontal="center" vertical="center"/>
    </xf>
    <xf numFmtId="0" fontId="70" fillId="0" borderId="84" xfId="0" applyFont="1" applyBorder="1" applyAlignment="1">
      <alignment vertical="center"/>
    </xf>
    <xf numFmtId="0" fontId="70" fillId="0" borderId="85" xfId="0" applyFont="1" applyBorder="1" applyAlignment="1">
      <alignment vertical="center"/>
    </xf>
    <xf numFmtId="0" fontId="20" fillId="0" borderId="0" xfId="0" applyFont="1" applyAlignment="1">
      <alignment horizontal="center"/>
    </xf>
    <xf numFmtId="0" fontId="79" fillId="10" borderId="86" xfId="0" applyFont="1" applyFill="1" applyBorder="1" applyAlignment="1">
      <alignment vertical="center"/>
    </xf>
    <xf numFmtId="0" fontId="14" fillId="0" borderId="0" xfId="0" applyFont="1"/>
    <xf numFmtId="0" fontId="100" fillId="0" borderId="0" xfId="78" applyFont="1" applyAlignment="1">
      <alignment horizontal="center" vertical="center" wrapText="1"/>
    </xf>
    <xf numFmtId="0" fontId="100" fillId="8" borderId="87" xfId="78" applyFont="1" applyFill="1" applyBorder="1" applyAlignment="1">
      <alignment horizontal="center" vertical="center" wrapText="1"/>
    </xf>
    <xf numFmtId="0" fontId="102" fillId="0" borderId="0" xfId="0" applyFont="1"/>
    <xf numFmtId="0" fontId="102" fillId="0" borderId="0" xfId="0" applyFont="1" applyAlignment="1">
      <alignment horizontal="center"/>
    </xf>
    <xf numFmtId="0" fontId="103" fillId="0" borderId="0" xfId="0" applyFont="1"/>
    <xf numFmtId="0" fontId="104" fillId="10" borderId="86" xfId="0" applyFont="1" applyFill="1" applyBorder="1" applyAlignment="1">
      <alignment vertical="center"/>
    </xf>
    <xf numFmtId="0" fontId="45" fillId="0" borderId="0" xfId="0" applyFont="1"/>
    <xf numFmtId="0" fontId="105" fillId="10" borderId="10" xfId="0" applyFont="1" applyFill="1" applyBorder="1" applyAlignment="1">
      <alignment horizontal="center"/>
    </xf>
    <xf numFmtId="0" fontId="0" fillId="0" borderId="10" xfId="0" applyBorder="1"/>
    <xf numFmtId="0" fontId="0" fillId="0" borderId="10" xfId="0" applyBorder="1" applyAlignment="1">
      <alignment horizontal="center"/>
    </xf>
    <xf numFmtId="0" fontId="67" fillId="0" borderId="10" xfId="0" applyFont="1" applyBorder="1" applyAlignment="1">
      <alignment horizontal="center"/>
    </xf>
    <xf numFmtId="0" fontId="106" fillId="0" borderId="10" xfId="0" applyFont="1" applyBorder="1" applyAlignment="1">
      <alignment horizontal="left" indent="1"/>
    </xf>
    <xf numFmtId="0" fontId="67" fillId="0" borderId="0" xfId="0" applyFont="1"/>
    <xf numFmtId="0" fontId="67" fillId="0" borderId="10" xfId="0" applyFont="1" applyBorder="1"/>
    <xf numFmtId="167" fontId="67" fillId="0" borderId="10" xfId="74" applyFont="1" applyBorder="1"/>
    <xf numFmtId="3" fontId="36" fillId="27" borderId="88" xfId="0" applyNumberFormat="1" applyFont="1" applyFill="1" applyBorder="1" applyProtection="1">
      <protection locked="0"/>
    </xf>
    <xf numFmtId="3" fontId="36" fillId="27" borderId="15" xfId="0" applyNumberFormat="1" applyFont="1" applyFill="1" applyBorder="1" applyProtection="1">
      <protection locked="0"/>
    </xf>
    <xf numFmtId="165" fontId="0" fillId="0" borderId="89" xfId="0" applyNumberFormat="1" applyBorder="1"/>
    <xf numFmtId="165" fontId="36" fillId="0" borderId="10" xfId="0" applyNumberFormat="1" applyFont="1" applyBorder="1"/>
    <xf numFmtId="170" fontId="14" fillId="10" borderId="0" xfId="0" applyNumberFormat="1" applyFont="1" applyFill="1" applyAlignment="1" applyProtection="1">
      <alignment horizontal="center"/>
      <protection locked="0"/>
    </xf>
    <xf numFmtId="170" fontId="14" fillId="10" borderId="90" xfId="0" applyNumberFormat="1" applyFont="1" applyFill="1" applyBorder="1" applyAlignment="1" applyProtection="1">
      <alignment horizontal="center"/>
      <protection locked="0"/>
    </xf>
    <xf numFmtId="172" fontId="9" fillId="12" borderId="91" xfId="0" applyNumberFormat="1" applyFont="1" applyFill="1" applyBorder="1" applyAlignment="1">
      <alignment horizontal="center" vertical="center" wrapText="1"/>
    </xf>
    <xf numFmtId="180" fontId="9" fillId="12" borderId="91" xfId="0" applyNumberFormat="1" applyFont="1" applyFill="1" applyBorder="1" applyAlignment="1">
      <alignment horizontal="center" vertical="center" wrapText="1"/>
    </xf>
    <xf numFmtId="172" fontId="9" fillId="12" borderId="91" xfId="0" applyNumberFormat="1" applyFont="1" applyFill="1" applyBorder="1" applyAlignment="1" applyProtection="1">
      <alignment vertical="center"/>
      <protection locked="0"/>
    </xf>
    <xf numFmtId="172" fontId="9" fillId="28" borderId="91" xfId="0" applyNumberFormat="1" applyFont="1" applyFill="1" applyBorder="1" applyAlignment="1" applyProtection="1">
      <alignment vertical="center"/>
      <protection locked="0"/>
    </xf>
    <xf numFmtId="172" fontId="9" fillId="28" borderId="91" xfId="0" applyNumberFormat="1" applyFont="1" applyFill="1" applyBorder="1" applyAlignment="1" applyProtection="1">
      <alignment horizontal="right" vertical="center"/>
      <protection locked="0"/>
    </xf>
    <xf numFmtId="181" fontId="9" fillId="12" borderId="91" xfId="0" applyNumberFormat="1" applyFont="1" applyFill="1" applyBorder="1" applyAlignment="1">
      <alignment horizontal="center" vertical="center" wrapText="1"/>
    </xf>
    <xf numFmtId="178" fontId="9" fillId="12" borderId="91" xfId="0" applyNumberFormat="1" applyFont="1" applyFill="1" applyBorder="1" applyAlignment="1">
      <alignment horizontal="center" vertical="center" wrapText="1"/>
    </xf>
    <xf numFmtId="49" fontId="9" fillId="0" borderId="91" xfId="0" applyNumberFormat="1" applyFont="1" applyBorder="1" applyAlignment="1">
      <alignment horizontal="left"/>
    </xf>
    <xf numFmtId="49" fontId="9" fillId="29" borderId="91" xfId="0" applyNumberFormat="1" applyFont="1" applyFill="1" applyBorder="1" applyAlignment="1">
      <alignment horizontal="left"/>
    </xf>
    <xf numFmtId="4" fontId="9" fillId="30" borderId="91" xfId="0" applyNumberFormat="1" applyFont="1" applyFill="1" applyBorder="1" applyAlignment="1">
      <alignment horizontal="center" vertical="center" wrapText="1"/>
    </xf>
    <xf numFmtId="3" fontId="9" fillId="30" borderId="91" xfId="0" applyNumberFormat="1" applyFont="1" applyFill="1" applyBorder="1" applyAlignment="1">
      <alignment horizontal="center" vertical="center" wrapText="1"/>
    </xf>
    <xf numFmtId="3" fontId="9" fillId="31" borderId="91" xfId="0" applyNumberFormat="1" applyFont="1" applyFill="1" applyBorder="1" applyAlignment="1">
      <alignment horizontal="center" vertical="center" wrapText="1"/>
    </xf>
    <xf numFmtId="178" fontId="36" fillId="0" borderId="10" xfId="0" applyNumberFormat="1" applyFont="1" applyBorder="1" applyAlignment="1">
      <alignment horizontal="center" vertical="center" wrapText="1"/>
    </xf>
    <xf numFmtId="167" fontId="69" fillId="12" borderId="0" xfId="0" applyNumberFormat="1" applyFont="1" applyFill="1" applyAlignment="1" applyProtection="1">
      <alignment horizontal="left" vertical="top"/>
      <protection locked="0"/>
    </xf>
    <xf numFmtId="0" fontId="72" fillId="12" borderId="0" xfId="0" applyFont="1" applyFill="1" applyAlignment="1" applyProtection="1">
      <alignment horizontal="left" vertical="center"/>
      <protection locked="0"/>
    </xf>
    <xf numFmtId="1" fontId="44" fillId="3" borderId="65" xfId="0" applyNumberFormat="1" applyFont="1" applyFill="1" applyBorder="1" applyAlignment="1">
      <alignment horizontal="center"/>
    </xf>
    <xf numFmtId="191" fontId="36" fillId="0" borderId="10" xfId="0" applyNumberFormat="1" applyFont="1" applyBorder="1" applyAlignment="1">
      <alignment horizontal="center" vertical="center" wrapText="1"/>
    </xf>
    <xf numFmtId="0" fontId="110" fillId="12" borderId="0" xfId="0" applyFont="1" applyFill="1" applyAlignment="1" applyProtection="1">
      <alignment horizontal="left" vertical="center"/>
      <protection locked="0"/>
    </xf>
    <xf numFmtId="172" fontId="2" fillId="2" borderId="92" xfId="0" applyNumberFormat="1" applyFont="1" applyFill="1" applyBorder="1" applyAlignment="1">
      <alignment horizontal="right"/>
    </xf>
    <xf numFmtId="0" fontId="2" fillId="2" borderId="92" xfId="0" applyFont="1" applyFill="1" applyBorder="1"/>
    <xf numFmtId="0" fontId="109" fillId="0" borderId="91" xfId="0" applyFont="1" applyBorder="1" applyAlignment="1">
      <alignment wrapText="1"/>
    </xf>
    <xf numFmtId="0" fontId="0" fillId="0" borderId="93" xfId="0" applyBorder="1" applyAlignment="1">
      <alignment vertical="center" wrapText="1"/>
    </xf>
    <xf numFmtId="190" fontId="0" fillId="0" borderId="0" xfId="0" applyNumberFormat="1"/>
    <xf numFmtId="0" fontId="50" fillId="0" borderId="0" xfId="0" applyFont="1" applyAlignment="1">
      <alignment horizontal="center" wrapText="1"/>
    </xf>
    <xf numFmtId="2" fontId="0" fillId="0" borderId="0" xfId="0" applyNumberFormat="1"/>
    <xf numFmtId="1" fontId="0" fillId="0" borderId="0" xfId="0" applyNumberFormat="1"/>
    <xf numFmtId="0" fontId="0" fillId="13" borderId="94" xfId="0" applyFill="1" applyBorder="1" applyAlignment="1">
      <alignment horizontal="center" vertical="center"/>
    </xf>
    <xf numFmtId="0" fontId="0" fillId="13" borderId="95" xfId="0" applyFill="1" applyBorder="1" applyAlignment="1">
      <alignment horizontal="center" vertical="center"/>
    </xf>
    <xf numFmtId="167" fontId="0" fillId="13" borderId="91" xfId="0" applyNumberFormat="1" applyFill="1" applyBorder="1" applyAlignment="1" applyProtection="1">
      <alignment wrapText="1"/>
      <protection locked="0"/>
    </xf>
    <xf numFmtId="49" fontId="0" fillId="13" borderId="91" xfId="0" applyNumberFormat="1" applyFill="1" applyBorder="1" applyAlignment="1" applyProtection="1">
      <alignment horizontal="left" wrapText="1"/>
      <protection locked="0"/>
    </xf>
    <xf numFmtId="49" fontId="0" fillId="13" borderId="91" xfId="0" applyNumberFormat="1" applyFill="1" applyBorder="1" applyAlignment="1">
      <alignment horizontal="left" wrapText="1"/>
    </xf>
    <xf numFmtId="167" fontId="0" fillId="0" borderId="96" xfId="0" applyNumberFormat="1" applyBorder="1" applyAlignment="1">
      <alignment horizontal="left"/>
    </xf>
    <xf numFmtId="167" fontId="0" fillId="0" borderId="97" xfId="0" applyNumberFormat="1" applyBorder="1" applyAlignment="1">
      <alignment horizontal="center" wrapText="1"/>
    </xf>
    <xf numFmtId="167" fontId="36" fillId="0" borderId="98" xfId="0" applyNumberFormat="1" applyFont="1" applyBorder="1" applyAlignment="1">
      <alignment horizontal="center" wrapText="1"/>
    </xf>
    <xf numFmtId="167" fontId="0" fillId="0" borderId="98" xfId="0" applyNumberFormat="1" applyBorder="1" applyAlignment="1">
      <alignment horizontal="center" wrapText="1"/>
    </xf>
    <xf numFmtId="49" fontId="0" fillId="13" borderId="99" xfId="0" applyNumberFormat="1" applyFill="1" applyBorder="1" applyAlignment="1">
      <alignment horizontal="left" wrapText="1"/>
    </xf>
    <xf numFmtId="0" fontId="0" fillId="13" borderId="100" xfId="0" applyFill="1" applyBorder="1" applyAlignment="1">
      <alignment horizontal="center" vertical="center"/>
    </xf>
    <xf numFmtId="0" fontId="50" fillId="2" borderId="101" xfId="0" applyFont="1" applyFill="1" applyBorder="1"/>
    <xf numFmtId="0" fontId="36" fillId="0" borderId="102" xfId="0" applyFont="1" applyBorder="1" applyAlignment="1">
      <alignment horizontal="center" vertical="center" wrapText="1"/>
    </xf>
    <xf numFmtId="0" fontId="36" fillId="0" borderId="103" xfId="0" applyFont="1" applyBorder="1" applyAlignment="1">
      <alignment horizontal="center" vertical="center" wrapText="1"/>
    </xf>
    <xf numFmtId="0" fontId="70" fillId="0" borderId="104" xfId="0" applyFont="1" applyBorder="1" applyAlignment="1">
      <alignment horizontal="center" vertical="center" wrapText="1"/>
    </xf>
    <xf numFmtId="0" fontId="36" fillId="0" borderId="104" xfId="0" applyFont="1" applyBorder="1" applyAlignment="1">
      <alignment horizontal="center" vertical="center" wrapText="1"/>
    </xf>
    <xf numFmtId="0" fontId="70" fillId="0" borderId="105" xfId="0" applyFont="1" applyBorder="1" applyAlignment="1">
      <alignment horizontal="center" vertical="center" wrapText="1"/>
    </xf>
    <xf numFmtId="0" fontId="50" fillId="2" borderId="106" xfId="0" applyFont="1" applyFill="1" applyBorder="1"/>
    <xf numFmtId="179" fontId="2" fillId="32" borderId="107" xfId="0" applyNumberFormat="1" applyFont="1" applyFill="1" applyBorder="1" applyAlignment="1">
      <alignment horizontal="center"/>
    </xf>
    <xf numFmtId="167" fontId="50" fillId="0" borderId="0" xfId="0" applyNumberFormat="1" applyFont="1"/>
    <xf numFmtId="176" fontId="50" fillId="3" borderId="91" xfId="57" applyNumberFormat="1" applyFont="1" applyFill="1" applyBorder="1" applyProtection="1">
      <protection locked="0"/>
    </xf>
    <xf numFmtId="176" fontId="50" fillId="3" borderId="91" xfId="57" applyNumberFormat="1" applyFont="1" applyFill="1" applyBorder="1" applyAlignment="1" applyProtection="1">
      <alignment horizontal="center" vertical="center"/>
      <protection locked="0"/>
    </xf>
    <xf numFmtId="0" fontId="45" fillId="0" borderId="213" xfId="0" applyFont="1" applyBorder="1" applyAlignment="1">
      <alignment vertical="distributed" wrapText="1"/>
    </xf>
    <xf numFmtId="167" fontId="47" fillId="0" borderId="214" xfId="0" applyNumberFormat="1" applyFont="1" applyBorder="1" applyAlignment="1">
      <alignment horizontal="center" vertical="center" wrapText="1"/>
    </xf>
    <xf numFmtId="169" fontId="47" fillId="0" borderId="215" xfId="0" applyNumberFormat="1" applyFont="1" applyBorder="1" applyAlignment="1">
      <alignment horizontal="center" vertical="center" wrapText="1"/>
    </xf>
    <xf numFmtId="167" fontId="10" fillId="0" borderId="216" xfId="0" applyNumberFormat="1" applyFont="1" applyBorder="1"/>
    <xf numFmtId="167" fontId="10" fillId="0" borderId="217" xfId="0" applyNumberFormat="1" applyFont="1" applyBorder="1"/>
    <xf numFmtId="176" fontId="50" fillId="3" borderId="218" xfId="57" applyNumberFormat="1" applyFont="1" applyFill="1" applyBorder="1" applyProtection="1">
      <protection locked="0"/>
    </xf>
    <xf numFmtId="176" fontId="50" fillId="3" borderId="218" xfId="57" applyNumberFormat="1" applyFont="1" applyFill="1" applyBorder="1" applyAlignment="1" applyProtection="1">
      <alignment horizontal="center" vertical="center"/>
      <protection locked="0"/>
    </xf>
    <xf numFmtId="167" fontId="46" fillId="0" borderId="108" xfId="0" applyNumberFormat="1" applyFont="1" applyBorder="1"/>
    <xf numFmtId="167" fontId="0" fillId="0" borderId="98" xfId="0" applyNumberFormat="1" applyBorder="1" applyAlignment="1">
      <alignment horizontal="center" vertical="center" wrapText="1"/>
    </xf>
    <xf numFmtId="167" fontId="0" fillId="0" borderId="109" xfId="0" applyNumberFormat="1" applyBorder="1" applyAlignment="1">
      <alignment horizontal="center" vertical="center" wrapText="1"/>
    </xf>
    <xf numFmtId="171" fontId="50" fillId="0" borderId="0" xfId="0" applyNumberFormat="1" applyFont="1"/>
    <xf numFmtId="49" fontId="50" fillId="2" borderId="101" xfId="0" applyNumberFormat="1" applyFont="1" applyFill="1" applyBorder="1"/>
    <xf numFmtId="1" fontId="0" fillId="13" borderId="94" xfId="0" applyNumberFormat="1" applyFill="1" applyBorder="1" applyAlignment="1">
      <alignment horizontal="center" vertical="center"/>
    </xf>
    <xf numFmtId="0" fontId="50" fillId="2" borderId="110" xfId="0" applyFont="1" applyFill="1" applyBorder="1"/>
    <xf numFmtId="0" fontId="111" fillId="0" borderId="0" xfId="0" applyFont="1"/>
    <xf numFmtId="167" fontId="10" fillId="0" borderId="219" xfId="0" applyNumberFormat="1" applyFont="1" applyBorder="1"/>
    <xf numFmtId="176" fontId="50" fillId="3" borderId="111" xfId="57" applyNumberFormat="1" applyFont="1" applyFill="1" applyBorder="1" applyProtection="1">
      <protection locked="0"/>
    </xf>
    <xf numFmtId="176" fontId="50" fillId="3" borderId="111" xfId="57" applyNumberFormat="1" applyFont="1" applyFill="1" applyBorder="1" applyAlignment="1" applyProtection="1">
      <alignment horizontal="center" vertical="center"/>
      <protection locked="0"/>
    </xf>
    <xf numFmtId="0" fontId="50" fillId="0" borderId="91" xfId="0" applyFont="1" applyBorder="1" applyAlignment="1">
      <alignment horizontal="center" wrapText="1"/>
    </xf>
    <xf numFmtId="3" fontId="50" fillId="13" borderId="94" xfId="0" applyNumberFormat="1" applyFont="1" applyFill="1" applyBorder="1" applyAlignment="1">
      <alignment horizontal="center" vertical="center"/>
    </xf>
    <xf numFmtId="2" fontId="50" fillId="0" borderId="10" xfId="0" applyNumberFormat="1" applyFont="1" applyBorder="1" applyAlignment="1">
      <alignment horizontal="center" vertical="center"/>
    </xf>
    <xf numFmtId="0" fontId="50" fillId="13" borderId="47" xfId="0" applyFont="1" applyFill="1" applyBorder="1" applyAlignment="1">
      <alignment horizontal="center" vertical="center"/>
    </xf>
    <xf numFmtId="179" fontId="50" fillId="0" borderId="112" xfId="0" applyNumberFormat="1" applyFont="1" applyBorder="1" applyAlignment="1">
      <alignment horizontal="center" vertical="center"/>
    </xf>
    <xf numFmtId="1" fontId="50" fillId="0" borderId="91" xfId="0" applyNumberFormat="1" applyFont="1" applyBorder="1" applyAlignment="1">
      <alignment horizontal="center" vertical="center"/>
    </xf>
    <xf numFmtId="0" fontId="50" fillId="0" borderId="99" xfId="0" applyFont="1" applyBorder="1" applyAlignment="1">
      <alignment horizontal="center" wrapText="1"/>
    </xf>
    <xf numFmtId="178" fontId="112" fillId="13" borderId="113" xfId="0" applyNumberFormat="1" applyFont="1" applyFill="1" applyBorder="1" applyAlignment="1">
      <alignment horizontal="center" vertical="center"/>
    </xf>
    <xf numFmtId="178" fontId="112" fillId="13" borderId="114" xfId="0" applyNumberFormat="1" applyFont="1" applyFill="1" applyBorder="1" applyAlignment="1">
      <alignment horizontal="center" vertical="center"/>
    </xf>
    <xf numFmtId="3" fontId="0" fillId="0" borderId="0" xfId="0" applyNumberFormat="1"/>
    <xf numFmtId="43" fontId="0" fillId="0" borderId="0" xfId="0" applyNumberFormat="1"/>
    <xf numFmtId="176" fontId="50" fillId="0" borderId="0" xfId="57" applyNumberFormat="1" applyFont="1" applyAlignment="1" applyProtection="1">
      <alignment horizontal="center" vertical="center"/>
      <protection locked="0"/>
    </xf>
    <xf numFmtId="193" fontId="1" fillId="0" borderId="220" xfId="59" applyNumberFormat="1" applyBorder="1"/>
    <xf numFmtId="193" fontId="1" fillId="0" borderId="221" xfId="59" applyNumberFormat="1" applyBorder="1"/>
    <xf numFmtId="193" fontId="0" fillId="0" borderId="0" xfId="0" applyNumberFormat="1"/>
    <xf numFmtId="3" fontId="50" fillId="13" borderId="99" xfId="0" applyNumberFormat="1" applyFont="1" applyFill="1" applyBorder="1" applyAlignment="1">
      <alignment vertical="center" wrapText="1"/>
    </xf>
    <xf numFmtId="2" fontId="50" fillId="0" borderId="99" xfId="0" applyNumberFormat="1" applyFont="1" applyBorder="1" applyAlignment="1">
      <alignment vertical="center" wrapText="1"/>
    </xf>
    <xf numFmtId="0" fontId="50" fillId="13" borderId="99" xfId="0" applyFont="1" applyFill="1" applyBorder="1" applyAlignment="1">
      <alignment vertical="center" wrapText="1"/>
    </xf>
    <xf numFmtId="192" fontId="0" fillId="0" borderId="115" xfId="0" applyNumberFormat="1" applyBorder="1"/>
    <xf numFmtId="42" fontId="1" fillId="0" borderId="0" xfId="59" applyNumberFormat="1" applyAlignment="1">
      <alignment horizontal="center"/>
    </xf>
    <xf numFmtId="44" fontId="10" fillId="0" borderId="0" xfId="0" applyNumberFormat="1" applyFont="1" applyAlignment="1">
      <alignment horizontal="center"/>
    </xf>
    <xf numFmtId="192" fontId="0" fillId="0" borderId="0" xfId="0" applyNumberFormat="1"/>
    <xf numFmtId="4" fontId="10" fillId="0" borderId="0" xfId="0" applyNumberFormat="1" applyFont="1" applyAlignment="1">
      <alignment horizontal="center"/>
    </xf>
    <xf numFmtId="167" fontId="111" fillId="0" borderId="0" xfId="0" applyNumberFormat="1" applyFont="1"/>
    <xf numFmtId="170" fontId="111" fillId="0" borderId="0" xfId="0" applyNumberFormat="1" applyFont="1"/>
    <xf numFmtId="179" fontId="50" fillId="0" borderId="116" xfId="0" applyNumberFormat="1" applyFont="1" applyBorder="1" applyAlignment="1">
      <alignment vertical="center"/>
    </xf>
    <xf numFmtId="3" fontId="36" fillId="0" borderId="10" xfId="0" applyNumberFormat="1" applyFont="1" applyBorder="1"/>
    <xf numFmtId="9" fontId="76" fillId="36" borderId="10" xfId="80" applyFont="1" applyFill="1" applyBorder="1" applyAlignment="1">
      <alignment horizontal="center" vertical="center" wrapText="1"/>
    </xf>
    <xf numFmtId="2" fontId="50" fillId="0" borderId="117" xfId="0" applyNumberFormat="1" applyFont="1" applyBorder="1" applyAlignment="1">
      <alignment horizontal="center" vertical="center"/>
    </xf>
    <xf numFmtId="0" fontId="36" fillId="0" borderId="0" xfId="0" applyFont="1"/>
    <xf numFmtId="167" fontId="116" fillId="0" borderId="0" xfId="61" applyFont="1" applyAlignment="1">
      <alignment vertical="center"/>
    </xf>
    <xf numFmtId="9" fontId="107" fillId="0" borderId="0" xfId="80"/>
    <xf numFmtId="0" fontId="50" fillId="13" borderId="222" xfId="0" applyFont="1" applyFill="1" applyBorder="1" applyAlignment="1">
      <alignment horizontal="center" vertical="center"/>
    </xf>
    <xf numFmtId="167" fontId="18" fillId="33" borderId="0" xfId="70" applyFont="1" applyFill="1" applyAlignment="1">
      <alignment horizontal="center" vertical="center"/>
    </xf>
    <xf numFmtId="167" fontId="20" fillId="0" borderId="0" xfId="0" applyNumberFormat="1" applyFont="1" applyAlignment="1">
      <alignment horizontal="center"/>
    </xf>
    <xf numFmtId="167" fontId="28" fillId="0" borderId="10" xfId="0" applyNumberFormat="1" applyFont="1" applyBorder="1" applyAlignment="1">
      <alignment horizontal="justify" vertical="center" wrapText="1"/>
    </xf>
    <xf numFmtId="9" fontId="29" fillId="0" borderId="10" xfId="80" applyFont="1" applyBorder="1" applyAlignment="1">
      <alignment horizontal="justify" vertical="center" wrapText="1"/>
    </xf>
    <xf numFmtId="9" fontId="25" fillId="0" borderId="10" xfId="0" applyNumberFormat="1" applyFont="1" applyBorder="1" applyAlignment="1">
      <alignment horizontal="left" vertical="center" wrapText="1"/>
    </xf>
    <xf numFmtId="167" fontId="18" fillId="25" borderId="0" xfId="69" applyFont="1" applyFill="1" applyAlignment="1">
      <alignment horizontal="center" vertical="center"/>
    </xf>
    <xf numFmtId="0" fontId="26" fillId="0" borderId="0" xfId="0" applyFont="1" applyAlignment="1">
      <alignment horizontal="center"/>
    </xf>
    <xf numFmtId="0" fontId="27" fillId="3" borderId="10" xfId="0" applyFont="1" applyFill="1" applyBorder="1" applyAlignment="1">
      <alignment horizontal="center"/>
    </xf>
    <xf numFmtId="167" fontId="28" fillId="0" borderId="10" xfId="0" applyNumberFormat="1" applyFont="1" applyBorder="1" applyAlignment="1">
      <alignment horizontal="left" vertical="center" wrapText="1"/>
    </xf>
    <xf numFmtId="0" fontId="29" fillId="0" borderId="10" xfId="0" applyFont="1" applyBorder="1" applyAlignment="1">
      <alignment horizontal="justify" vertical="center" wrapText="1"/>
    </xf>
    <xf numFmtId="0" fontId="25" fillId="0" borderId="10" xfId="0" applyFont="1" applyBorder="1" applyAlignment="1">
      <alignment horizontal="left" vertical="center" wrapText="1"/>
    </xf>
    <xf numFmtId="0" fontId="0" fillId="0" borderId="0" xfId="0" applyAlignment="1">
      <alignment horizontal="center"/>
    </xf>
    <xf numFmtId="0" fontId="0" fillId="0" borderId="0" xfId="0" applyAlignment="1">
      <alignment horizontal="center" wrapText="1"/>
    </xf>
    <xf numFmtId="0" fontId="0" fillId="0" borderId="118" xfId="0" applyBorder="1" applyAlignment="1">
      <alignment horizontal="center"/>
    </xf>
    <xf numFmtId="0" fontId="0" fillId="0" borderId="118" xfId="0" applyBorder="1" applyAlignment="1">
      <alignment horizontal="center" wrapText="1"/>
    </xf>
    <xf numFmtId="0" fontId="27" fillId="13" borderId="10" xfId="0" applyFont="1" applyFill="1" applyBorder="1" applyAlignment="1">
      <alignment horizontal="center"/>
    </xf>
    <xf numFmtId="0" fontId="25" fillId="0" borderId="10" xfId="0" applyFont="1" applyBorder="1" applyAlignment="1">
      <alignment horizontal="justify" vertical="center" wrapText="1"/>
    </xf>
    <xf numFmtId="0" fontId="25" fillId="0" borderId="117" xfId="0" applyFont="1" applyBorder="1" applyAlignment="1">
      <alignment horizontal="justify" wrapText="1"/>
    </xf>
    <xf numFmtId="0" fontId="29" fillId="0" borderId="58" xfId="0" applyFont="1" applyBorder="1" applyAlignment="1">
      <alignment horizontal="justify" vertical="center" wrapText="1"/>
    </xf>
    <xf numFmtId="0" fontId="14" fillId="12" borderId="10" xfId="0" applyFont="1" applyFill="1" applyBorder="1" applyAlignment="1">
      <alignment horizontal="center" vertical="center" wrapText="1"/>
    </xf>
    <xf numFmtId="0" fontId="34" fillId="12" borderId="10" xfId="0" applyFont="1" applyFill="1" applyBorder="1" applyAlignment="1">
      <alignment horizontal="center" vertical="center"/>
    </xf>
    <xf numFmtId="0" fontId="32" fillId="0" borderId="58" xfId="0" applyFont="1" applyBorder="1" applyAlignment="1">
      <alignment horizontal="justify" vertical="center" wrapText="1"/>
    </xf>
    <xf numFmtId="0" fontId="32" fillId="0" borderId="10" xfId="0" applyFont="1" applyBorder="1" applyAlignment="1">
      <alignment horizontal="left" vertical="center" wrapText="1"/>
    </xf>
    <xf numFmtId="0" fontId="32" fillId="0" borderId="10" xfId="0" applyFont="1" applyBorder="1" applyAlignment="1">
      <alignment horizontal="justify" vertical="center" wrapText="1"/>
    </xf>
    <xf numFmtId="0" fontId="29" fillId="0" borderId="10" xfId="0" applyFont="1" applyBorder="1" applyAlignment="1" applyProtection="1">
      <alignment vertical="center" wrapText="1"/>
      <protection locked="0"/>
    </xf>
    <xf numFmtId="0" fontId="25" fillId="0" borderId="10" xfId="0" applyFont="1" applyBorder="1" applyAlignment="1" applyProtection="1">
      <alignment horizontal="left" vertical="center" wrapText="1"/>
      <protection locked="0"/>
    </xf>
    <xf numFmtId="0" fontId="25" fillId="0" borderId="10" xfId="0" applyFont="1" applyBorder="1" applyAlignment="1" applyProtection="1">
      <alignment horizontal="justify" vertical="center" wrapText="1"/>
      <protection locked="0"/>
    </xf>
    <xf numFmtId="0" fontId="29" fillId="2" borderId="10" xfId="0" applyFont="1" applyFill="1" applyBorder="1" applyAlignment="1" applyProtection="1">
      <alignment vertical="center" wrapText="1"/>
      <protection locked="0"/>
    </xf>
    <xf numFmtId="0" fontId="29" fillId="12" borderId="10" xfId="0" applyFont="1" applyFill="1" applyBorder="1" applyAlignment="1">
      <alignment vertical="center" wrapText="1"/>
    </xf>
    <xf numFmtId="0" fontId="35" fillId="2" borderId="10" xfId="0" applyFont="1" applyFill="1" applyBorder="1" applyAlignment="1" applyProtection="1">
      <alignment vertical="center" wrapText="1"/>
      <protection locked="0"/>
    </xf>
    <xf numFmtId="0" fontId="34" fillId="0" borderId="10" xfId="0" applyFont="1" applyBorder="1" applyAlignment="1">
      <alignment horizontal="center" vertical="center" wrapText="1"/>
    </xf>
    <xf numFmtId="0" fontId="0" fillId="0" borderId="10" xfId="0" applyBorder="1" applyAlignment="1">
      <alignment horizontal="center" vertical="center" wrapText="1"/>
    </xf>
    <xf numFmtId="0" fontId="28" fillId="0" borderId="10" xfId="0" applyFont="1" applyBorder="1" applyAlignment="1" applyProtection="1">
      <alignment vertical="center" wrapText="1"/>
      <protection locked="0"/>
    </xf>
    <xf numFmtId="167" fontId="0" fillId="0" borderId="62" xfId="95" applyNumberFormat="1" applyFont="1" applyBorder="1" applyAlignment="1">
      <alignment horizontal="right"/>
    </xf>
    <xf numFmtId="183" fontId="34" fillId="13" borderId="62" xfId="95" applyNumberFormat="1" applyFont="1" applyFill="1" applyBorder="1" applyAlignment="1">
      <alignment horizontal="center" vertical="center"/>
    </xf>
    <xf numFmtId="167" fontId="34" fillId="13" borderId="62" xfId="95" applyNumberFormat="1" applyFont="1" applyFill="1" applyBorder="1" applyAlignment="1">
      <alignment horizontal="center"/>
    </xf>
    <xf numFmtId="167" fontId="18" fillId="25" borderId="0" xfId="61" applyFont="1" applyFill="1" applyAlignment="1">
      <alignment horizontal="center" vertical="center"/>
    </xf>
    <xf numFmtId="167" fontId="20" fillId="13" borderId="0" xfId="73" applyFont="1" applyFill="1" applyAlignment="1">
      <alignment horizontal="center" vertical="center" wrapText="1"/>
    </xf>
    <xf numFmtId="167" fontId="61" fillId="0" borderId="0" xfId="73" applyFont="1" applyAlignment="1">
      <alignment horizontal="right" vertical="center"/>
    </xf>
    <xf numFmtId="167" fontId="34" fillId="13" borderId="0" xfId="73" applyFont="1" applyFill="1" applyAlignment="1">
      <alignment horizontal="center" vertical="center" wrapText="1"/>
    </xf>
    <xf numFmtId="169" fontId="34" fillId="13" borderId="62" xfId="95" applyNumberFormat="1" applyFont="1" applyFill="1" applyBorder="1" applyAlignment="1">
      <alignment horizontal="center"/>
    </xf>
    <xf numFmtId="167" fontId="65" fillId="33" borderId="62" xfId="95" applyNumberFormat="1" applyFont="1" applyFill="1" applyBorder="1" applyAlignment="1">
      <alignment horizontal="center"/>
    </xf>
    <xf numFmtId="167" fontId="40" fillId="0" borderId="145" xfId="0" applyNumberFormat="1" applyFont="1" applyBorder="1" applyAlignment="1">
      <alignment horizontal="right"/>
    </xf>
    <xf numFmtId="167" fontId="39" fillId="0" borderId="108" xfId="0" applyNumberFormat="1" applyFont="1" applyBorder="1" applyAlignment="1">
      <alignment horizontal="right"/>
    </xf>
    <xf numFmtId="49" fontId="14" fillId="0" borderId="10" xfId="0" applyNumberFormat="1" applyFont="1" applyBorder="1" applyAlignment="1" applyProtection="1">
      <alignment horizontal="center"/>
      <protection locked="0"/>
    </xf>
    <xf numFmtId="167" fontId="37" fillId="25" borderId="0" xfId="61" applyFont="1" applyFill="1" applyAlignment="1">
      <alignment horizontal="center" vertical="center"/>
    </xf>
    <xf numFmtId="0" fontId="0" fillId="0" borderId="154" xfId="0" applyBorder="1" applyAlignment="1">
      <alignment horizontal="center"/>
    </xf>
    <xf numFmtId="167" fontId="0" fillId="0" borderId="10" xfId="0" applyNumberFormat="1" applyBorder="1" applyAlignment="1" applyProtection="1">
      <alignment horizontal="center"/>
      <protection locked="0"/>
    </xf>
    <xf numFmtId="167" fontId="39" fillId="0" borderId="0" xfId="0" applyNumberFormat="1" applyFont="1" applyAlignment="1">
      <alignment horizontal="right"/>
    </xf>
    <xf numFmtId="49" fontId="36" fillId="0" borderId="47" xfId="0" applyNumberFormat="1" applyFont="1" applyBorder="1" applyAlignment="1" applyProtection="1">
      <alignment horizontal="center" wrapText="1"/>
      <protection locked="0"/>
    </xf>
    <xf numFmtId="169" fontId="0" fillId="0" borderId="10" xfId="95" applyNumberFormat="1" applyFont="1" applyBorder="1" applyAlignment="1" applyProtection="1">
      <alignment horizontal="center"/>
      <protection locked="0"/>
    </xf>
    <xf numFmtId="167" fontId="39" fillId="0" borderId="145" xfId="0" applyNumberFormat="1" applyFont="1" applyBorder="1" applyAlignment="1">
      <alignment horizontal="right"/>
    </xf>
    <xf numFmtId="49" fontId="0" fillId="0" borderId="10" xfId="0" applyNumberFormat="1" applyBorder="1" applyAlignment="1" applyProtection="1">
      <alignment horizontal="center"/>
      <protection locked="0"/>
    </xf>
    <xf numFmtId="168" fontId="0" fillId="0" borderId="47" xfId="0" applyNumberFormat="1" applyBorder="1" applyAlignment="1" applyProtection="1">
      <alignment horizontal="center"/>
      <protection locked="0"/>
    </xf>
    <xf numFmtId="167" fontId="2" fillId="22" borderId="10" xfId="95" applyNumberFormat="1" applyFont="1" applyFill="1" applyBorder="1" applyAlignment="1" applyProtection="1">
      <alignment horizontal="center"/>
      <protection locked="0"/>
    </xf>
    <xf numFmtId="167" fontId="39" fillId="0" borderId="11" xfId="0" applyNumberFormat="1" applyFont="1" applyBorder="1" applyAlignment="1">
      <alignment horizontal="right"/>
    </xf>
    <xf numFmtId="49" fontId="0" fillId="0" borderId="47" xfId="0" applyNumberFormat="1" applyBorder="1" applyAlignment="1" applyProtection="1">
      <alignment horizontal="center"/>
      <protection locked="0"/>
    </xf>
    <xf numFmtId="0" fontId="0" fillId="12" borderId="10" xfId="0" applyFill="1" applyBorder="1" applyAlignment="1">
      <alignment horizontal="center"/>
    </xf>
    <xf numFmtId="170" fontId="0" fillId="10" borderId="90" xfId="0" applyNumberFormat="1" applyFill="1" applyBorder="1" applyAlignment="1">
      <alignment horizontal="center" vertical="center" textRotation="90"/>
    </xf>
    <xf numFmtId="49" fontId="9" fillId="30" borderId="134" xfId="0" applyNumberFormat="1" applyFont="1" applyFill="1" applyBorder="1" applyAlignment="1">
      <alignment horizontal="left" vertical="center" wrapText="1"/>
    </xf>
    <xf numFmtId="49" fontId="9" fillId="30" borderId="135" xfId="0" applyNumberFormat="1" applyFont="1" applyFill="1" applyBorder="1" applyAlignment="1">
      <alignment horizontal="left" vertical="center" wrapText="1"/>
    </xf>
    <xf numFmtId="49" fontId="9" fillId="30" borderId="136" xfId="0" applyNumberFormat="1" applyFont="1" applyFill="1" applyBorder="1" applyAlignment="1">
      <alignment horizontal="left" vertical="center" wrapText="1"/>
    </xf>
    <xf numFmtId="49" fontId="9" fillId="30" borderId="137" xfId="0" applyNumberFormat="1" applyFont="1" applyFill="1" applyBorder="1" applyAlignment="1">
      <alignment horizontal="left" vertical="center" wrapText="1"/>
    </xf>
    <xf numFmtId="49" fontId="9" fillId="30" borderId="119" xfId="0" applyNumberFormat="1" applyFont="1" applyFill="1" applyBorder="1" applyAlignment="1">
      <alignment horizontal="left" vertical="center" wrapText="1"/>
    </xf>
    <xf numFmtId="49" fontId="9" fillId="30" borderId="138" xfId="0" applyNumberFormat="1" applyFont="1" applyFill="1" applyBorder="1" applyAlignment="1">
      <alignment horizontal="left" vertical="center" wrapText="1"/>
    </xf>
    <xf numFmtId="0" fontId="9" fillId="30" borderId="139" xfId="0" applyFont="1" applyFill="1" applyBorder="1" applyAlignment="1">
      <alignment horizontal="center" vertical="center" wrapText="1"/>
    </xf>
    <xf numFmtId="0" fontId="9" fillId="30" borderId="140" xfId="0" applyFont="1" applyFill="1" applyBorder="1" applyAlignment="1">
      <alignment horizontal="center" vertical="center" wrapText="1"/>
    </xf>
    <xf numFmtId="167" fontId="0" fillId="0" borderId="37" xfId="0" applyNumberFormat="1" applyBorder="1" applyAlignment="1">
      <alignment horizontal="left"/>
    </xf>
    <xf numFmtId="167" fontId="0" fillId="0" borderId="39" xfId="0" applyNumberFormat="1" applyBorder="1" applyAlignment="1">
      <alignment horizontal="left"/>
    </xf>
    <xf numFmtId="167" fontId="23" fillId="0" borderId="150" xfId="0" applyNumberFormat="1" applyFont="1" applyBorder="1" applyAlignment="1">
      <alignment horizontal="right"/>
    </xf>
    <xf numFmtId="167" fontId="14" fillId="0" borderId="151" xfId="0" applyNumberFormat="1" applyFont="1" applyBorder="1" applyAlignment="1">
      <alignment horizontal="center"/>
    </xf>
    <xf numFmtId="0" fontId="0" fillId="24" borderId="152" xfId="0" applyFill="1" applyBorder="1" applyAlignment="1">
      <alignment horizontal="center"/>
    </xf>
    <xf numFmtId="167" fontId="46" fillId="0" borderId="153" xfId="0" applyNumberFormat="1" applyFont="1" applyBorder="1" applyAlignment="1">
      <alignment horizontal="center" wrapText="1"/>
    </xf>
    <xf numFmtId="49" fontId="9" fillId="30" borderId="141" xfId="0" applyNumberFormat="1" applyFont="1" applyFill="1" applyBorder="1" applyAlignment="1">
      <alignment horizontal="center" vertical="center" wrapText="1"/>
    </xf>
    <xf numFmtId="49" fontId="9" fillId="30" borderId="142" xfId="0" applyNumberFormat="1" applyFont="1" applyFill="1" applyBorder="1" applyAlignment="1">
      <alignment horizontal="center" vertical="center" wrapText="1"/>
    </xf>
    <xf numFmtId="49" fontId="9" fillId="35" borderId="134" xfId="0" applyNumberFormat="1" applyFont="1" applyFill="1" applyBorder="1" applyAlignment="1">
      <alignment horizontal="left" vertical="center" wrapText="1"/>
    </xf>
    <xf numFmtId="49" fontId="9" fillId="35" borderId="135" xfId="0" applyNumberFormat="1" applyFont="1" applyFill="1" applyBorder="1" applyAlignment="1">
      <alignment horizontal="left" vertical="center" wrapText="1"/>
    </xf>
    <xf numFmtId="49" fontId="9" fillId="35" borderId="136" xfId="0" applyNumberFormat="1" applyFont="1" applyFill="1" applyBorder="1" applyAlignment="1">
      <alignment horizontal="left" vertical="center" wrapText="1"/>
    </xf>
    <xf numFmtId="49" fontId="9" fillId="35" borderId="137" xfId="0" applyNumberFormat="1" applyFont="1" applyFill="1" applyBorder="1" applyAlignment="1">
      <alignment horizontal="left" vertical="center" wrapText="1"/>
    </xf>
    <xf numFmtId="49" fontId="9" fillId="35" borderId="119" xfId="0" applyNumberFormat="1" applyFont="1" applyFill="1" applyBorder="1" applyAlignment="1">
      <alignment horizontal="left" vertical="center" wrapText="1"/>
    </xf>
    <xf numFmtId="49" fontId="9" fillId="35" borderId="138" xfId="0" applyNumberFormat="1" applyFont="1" applyFill="1" applyBorder="1" applyAlignment="1">
      <alignment horizontal="left" vertical="center" wrapText="1"/>
    </xf>
    <xf numFmtId="167" fontId="58" fillId="0" borderId="50" xfId="0" applyNumberFormat="1" applyFont="1" applyBorder="1" applyAlignment="1">
      <alignment horizontal="center" vertical="center"/>
    </xf>
    <xf numFmtId="0" fontId="9" fillId="30" borderId="134" xfId="0" applyFont="1" applyFill="1" applyBorder="1" applyAlignment="1">
      <alignment horizontal="left" vertical="center" wrapText="1"/>
    </xf>
    <xf numFmtId="0" fontId="9" fillId="30" borderId="135" xfId="0" applyFont="1" applyFill="1" applyBorder="1" applyAlignment="1">
      <alignment horizontal="left" vertical="center" wrapText="1"/>
    </xf>
    <xf numFmtId="0" fontId="9" fillId="30" borderId="136" xfId="0" applyFont="1" applyFill="1" applyBorder="1" applyAlignment="1">
      <alignment horizontal="left" vertical="center" wrapText="1"/>
    </xf>
    <xf numFmtId="0" fontId="9" fillId="30" borderId="137" xfId="0" applyFont="1" applyFill="1" applyBorder="1" applyAlignment="1">
      <alignment horizontal="left" vertical="center" wrapText="1"/>
    </xf>
    <xf numFmtId="0" fontId="9" fillId="30" borderId="119" xfId="0" applyFont="1" applyFill="1" applyBorder="1" applyAlignment="1">
      <alignment horizontal="left" vertical="center" wrapText="1"/>
    </xf>
    <xf numFmtId="0" fontId="9" fillId="30" borderId="138" xfId="0" applyFont="1" applyFill="1" applyBorder="1" applyAlignment="1">
      <alignment horizontal="left" vertical="center" wrapText="1"/>
    </xf>
    <xf numFmtId="49" fontId="9" fillId="34" borderId="134" xfId="0" applyNumberFormat="1" applyFont="1" applyFill="1" applyBorder="1" applyAlignment="1">
      <alignment horizontal="left" vertical="center" wrapText="1"/>
    </xf>
    <xf numFmtId="49" fontId="9" fillId="34" borderId="135" xfId="0" applyNumberFormat="1" applyFont="1" applyFill="1" applyBorder="1" applyAlignment="1">
      <alignment horizontal="left" vertical="center" wrapText="1"/>
    </xf>
    <xf numFmtId="49" fontId="9" fillId="34" borderId="136" xfId="0" applyNumberFormat="1" applyFont="1" applyFill="1" applyBorder="1" applyAlignment="1">
      <alignment horizontal="left" vertical="center" wrapText="1"/>
    </xf>
    <xf numFmtId="49" fontId="9" fillId="34" borderId="137" xfId="0" applyNumberFormat="1" applyFont="1" applyFill="1" applyBorder="1" applyAlignment="1">
      <alignment horizontal="left" vertical="center" wrapText="1"/>
    </xf>
    <xf numFmtId="49" fontId="9" fillId="34" borderId="119" xfId="0" applyNumberFormat="1" applyFont="1" applyFill="1" applyBorder="1" applyAlignment="1">
      <alignment horizontal="left" vertical="center" wrapText="1"/>
    </xf>
    <xf numFmtId="49" fontId="9" fillId="34" borderId="138" xfId="0" applyNumberFormat="1" applyFont="1" applyFill="1" applyBorder="1" applyAlignment="1">
      <alignment horizontal="left" vertical="center" wrapText="1"/>
    </xf>
    <xf numFmtId="0" fontId="9" fillId="35" borderId="134" xfId="0" applyFont="1" applyFill="1" applyBorder="1" applyAlignment="1">
      <alignment horizontal="left" vertical="center" wrapText="1"/>
    </xf>
    <xf numFmtId="0" fontId="9" fillId="35" borderId="135" xfId="0" applyFont="1" applyFill="1" applyBorder="1" applyAlignment="1">
      <alignment horizontal="left" vertical="center" wrapText="1"/>
    </xf>
    <xf numFmtId="0" fontId="9" fillId="35" borderId="136" xfId="0" applyFont="1" applyFill="1" applyBorder="1" applyAlignment="1">
      <alignment horizontal="left" vertical="center" wrapText="1"/>
    </xf>
    <xf numFmtId="0" fontId="9" fillId="35" borderId="137" xfId="0" applyFont="1" applyFill="1" applyBorder="1" applyAlignment="1">
      <alignment horizontal="left" vertical="center" wrapText="1"/>
    </xf>
    <xf numFmtId="0" fontId="9" fillId="35" borderId="119" xfId="0" applyFont="1" applyFill="1" applyBorder="1" applyAlignment="1">
      <alignment horizontal="left" vertical="center" wrapText="1"/>
    </xf>
    <xf numFmtId="0" fontId="9" fillId="35" borderId="138" xfId="0" applyFont="1" applyFill="1" applyBorder="1" applyAlignment="1">
      <alignment horizontal="left" vertical="center" wrapText="1"/>
    </xf>
    <xf numFmtId="0" fontId="9" fillId="0" borderId="130" xfId="0" applyFont="1" applyBorder="1" applyAlignment="1">
      <alignment horizontal="left" vertical="center" wrapText="1"/>
    </xf>
    <xf numFmtId="0" fontId="9" fillId="0" borderId="131" xfId="0" applyFont="1" applyBorder="1" applyAlignment="1">
      <alignment horizontal="center" vertical="center" wrapText="1"/>
    </xf>
    <xf numFmtId="0" fontId="9" fillId="0" borderId="132" xfId="0" applyFont="1" applyBorder="1" applyAlignment="1">
      <alignment horizontal="center" vertical="center" wrapText="1"/>
    </xf>
    <xf numFmtId="0" fontId="9" fillId="0" borderId="133" xfId="0" applyFont="1" applyBorder="1" applyAlignment="1">
      <alignment horizontal="left" vertical="center" wrapText="1"/>
    </xf>
    <xf numFmtId="0" fontId="9" fillId="26" borderId="130" xfId="0" applyFont="1" applyFill="1" applyBorder="1" applyAlignment="1">
      <alignment horizontal="left" vertical="center" wrapText="1"/>
    </xf>
    <xf numFmtId="0" fontId="9" fillId="26" borderId="131" xfId="0" applyFont="1" applyFill="1" applyBorder="1" applyAlignment="1">
      <alignment horizontal="center" vertical="center" wrapText="1"/>
    </xf>
    <xf numFmtId="0" fontId="9" fillId="26" borderId="132" xfId="0" applyFont="1" applyFill="1" applyBorder="1" applyAlignment="1">
      <alignment horizontal="center" vertical="center" wrapText="1"/>
    </xf>
    <xf numFmtId="3" fontId="50" fillId="13" borderId="111" xfId="0" applyNumberFormat="1" applyFont="1" applyFill="1" applyBorder="1" applyAlignment="1">
      <alignment horizontal="center" vertical="center" wrapText="1"/>
    </xf>
    <xf numFmtId="3" fontId="50" fillId="13" borderId="93" xfId="0" applyNumberFormat="1" applyFont="1" applyFill="1" applyBorder="1" applyAlignment="1">
      <alignment horizontal="center" vertical="center" wrapText="1"/>
    </xf>
    <xf numFmtId="2" fontId="50" fillId="0" borderId="111" xfId="0" applyNumberFormat="1" applyFont="1" applyBorder="1" applyAlignment="1">
      <alignment horizontal="center" vertical="center" wrapText="1"/>
    </xf>
    <xf numFmtId="2" fontId="50" fillId="0" borderId="93" xfId="0" applyNumberFormat="1" applyFont="1" applyBorder="1" applyAlignment="1">
      <alignment horizontal="center" vertical="center" wrapText="1"/>
    </xf>
    <xf numFmtId="0" fontId="50" fillId="13" borderId="111" xfId="0" applyFont="1" applyFill="1" applyBorder="1" applyAlignment="1">
      <alignment horizontal="center" vertical="center" wrapText="1"/>
    </xf>
    <xf numFmtId="0" fontId="50" fillId="13" borderId="93" xfId="0" applyFont="1" applyFill="1" applyBorder="1" applyAlignment="1">
      <alignment horizontal="center" vertical="center" wrapText="1"/>
    </xf>
    <xf numFmtId="0" fontId="50" fillId="13" borderId="111" xfId="0" applyFont="1" applyFill="1" applyBorder="1" applyAlignment="1">
      <alignment horizontal="center" vertical="center"/>
    </xf>
    <xf numFmtId="0" fontId="50" fillId="13" borderId="173" xfId="0" applyFont="1" applyFill="1" applyBorder="1" applyAlignment="1">
      <alignment horizontal="center" vertical="center"/>
    </xf>
    <xf numFmtId="0" fontId="50" fillId="13" borderId="93" xfId="0" applyFont="1" applyFill="1" applyBorder="1" applyAlignment="1">
      <alignment horizontal="center" vertical="center"/>
    </xf>
    <xf numFmtId="167" fontId="0" fillId="0" borderId="120" xfId="0" applyNumberFormat="1" applyBorder="1" applyAlignment="1" applyProtection="1">
      <alignment horizontal="left" vertical="center"/>
      <protection locked="0"/>
    </xf>
    <xf numFmtId="167" fontId="0" fillId="0" borderId="121" xfId="0" applyNumberFormat="1" applyBorder="1" applyAlignment="1" applyProtection="1">
      <alignment horizontal="left" vertical="center"/>
      <protection locked="0"/>
    </xf>
    <xf numFmtId="179" fontId="50" fillId="0" borderId="122" xfId="0" applyNumberFormat="1" applyFont="1" applyBorder="1" applyAlignment="1">
      <alignment horizontal="center" vertical="center"/>
    </xf>
    <xf numFmtId="179" fontId="50" fillId="0" borderId="123" xfId="0" applyNumberFormat="1" applyFont="1" applyBorder="1" applyAlignment="1">
      <alignment horizontal="center" vertical="center"/>
    </xf>
    <xf numFmtId="179" fontId="50" fillId="0" borderId="124" xfId="0" applyNumberFormat="1" applyFont="1" applyBorder="1" applyAlignment="1">
      <alignment horizontal="center" vertical="center"/>
    </xf>
    <xf numFmtId="2" fontId="50" fillId="0" borderId="111" xfId="0" applyNumberFormat="1" applyFont="1" applyBorder="1" applyAlignment="1">
      <alignment horizontal="center" vertical="center"/>
    </xf>
    <xf numFmtId="2" fontId="50" fillId="0" borderId="173" xfId="0" applyNumberFormat="1" applyFont="1" applyBorder="1" applyAlignment="1">
      <alignment horizontal="center" vertical="center"/>
    </xf>
    <xf numFmtId="2" fontId="50" fillId="0" borderId="93" xfId="0" applyNumberFormat="1" applyFont="1" applyBorder="1" applyAlignment="1">
      <alignment horizontal="center" vertical="center"/>
    </xf>
    <xf numFmtId="3" fontId="50" fillId="13" borderId="125" xfId="0" applyNumberFormat="1" applyFont="1" applyFill="1" applyBorder="1" applyAlignment="1">
      <alignment horizontal="center" vertical="center"/>
    </xf>
    <xf numFmtId="3" fontId="50" fillId="13" borderId="126" xfId="0" applyNumberFormat="1" applyFont="1" applyFill="1" applyBorder="1" applyAlignment="1">
      <alignment horizontal="center" vertical="center"/>
    </xf>
    <xf numFmtId="3" fontId="50" fillId="13" borderId="127" xfId="0" applyNumberFormat="1" applyFont="1" applyFill="1" applyBorder="1" applyAlignment="1">
      <alignment horizontal="center" vertical="center"/>
    </xf>
    <xf numFmtId="179" fontId="50" fillId="0" borderId="128" xfId="0" applyNumberFormat="1" applyFont="1" applyBorder="1" applyAlignment="1">
      <alignment horizontal="center" vertical="center"/>
    </xf>
    <xf numFmtId="179" fontId="50" fillId="0" borderId="129" xfId="0" applyNumberFormat="1" applyFont="1" applyBorder="1" applyAlignment="1">
      <alignment horizontal="center" vertical="center"/>
    </xf>
    <xf numFmtId="3" fontId="50" fillId="13" borderId="143" xfId="0" applyNumberFormat="1" applyFont="1" applyFill="1" applyBorder="1" applyAlignment="1">
      <alignment horizontal="center" vertical="center"/>
    </xf>
    <xf numFmtId="3" fontId="50" fillId="13" borderId="108" xfId="0" applyNumberFormat="1" applyFont="1" applyFill="1" applyBorder="1" applyAlignment="1">
      <alignment horizontal="center" vertical="center"/>
    </xf>
    <xf numFmtId="3" fontId="50" fillId="13" borderId="144" xfId="0" applyNumberFormat="1" applyFont="1" applyFill="1" applyBorder="1" applyAlignment="1">
      <alignment horizontal="center" vertical="center"/>
    </xf>
    <xf numFmtId="2" fontId="50" fillId="0" borderId="117" xfId="0" applyNumberFormat="1" applyFont="1" applyBorder="1" applyAlignment="1">
      <alignment horizontal="center" vertical="center"/>
    </xf>
    <xf numFmtId="2" fontId="50" fillId="0" borderId="145" xfId="0" applyNumberFormat="1" applyFont="1" applyBorder="1" applyAlignment="1">
      <alignment horizontal="center" vertical="center"/>
    </xf>
    <xf numFmtId="2" fontId="50" fillId="0" borderId="58" xfId="0" applyNumberFormat="1" applyFont="1" applyBorder="1" applyAlignment="1">
      <alignment horizontal="center" vertical="center"/>
    </xf>
    <xf numFmtId="0" fontId="50" fillId="13" borderId="117" xfId="0" applyFont="1" applyFill="1" applyBorder="1" applyAlignment="1">
      <alignment horizontal="center" vertical="center"/>
    </xf>
    <xf numFmtId="0" fontId="50" fillId="13" borderId="145" xfId="0" applyFont="1" applyFill="1" applyBorder="1" applyAlignment="1">
      <alignment horizontal="center" vertical="center"/>
    </xf>
    <xf numFmtId="0" fontId="50" fillId="13" borderId="146" xfId="0" applyFont="1" applyFill="1" applyBorder="1" applyAlignment="1">
      <alignment horizontal="center" vertical="center"/>
    </xf>
    <xf numFmtId="179" fontId="50" fillId="0" borderId="147" xfId="0" applyNumberFormat="1" applyFont="1" applyBorder="1" applyAlignment="1">
      <alignment horizontal="center" vertical="center"/>
    </xf>
    <xf numFmtId="179" fontId="50" fillId="0" borderId="148" xfId="0" applyNumberFormat="1" applyFont="1" applyBorder="1" applyAlignment="1">
      <alignment horizontal="center" vertical="center"/>
    </xf>
    <xf numFmtId="179" fontId="50" fillId="0" borderId="149" xfId="0" applyNumberFormat="1" applyFont="1" applyBorder="1" applyAlignment="1">
      <alignment horizontal="center" vertical="center"/>
    </xf>
    <xf numFmtId="0" fontId="109" fillId="12" borderId="47" xfId="0" applyFont="1" applyFill="1" applyBorder="1" applyAlignment="1" applyProtection="1">
      <alignment horizontal="left" vertical="center" wrapText="1"/>
      <protection locked="0"/>
    </xf>
    <xf numFmtId="0" fontId="113" fillId="12" borderId="47" xfId="0" quotePrefix="1" applyFont="1" applyFill="1" applyBorder="1" applyAlignment="1" applyProtection="1">
      <alignment horizontal="left" vertical="center" wrapText="1"/>
      <protection locked="0"/>
    </xf>
    <xf numFmtId="0" fontId="113" fillId="12" borderId="47" xfId="0" applyFont="1" applyFill="1" applyBorder="1" applyAlignment="1" applyProtection="1">
      <alignment horizontal="left" vertical="center" wrapText="1"/>
      <protection locked="0"/>
    </xf>
    <xf numFmtId="0" fontId="113" fillId="12" borderId="10" xfId="0" quotePrefix="1" applyFont="1" applyFill="1" applyBorder="1" applyAlignment="1" applyProtection="1">
      <alignment horizontal="left" vertical="center" wrapText="1"/>
      <protection locked="0"/>
    </xf>
    <xf numFmtId="0" fontId="113" fillId="12" borderId="10" xfId="0" applyFont="1" applyFill="1" applyBorder="1" applyAlignment="1" applyProtection="1">
      <alignment horizontal="left" vertical="center" wrapText="1"/>
      <protection locked="0"/>
    </xf>
    <xf numFmtId="0" fontId="108" fillId="12" borderId="11" xfId="0" quotePrefix="1" applyFont="1" applyFill="1" applyBorder="1" applyAlignment="1" applyProtection="1">
      <alignment horizontal="justify" vertical="center" wrapText="1"/>
      <protection locked="0"/>
    </xf>
    <xf numFmtId="0" fontId="108" fillId="12" borderId="0" xfId="0" quotePrefix="1" applyFont="1" applyFill="1" applyAlignment="1" applyProtection="1">
      <alignment horizontal="justify" vertical="center" wrapText="1"/>
      <protection locked="0"/>
    </xf>
    <xf numFmtId="0" fontId="74" fillId="0" borderId="155" xfId="0" applyFont="1" applyBorder="1" applyAlignment="1">
      <alignment horizontal="left" wrapText="1"/>
    </xf>
    <xf numFmtId="0" fontId="74" fillId="0" borderId="156" xfId="0" applyFont="1" applyBorder="1" applyAlignment="1">
      <alignment horizontal="left" wrapText="1"/>
    </xf>
    <xf numFmtId="167" fontId="73" fillId="0" borderId="157" xfId="0" applyNumberFormat="1" applyFont="1" applyBorder="1" applyAlignment="1">
      <alignment horizontal="center" vertical="center" wrapText="1"/>
    </xf>
    <xf numFmtId="167" fontId="73" fillId="0" borderId="158" xfId="0" applyNumberFormat="1" applyFont="1" applyBorder="1" applyAlignment="1">
      <alignment horizontal="center" vertical="center" wrapText="1"/>
    </xf>
    <xf numFmtId="167" fontId="73" fillId="0" borderId="159" xfId="0" applyNumberFormat="1" applyFont="1" applyBorder="1" applyAlignment="1">
      <alignment horizontal="center" vertical="center" wrapText="1"/>
    </xf>
    <xf numFmtId="0" fontId="0" fillId="0" borderId="160" xfId="0" applyBorder="1" applyAlignment="1">
      <alignment horizontal="center"/>
    </xf>
    <xf numFmtId="0" fontId="0" fillId="0" borderId="161" xfId="0" applyBorder="1" applyAlignment="1">
      <alignment horizontal="center"/>
    </xf>
    <xf numFmtId="0" fontId="74" fillId="0" borderId="162" xfId="0" applyFont="1" applyBorder="1" applyAlignment="1">
      <alignment horizontal="left" wrapText="1"/>
    </xf>
    <xf numFmtId="0" fontId="74" fillId="0" borderId="163" xfId="0" applyFont="1" applyBorder="1" applyAlignment="1">
      <alignment horizontal="left" wrapText="1"/>
    </xf>
    <xf numFmtId="167" fontId="36" fillId="0" borderId="0" xfId="0" applyNumberFormat="1" applyFont="1" applyAlignment="1">
      <alignment horizontal="left"/>
    </xf>
    <xf numFmtId="167" fontId="14" fillId="0" borderId="0" xfId="0" applyNumberFormat="1" applyFont="1" applyAlignment="1">
      <alignment horizontal="center"/>
    </xf>
    <xf numFmtId="167" fontId="36" fillId="0" borderId="0" xfId="0" applyNumberFormat="1" applyFont="1" applyAlignment="1">
      <alignment horizontal="right"/>
    </xf>
    <xf numFmtId="0" fontId="68" fillId="0" borderId="0" xfId="0" applyFont="1" applyAlignment="1">
      <alignment horizontal="center"/>
    </xf>
    <xf numFmtId="167" fontId="2" fillId="33" borderId="0" xfId="95" applyNumberFormat="1" applyFont="1" applyFill="1" applyBorder="1" applyAlignment="1">
      <alignment horizontal="center"/>
    </xf>
    <xf numFmtId="167" fontId="14" fillId="0" borderId="0" xfId="0" applyNumberFormat="1" applyFont="1" applyAlignment="1">
      <alignment horizontal="center" wrapText="1"/>
    </xf>
    <xf numFmtId="0" fontId="71" fillId="12" borderId="7" xfId="0" applyFont="1" applyFill="1" applyBorder="1" applyAlignment="1" applyProtection="1">
      <alignment horizontal="left" vertical="center" wrapText="1"/>
      <protection locked="0"/>
    </xf>
    <xf numFmtId="0" fontId="71" fillId="12" borderId="8" xfId="0" applyFont="1" applyFill="1" applyBorder="1" applyAlignment="1" applyProtection="1">
      <alignment horizontal="left" vertical="center" wrapText="1"/>
      <protection locked="0"/>
    </xf>
    <xf numFmtId="0" fontId="71" fillId="12" borderId="9" xfId="0" applyFont="1" applyFill="1" applyBorder="1" applyAlignment="1" applyProtection="1">
      <alignment horizontal="left" vertical="center" wrapText="1"/>
      <protection locked="0"/>
    </xf>
    <xf numFmtId="0" fontId="75" fillId="0" borderId="0" xfId="0" applyFont="1" applyAlignment="1">
      <alignment horizontal="center" wrapText="1"/>
    </xf>
    <xf numFmtId="167" fontId="37" fillId="25" borderId="0" xfId="71" applyFont="1" applyFill="1" applyAlignment="1">
      <alignment horizontal="center" vertical="center"/>
    </xf>
    <xf numFmtId="179" fontId="0" fillId="2" borderId="97" xfId="0" applyNumberFormat="1" applyFill="1" applyBorder="1" applyAlignment="1">
      <alignment horizontal="center" vertical="center"/>
    </xf>
    <xf numFmtId="179" fontId="0" fillId="2" borderId="145" xfId="0" applyNumberFormat="1" applyFill="1" applyBorder="1" applyAlignment="1">
      <alignment horizontal="center" vertical="center"/>
    </xf>
    <xf numFmtId="179" fontId="0" fillId="2" borderId="58" xfId="0" applyNumberFormat="1" applyFill="1" applyBorder="1" applyAlignment="1">
      <alignment horizontal="center" vertical="center"/>
    </xf>
    <xf numFmtId="0" fontId="70" fillId="12" borderId="10" xfId="0" applyFont="1" applyFill="1" applyBorder="1" applyAlignment="1" applyProtection="1">
      <alignment horizontal="left" wrapText="1"/>
      <protection locked="0"/>
    </xf>
    <xf numFmtId="0" fontId="70" fillId="12" borderId="47" xfId="0" applyFont="1" applyFill="1" applyBorder="1" applyAlignment="1" applyProtection="1">
      <alignment horizontal="left" wrapText="1"/>
      <protection locked="0"/>
    </xf>
    <xf numFmtId="0" fontId="14" fillId="0" borderId="0" xfId="0" applyFont="1" applyAlignment="1">
      <alignment horizontal="center"/>
    </xf>
    <xf numFmtId="179" fontId="2" fillId="32" borderId="147" xfId="0" applyNumberFormat="1" applyFont="1" applyFill="1" applyBorder="1" applyAlignment="1">
      <alignment horizontal="center" vertical="center"/>
    </xf>
    <xf numFmtId="179" fontId="2" fillId="32" borderId="148" xfId="0" applyNumberFormat="1" applyFont="1" applyFill="1" applyBorder="1" applyAlignment="1">
      <alignment horizontal="center" vertical="center"/>
    </xf>
    <xf numFmtId="179" fontId="2" fillId="32" borderId="164" xfId="0" applyNumberFormat="1" applyFont="1" applyFill="1" applyBorder="1" applyAlignment="1">
      <alignment horizontal="center" vertical="center"/>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6" xfId="0" applyBorder="1" applyAlignment="1">
      <alignment wrapText="1"/>
    </xf>
    <xf numFmtId="0" fontId="0" fillId="0" borderId="167" xfId="0" applyBorder="1" applyAlignment="1">
      <alignment wrapText="1"/>
    </xf>
    <xf numFmtId="179" fontId="0" fillId="0" borderId="97" xfId="0" applyNumberFormat="1" applyBorder="1" applyAlignment="1">
      <alignment horizontal="center" vertical="center"/>
    </xf>
    <xf numFmtId="179" fontId="0" fillId="0" borderId="145" xfId="0" applyNumberFormat="1" applyBorder="1" applyAlignment="1">
      <alignment horizontal="center" vertical="center"/>
    </xf>
    <xf numFmtId="179" fontId="0" fillId="0" borderId="58" xfId="0" applyNumberFormat="1" applyBorder="1" applyAlignment="1">
      <alignment horizontal="center" vertical="center"/>
    </xf>
    <xf numFmtId="179" fontId="0" fillId="0" borderId="117" xfId="0" applyNumberFormat="1" applyBorder="1" applyAlignment="1">
      <alignment horizontal="center" vertical="center"/>
    </xf>
    <xf numFmtId="179" fontId="2" fillId="32" borderId="168" xfId="0" applyNumberFormat="1" applyFont="1" applyFill="1" applyBorder="1" applyAlignment="1">
      <alignment horizontal="center" vertical="center"/>
    </xf>
    <xf numFmtId="179" fontId="2" fillId="32" borderId="149" xfId="0" applyNumberFormat="1" applyFont="1" applyFill="1" applyBorder="1" applyAlignment="1">
      <alignment horizontal="center" vertical="center"/>
    </xf>
    <xf numFmtId="179" fontId="0" fillId="2" borderId="117" xfId="0" applyNumberFormat="1" applyFill="1" applyBorder="1" applyAlignment="1">
      <alignment horizontal="center" vertical="center"/>
    </xf>
    <xf numFmtId="179" fontId="0" fillId="2" borderId="169" xfId="0" applyNumberFormat="1" applyFill="1" applyBorder="1" applyAlignment="1">
      <alignment horizontal="center" vertical="center"/>
    </xf>
    <xf numFmtId="179" fontId="0" fillId="0" borderId="169" xfId="0" applyNumberFormat="1" applyBorder="1" applyAlignment="1">
      <alignment horizontal="center" vertical="center"/>
    </xf>
    <xf numFmtId="0" fontId="108" fillId="0" borderId="111" xfId="0" applyFont="1" applyBorder="1" applyAlignment="1">
      <alignment horizontal="center" vertical="center" wrapText="1"/>
    </xf>
    <xf numFmtId="0" fontId="108" fillId="0" borderId="173" xfId="0" applyFont="1" applyBorder="1" applyAlignment="1">
      <alignment horizontal="center" vertical="center" wrapText="1"/>
    </xf>
    <xf numFmtId="0" fontId="108" fillId="0" borderId="93" xfId="0" applyFont="1" applyBorder="1" applyAlignment="1">
      <alignment horizontal="center" vertical="center" wrapText="1"/>
    </xf>
    <xf numFmtId="167" fontId="2" fillId="33" borderId="0" xfId="96" applyNumberFormat="1" applyFont="1" applyFill="1" applyBorder="1" applyAlignment="1">
      <alignment horizontal="center"/>
    </xf>
    <xf numFmtId="167" fontId="68" fillId="0" borderId="0" xfId="0" applyNumberFormat="1" applyFont="1" applyAlignment="1">
      <alignment horizontal="center"/>
    </xf>
    <xf numFmtId="0" fontId="70" fillId="12" borderId="7" xfId="0" applyFont="1" applyFill="1" applyBorder="1" applyAlignment="1" applyProtection="1">
      <alignment horizontal="left" vertical="center" wrapText="1"/>
      <protection locked="0"/>
    </xf>
    <xf numFmtId="0" fontId="70" fillId="12" borderId="8" xfId="0" applyFont="1" applyFill="1" applyBorder="1" applyAlignment="1" applyProtection="1">
      <alignment horizontal="left" vertical="center" wrapText="1"/>
      <protection locked="0"/>
    </xf>
    <xf numFmtId="0" fontId="70" fillId="12" borderId="9" xfId="0" applyFont="1" applyFill="1" applyBorder="1" applyAlignment="1" applyProtection="1">
      <alignment horizontal="left" vertical="center" wrapText="1"/>
      <protection locked="0"/>
    </xf>
    <xf numFmtId="0" fontId="70" fillId="0" borderId="7" xfId="0" applyFont="1" applyBorder="1" applyAlignment="1">
      <alignment horizontal="center" vertical="center"/>
    </xf>
    <xf numFmtId="0" fontId="70" fillId="0" borderId="8" xfId="0" applyFont="1" applyBorder="1" applyAlignment="1">
      <alignment horizontal="center" vertical="center"/>
    </xf>
    <xf numFmtId="0" fontId="70" fillId="0" borderId="118" xfId="0" applyFont="1" applyBorder="1" applyAlignment="1">
      <alignment horizontal="left" vertical="center"/>
    </xf>
    <xf numFmtId="0" fontId="70" fillId="0" borderId="7" xfId="0" applyFont="1" applyBorder="1" applyAlignment="1">
      <alignment vertical="center" wrapText="1"/>
    </xf>
    <xf numFmtId="0" fontId="70" fillId="0" borderId="8" xfId="0" applyFont="1" applyBorder="1" applyAlignment="1">
      <alignment vertical="center" wrapText="1"/>
    </xf>
    <xf numFmtId="0" fontId="70" fillId="0" borderId="9" xfId="0" applyFont="1" applyBorder="1" applyAlignment="1">
      <alignment vertical="center" wrapText="1"/>
    </xf>
    <xf numFmtId="9" fontId="51" fillId="0" borderId="7" xfId="80" applyFont="1" applyBorder="1" applyAlignment="1">
      <alignment horizontal="center" vertical="center" wrapText="1"/>
    </xf>
    <xf numFmtId="9" fontId="51" fillId="0" borderId="8" xfId="80" applyFont="1" applyBorder="1" applyAlignment="1">
      <alignment horizontal="center" vertical="center" wrapText="1"/>
    </xf>
    <xf numFmtId="9" fontId="51" fillId="0" borderId="9" xfId="80" applyFont="1" applyBorder="1" applyAlignment="1">
      <alignment horizontal="center" vertical="center" wrapText="1"/>
    </xf>
    <xf numFmtId="9" fontId="71" fillId="30" borderId="170" xfId="80" applyFont="1" applyFill="1" applyBorder="1" applyAlignment="1" applyProtection="1">
      <alignment horizontal="left" vertical="top" wrapText="1"/>
      <protection locked="0"/>
    </xf>
    <xf numFmtId="9" fontId="71" fillId="30" borderId="171" xfId="80" applyFont="1" applyFill="1" applyBorder="1" applyAlignment="1" applyProtection="1">
      <alignment horizontal="left" vertical="top" wrapText="1"/>
      <protection locked="0"/>
    </xf>
    <xf numFmtId="9" fontId="71" fillId="30" borderId="172" xfId="80" applyFont="1" applyFill="1" applyBorder="1" applyAlignment="1" applyProtection="1">
      <alignment horizontal="left" vertical="top" wrapText="1"/>
      <protection locked="0"/>
    </xf>
    <xf numFmtId="0" fontId="20" fillId="0" borderId="55" xfId="0" applyFont="1" applyBorder="1" applyAlignment="1">
      <alignment horizontal="center"/>
    </xf>
    <xf numFmtId="0" fontId="70" fillId="0" borderId="7"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9" xfId="0" applyFont="1" applyBorder="1" applyAlignment="1">
      <alignment horizontal="center" vertical="center" wrapText="1"/>
    </xf>
    <xf numFmtId="9" fontId="115" fillId="37" borderId="7" xfId="80" applyFont="1" applyFill="1" applyBorder="1" applyAlignment="1">
      <alignment horizontal="center" vertical="center" wrapText="1"/>
    </xf>
    <xf numFmtId="9" fontId="115" fillId="37" borderId="9" xfId="80" applyFont="1" applyFill="1" applyBorder="1" applyAlignment="1">
      <alignment horizontal="center" vertical="center" wrapText="1"/>
    </xf>
    <xf numFmtId="9" fontId="69" fillId="38" borderId="7" xfId="80" applyFont="1" applyFill="1" applyBorder="1" applyAlignment="1">
      <alignment horizontal="center" vertical="center" wrapText="1"/>
    </xf>
    <xf numFmtId="9" fontId="69" fillId="38" borderId="9" xfId="80" applyFont="1" applyFill="1" applyBorder="1" applyAlignment="1">
      <alignment horizontal="center" vertical="center" wrapText="1"/>
    </xf>
    <xf numFmtId="9" fontId="71" fillId="30" borderId="170" xfId="80" applyFont="1" applyFill="1" applyBorder="1" applyAlignment="1" applyProtection="1">
      <alignment horizontal="left" vertical="center" wrapText="1"/>
      <protection locked="0"/>
    </xf>
    <xf numFmtId="9" fontId="71" fillId="30" borderId="171" xfId="80" applyFont="1" applyFill="1" applyBorder="1" applyAlignment="1" applyProtection="1">
      <alignment horizontal="left" vertical="center" wrapText="1"/>
      <protection locked="0"/>
    </xf>
    <xf numFmtId="9" fontId="71" fillId="30" borderId="172" xfId="80" applyFont="1" applyFill="1" applyBorder="1" applyAlignment="1" applyProtection="1">
      <alignment horizontal="left" vertical="center" wrapText="1"/>
      <protection locked="0"/>
    </xf>
    <xf numFmtId="0" fontId="114" fillId="0" borderId="0" xfId="0" applyFont="1" applyAlignment="1">
      <alignment horizontal="left" vertical="center" wrapText="1"/>
    </xf>
    <xf numFmtId="189" fontId="36" fillId="0" borderId="7" xfId="80" applyNumberFormat="1" applyFont="1" applyBorder="1" applyAlignment="1">
      <alignment horizontal="center" vertical="center" wrapText="1"/>
    </xf>
    <xf numFmtId="189" fontId="36" fillId="0" borderId="8" xfId="80" applyNumberFormat="1" applyFont="1" applyBorder="1" applyAlignment="1">
      <alignment horizontal="center" vertical="center" wrapText="1"/>
    </xf>
    <xf numFmtId="189" fontId="36" fillId="0" borderId="9" xfId="80" applyNumberFormat="1" applyFont="1" applyBorder="1" applyAlignment="1">
      <alignment horizontal="center" vertical="center" wrapText="1"/>
    </xf>
    <xf numFmtId="9" fontId="70" fillId="30" borderId="91" xfId="80" applyFont="1" applyFill="1" applyBorder="1" applyAlignment="1" applyProtection="1">
      <alignment horizontal="left" vertical="center" wrapText="1"/>
      <protection locked="0"/>
    </xf>
    <xf numFmtId="9" fontId="70" fillId="30" borderId="170" xfId="80" applyFont="1" applyFill="1" applyBorder="1" applyAlignment="1" applyProtection="1">
      <alignment horizontal="left" vertical="center" wrapText="1"/>
      <protection locked="0"/>
    </xf>
    <xf numFmtId="172" fontId="68" fillId="0" borderId="0" xfId="0" applyNumberFormat="1" applyFont="1" applyAlignment="1">
      <alignment horizontal="center"/>
    </xf>
    <xf numFmtId="172" fontId="79" fillId="10" borderId="86" xfId="0" applyNumberFormat="1" applyFont="1" applyFill="1" applyBorder="1" applyAlignment="1">
      <alignment horizontal="center" vertical="center"/>
    </xf>
    <xf numFmtId="172" fontId="81" fillId="0" borderId="0" xfId="0" applyNumberFormat="1" applyFont="1" applyAlignment="1">
      <alignment horizontal="center"/>
    </xf>
    <xf numFmtId="172" fontId="82" fillId="3" borderId="13" xfId="0" applyNumberFormat="1" applyFont="1" applyFill="1" applyBorder="1" applyAlignment="1">
      <alignment horizontal="center" vertical="center"/>
    </xf>
    <xf numFmtId="0" fontId="24" fillId="0" borderId="189" xfId="0" applyFont="1" applyBorder="1" applyAlignment="1">
      <alignment horizontal="left" vertical="top" wrapText="1"/>
    </xf>
    <xf numFmtId="49" fontId="9" fillId="3" borderId="190" xfId="0" applyNumberFormat="1" applyFont="1" applyFill="1" applyBorder="1" applyAlignment="1" applyProtection="1">
      <alignment horizontal="center" vertical="center"/>
      <protection locked="0"/>
    </xf>
    <xf numFmtId="0" fontId="24" fillId="0" borderId="191" xfId="0" applyFont="1" applyBorder="1" applyAlignment="1">
      <alignment horizontal="left" vertical="top" wrapText="1"/>
    </xf>
    <xf numFmtId="49" fontId="9" fillId="3" borderId="192" xfId="0" applyNumberFormat="1" applyFont="1" applyFill="1" applyBorder="1" applyAlignment="1" applyProtection="1">
      <alignment horizontal="center" vertical="center"/>
      <protection locked="0"/>
    </xf>
    <xf numFmtId="49" fontId="9" fillId="3" borderId="193" xfId="0" applyNumberFormat="1" applyFont="1" applyFill="1" applyBorder="1" applyAlignment="1" applyProtection="1">
      <alignment horizontal="center" vertical="center" wrapText="1"/>
      <protection locked="0"/>
    </xf>
    <xf numFmtId="49" fontId="9" fillId="3" borderId="193" xfId="0" applyNumberFormat="1" applyFont="1" applyFill="1" applyBorder="1" applyAlignment="1" applyProtection="1">
      <alignment horizontal="center" vertical="center"/>
      <protection locked="0"/>
    </xf>
    <xf numFmtId="0" fontId="24" fillId="0" borderId="184" xfId="0" applyFont="1" applyBorder="1" applyAlignment="1">
      <alignment horizontal="left" vertical="top" wrapText="1"/>
    </xf>
    <xf numFmtId="0" fontId="9" fillId="13" borderId="185" xfId="0" applyFont="1" applyFill="1" applyBorder="1" applyAlignment="1" applyProtection="1">
      <alignment horizontal="center" vertical="top" wrapText="1"/>
      <protection locked="0"/>
    </xf>
    <xf numFmtId="0" fontId="24" fillId="0" borderId="180" xfId="0" applyFont="1" applyBorder="1" applyAlignment="1">
      <alignment horizontal="left" vertical="top" wrapText="1"/>
    </xf>
    <xf numFmtId="0" fontId="9" fillId="13" borderId="181" xfId="0" applyFont="1" applyFill="1" applyBorder="1" applyAlignment="1" applyProtection="1">
      <alignment horizontal="center" vertical="top" wrapText="1"/>
      <protection locked="0"/>
    </xf>
    <xf numFmtId="172" fontId="81" fillId="0" borderId="186" xfId="0" applyNumberFormat="1" applyFont="1" applyBorder="1" applyAlignment="1">
      <alignment horizontal="center"/>
    </xf>
    <xf numFmtId="172" fontId="93" fillId="13" borderId="187" xfId="0" applyNumberFormat="1" applyFont="1" applyFill="1" applyBorder="1" applyAlignment="1">
      <alignment horizontal="center" vertical="center"/>
    </xf>
    <xf numFmtId="172" fontId="93" fillId="13" borderId="188" xfId="0" applyNumberFormat="1" applyFont="1" applyFill="1" applyBorder="1" applyAlignment="1">
      <alignment horizontal="center" vertical="center"/>
    </xf>
    <xf numFmtId="0" fontId="24" fillId="0" borderId="182" xfId="0" applyFont="1" applyBorder="1" applyAlignment="1">
      <alignment horizontal="left" vertical="top" wrapText="1"/>
    </xf>
    <xf numFmtId="0" fontId="9" fillId="13" borderId="183" xfId="0" applyFont="1" applyFill="1" applyBorder="1" applyAlignment="1" applyProtection="1">
      <alignment horizontal="center" vertical="top" wrapText="1"/>
      <protection locked="0"/>
    </xf>
    <xf numFmtId="0" fontId="24" fillId="0" borderId="177" xfId="0" applyFont="1" applyBorder="1" applyAlignment="1">
      <alignment horizontal="left" vertical="center" wrapText="1"/>
    </xf>
    <xf numFmtId="0" fontId="9" fillId="12" borderId="178" xfId="0" applyFont="1" applyFill="1" applyBorder="1" applyAlignment="1" applyProtection="1">
      <alignment horizontal="center" vertical="top" wrapText="1"/>
      <protection locked="0"/>
    </xf>
    <xf numFmtId="0" fontId="9" fillId="0" borderId="174" xfId="80" applyNumberFormat="1" applyFont="1" applyBorder="1" applyAlignment="1">
      <alignment horizontal="left" vertical="center" wrapText="1"/>
    </xf>
    <xf numFmtId="0" fontId="9" fillId="12" borderId="176" xfId="0" applyFont="1" applyFill="1" applyBorder="1" applyAlignment="1" applyProtection="1">
      <alignment horizontal="center" vertical="top" wrapText="1"/>
      <protection locked="0"/>
    </xf>
    <xf numFmtId="172" fontId="81" fillId="0" borderId="179" xfId="0" applyNumberFormat="1" applyFont="1" applyBorder="1" applyAlignment="1">
      <alignment horizontal="center"/>
    </xf>
    <xf numFmtId="172" fontId="82" fillId="12" borderId="130" xfId="0" applyNumberFormat="1" applyFont="1" applyFill="1" applyBorder="1" applyAlignment="1">
      <alignment horizontal="center" vertical="center"/>
    </xf>
    <xf numFmtId="9" fontId="9" fillId="0" borderId="174" xfId="80" applyFont="1" applyBorder="1" applyAlignment="1">
      <alignment horizontal="left" vertical="center" wrapText="1"/>
    </xf>
    <xf numFmtId="0" fontId="9" fillId="12" borderId="175" xfId="0" applyFont="1" applyFill="1" applyBorder="1" applyAlignment="1" applyProtection="1">
      <alignment horizontal="center" vertical="top" wrapText="1"/>
      <protection locked="0"/>
    </xf>
    <xf numFmtId="167" fontId="2" fillId="33" borderId="0" xfId="97" applyNumberFormat="1" applyFont="1" applyFill="1" applyBorder="1" applyAlignment="1" applyProtection="1">
      <alignment horizontal="center"/>
      <protection locked="0"/>
    </xf>
    <xf numFmtId="0" fontId="0" fillId="12" borderId="10" xfId="0" applyFill="1" applyBorder="1" applyAlignment="1" applyProtection="1">
      <alignment horizontal="center"/>
      <protection locked="0"/>
    </xf>
    <xf numFmtId="0" fontId="100" fillId="8" borderId="202" xfId="78" applyFont="1" applyFill="1" applyBorder="1" applyAlignment="1">
      <alignment horizontal="center" vertical="center" wrapText="1"/>
    </xf>
    <xf numFmtId="0" fontId="100" fillId="8" borderId="203" xfId="78" applyFont="1" applyFill="1" applyBorder="1" applyAlignment="1">
      <alignment horizontal="center" vertical="center" wrapText="1"/>
    </xf>
    <xf numFmtId="0" fontId="100" fillId="8" borderId="204" xfId="78" applyFont="1" applyFill="1" applyBorder="1" applyAlignment="1">
      <alignment horizontal="center" vertical="center" wrapText="1"/>
    </xf>
    <xf numFmtId="0" fontId="101" fillId="8" borderId="10" xfId="0" applyFont="1" applyFill="1" applyBorder="1" applyAlignment="1">
      <alignment horizontal="center" vertical="center" textRotation="90"/>
    </xf>
    <xf numFmtId="0" fontId="46" fillId="0" borderId="209" xfId="0" applyFont="1" applyBorder="1" applyAlignment="1" applyProtection="1">
      <alignment horizontal="left" vertical="center" wrapText="1"/>
      <protection locked="0"/>
    </xf>
    <xf numFmtId="0" fontId="46" fillId="0" borderId="211" xfId="0" applyFont="1" applyBorder="1" applyAlignment="1" applyProtection="1">
      <alignment horizontal="left" wrapText="1"/>
      <protection locked="0"/>
    </xf>
    <xf numFmtId="0" fontId="46" fillId="0" borderId="212" xfId="0" applyFont="1" applyBorder="1" applyAlignment="1" applyProtection="1">
      <alignment horizontal="left" wrapText="1"/>
      <protection locked="0"/>
    </xf>
    <xf numFmtId="0" fontId="46" fillId="0" borderId="199" xfId="0" applyFont="1" applyBorder="1" applyAlignment="1" applyProtection="1">
      <alignment horizontal="left" vertical="top" wrapText="1"/>
      <protection locked="0"/>
    </xf>
    <xf numFmtId="0" fontId="46" fillId="0" borderId="200" xfId="0" applyFont="1" applyBorder="1" applyAlignment="1" applyProtection="1">
      <alignment horizontal="left"/>
      <protection locked="0"/>
    </xf>
    <xf numFmtId="0" fontId="46" fillId="0" borderId="199" xfId="0" applyFont="1" applyBorder="1" applyAlignment="1" applyProtection="1">
      <alignment horizontal="left"/>
      <protection locked="0"/>
    </xf>
    <xf numFmtId="0" fontId="46" fillId="0" borderId="210" xfId="0" applyFont="1" applyBorder="1" applyAlignment="1" applyProtection="1">
      <alignment horizontal="left" wrapText="1"/>
      <protection locked="0"/>
    </xf>
    <xf numFmtId="0" fontId="46" fillId="0" borderId="199" xfId="0" applyFont="1" applyBorder="1" applyAlignment="1" applyProtection="1">
      <alignment horizontal="left" wrapText="1"/>
      <protection locked="0"/>
    </xf>
    <xf numFmtId="0" fontId="46" fillId="0" borderId="200" xfId="0" applyFont="1" applyBorder="1" applyAlignment="1" applyProtection="1">
      <alignment horizontal="left" wrapText="1"/>
      <protection locked="0"/>
    </xf>
    <xf numFmtId="0" fontId="46" fillId="0" borderId="201" xfId="0" applyFont="1" applyBorder="1" applyAlignment="1" applyProtection="1">
      <alignment horizontal="left"/>
      <protection locked="0"/>
    </xf>
    <xf numFmtId="0" fontId="46" fillId="0" borderId="208" xfId="0" applyFont="1" applyBorder="1" applyAlignment="1" applyProtection="1">
      <alignment horizontal="left" vertical="center" wrapText="1"/>
      <protection locked="0"/>
    </xf>
    <xf numFmtId="0" fontId="46" fillId="0" borderId="195" xfId="0" applyFont="1" applyBorder="1" applyAlignment="1" applyProtection="1">
      <alignment horizontal="left"/>
      <protection locked="0"/>
    </xf>
    <xf numFmtId="0" fontId="46" fillId="0" borderId="196" xfId="0" applyFont="1" applyBorder="1" applyAlignment="1" applyProtection="1">
      <alignment horizontal="left"/>
      <protection locked="0"/>
    </xf>
    <xf numFmtId="0" fontId="46" fillId="0" borderId="197" xfId="0" applyFont="1" applyBorder="1" applyAlignment="1" applyProtection="1">
      <alignment horizontal="left"/>
      <protection locked="0"/>
    </xf>
    <xf numFmtId="0" fontId="46" fillId="0" borderId="205" xfId="0" applyFont="1" applyBorder="1" applyAlignment="1" applyProtection="1">
      <alignment horizontal="left" vertical="top" wrapText="1"/>
      <protection locked="0"/>
    </xf>
    <xf numFmtId="0" fontId="46" fillId="0" borderId="206" xfId="0" applyFont="1" applyBorder="1" applyAlignment="1" applyProtection="1">
      <alignment horizontal="left"/>
      <protection locked="0"/>
    </xf>
    <xf numFmtId="0" fontId="46" fillId="0" borderId="82" xfId="0" applyFont="1" applyBorder="1" applyAlignment="1" applyProtection="1">
      <alignment horizontal="left"/>
      <protection locked="0"/>
    </xf>
    <xf numFmtId="0" fontId="46" fillId="0" borderId="207" xfId="0" applyFont="1" applyBorder="1" applyAlignment="1" applyProtection="1">
      <alignment horizontal="left"/>
      <protection locked="0"/>
    </xf>
    <xf numFmtId="0" fontId="46" fillId="0" borderId="198" xfId="0" applyFont="1" applyBorder="1" applyAlignment="1" applyProtection="1">
      <alignment horizontal="left"/>
      <protection locked="0"/>
    </xf>
    <xf numFmtId="0" fontId="46" fillId="0" borderId="194" xfId="0" applyFont="1" applyBorder="1" applyAlignment="1" applyProtection="1">
      <alignment horizontal="left"/>
      <protection locked="0"/>
    </xf>
    <xf numFmtId="0" fontId="20" fillId="0" borderId="0" xfId="0" applyFont="1" applyAlignment="1">
      <alignment horizontal="center"/>
    </xf>
    <xf numFmtId="3" fontId="0" fillId="0" borderId="0" xfId="0" applyNumberFormat="1" applyAlignment="1">
      <alignment wrapText="1"/>
    </xf>
    <xf numFmtId="49" fontId="50" fillId="0" borderId="0" xfId="0" applyNumberFormat="1" applyFont="1" applyAlignment="1">
      <alignment horizontal="justify"/>
    </xf>
    <xf numFmtId="0" fontId="112" fillId="0" borderId="0" xfId="0" applyFont="1" applyAlignment="1">
      <alignment horizontal="justify"/>
    </xf>
  </cellXfs>
  <cellStyles count="10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xfId="7" builtinId="30" customBuiltin="1"/>
    <cellStyle name="20% - Énfasis2" xfId="8" builtinId="34" customBuiltin="1"/>
    <cellStyle name="20% - Énfasis3" xfId="9" builtinId="38" customBuiltin="1"/>
    <cellStyle name="20% - Énfasis4" xfId="10" builtinId="42" customBuiltin="1"/>
    <cellStyle name="20% - Énfasis5" xfId="11" builtinId="46" customBuiltin="1"/>
    <cellStyle name="20% - Énfasis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Énfasis1" xfId="19" builtinId="31" customBuiltin="1"/>
    <cellStyle name="40% - Énfasis2" xfId="20" builtinId="35" customBuiltin="1"/>
    <cellStyle name="40% - Énfasis3" xfId="21" builtinId="39" customBuiltin="1"/>
    <cellStyle name="40% - Énfasis4" xfId="22" builtinId="43" customBuiltin="1"/>
    <cellStyle name="40% - Énfasis5" xfId="23" builtinId="47" customBuiltin="1"/>
    <cellStyle name="40% - Énfasis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Énfasis1" xfId="31" builtinId="32" customBuiltin="1"/>
    <cellStyle name="60% - Énfasis2" xfId="32" builtinId="36" customBuiltin="1"/>
    <cellStyle name="60% - Énfasis3" xfId="33" builtinId="40" customBuiltin="1"/>
    <cellStyle name="60% - Énfasis4" xfId="34" builtinId="44" customBuiltin="1"/>
    <cellStyle name="60% - Énfasis5" xfId="35" builtinId="48" customBuiltin="1"/>
    <cellStyle name="60% - Énfasis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Calculation" xfId="44" xr:uid="{00000000-0005-0000-0000-00002B000000}"/>
    <cellStyle name="Cálculo" xfId="45" builtinId="22" customBuiltin="1"/>
    <cellStyle name="Énfasis1" xfId="46" builtinId="29" customBuiltin="1"/>
    <cellStyle name="Énfasis2" xfId="47" builtinId="33" customBuiltin="1"/>
    <cellStyle name="Énfasis3" xfId="48" builtinId="37" customBuiltin="1"/>
    <cellStyle name="Énfasis4" xfId="49" builtinId="41" customBuiltin="1"/>
    <cellStyle name="Énfasis5" xfId="50" builtinId="45" customBuiltin="1"/>
    <cellStyle name="Énfasis6" xfId="51" builtinId="49" customBuiltin="1"/>
    <cellStyle name="Euro" xfId="52" xr:uid="{00000000-0005-0000-0000-000033000000}"/>
    <cellStyle name="Explanatory Text" xfId="53" xr:uid="{00000000-0005-0000-0000-000034000000}"/>
    <cellStyle name="Heading 2" xfId="54" xr:uid="{00000000-0005-0000-0000-000035000000}"/>
    <cellStyle name="Heading 3" xfId="55" xr:uid="{00000000-0005-0000-0000-000036000000}"/>
    <cellStyle name="Incorrecto" xfId="56" builtinId="27" customBuiltin="1"/>
    <cellStyle name="Millares" xfId="57" builtinId="3"/>
    <cellStyle name="Millares 2" xfId="58" xr:uid="{00000000-0005-0000-0000-000039000000}"/>
    <cellStyle name="Moneda" xfId="59" builtinId="4"/>
    <cellStyle name="Neutral" xfId="60" builtinId="28" customBuiltin="1"/>
    <cellStyle name="Normal" xfId="0" builtinId="0"/>
    <cellStyle name="Normal 2" xfId="61" xr:uid="{00000000-0005-0000-0000-00003D000000}"/>
    <cellStyle name="Normal 2 2" xfId="62" xr:uid="{00000000-0005-0000-0000-00003E000000}"/>
    <cellStyle name="Normal 2 3" xfId="63" xr:uid="{00000000-0005-0000-0000-00003F000000}"/>
    <cellStyle name="Normal 2 4" xfId="64" xr:uid="{00000000-0005-0000-0000-000040000000}"/>
    <cellStyle name="Normal 2 5" xfId="65" xr:uid="{00000000-0005-0000-0000-000041000000}"/>
    <cellStyle name="Normal 2 6" xfId="66" xr:uid="{00000000-0005-0000-0000-000042000000}"/>
    <cellStyle name="Normal 2 7" xfId="67" xr:uid="{00000000-0005-0000-0000-000043000000}"/>
    <cellStyle name="Normal 2 8" xfId="68" xr:uid="{00000000-0005-0000-0000-000044000000}"/>
    <cellStyle name="Normal 2_Dashboard ver 2.2 ES" xfId="69" xr:uid="{00000000-0005-0000-0000-000045000000}"/>
    <cellStyle name="Normal 2_Ficticia HIV Dashboard_ES - Set Up and Maintenance Guide" xfId="70" xr:uid="{00000000-0005-0000-0000-000046000000}"/>
    <cellStyle name="Normal 2_Prototipo" xfId="71" xr:uid="{00000000-0005-0000-0000-000047000000}"/>
    <cellStyle name="Normal 3" xfId="72" xr:uid="{00000000-0005-0000-0000-000048000000}"/>
    <cellStyle name="Normal 4" xfId="73" xr:uid="{00000000-0005-0000-0000-000049000000}"/>
    <cellStyle name="Normal 5" xfId="74" xr:uid="{00000000-0005-0000-0000-00004A000000}"/>
    <cellStyle name="Normal 6" xfId="75" xr:uid="{00000000-0005-0000-0000-00004B000000}"/>
    <cellStyle name="Normal 7" xfId="76" xr:uid="{00000000-0005-0000-0000-00004C000000}"/>
    <cellStyle name="Normal 8" xfId="77" xr:uid="{00000000-0005-0000-0000-00004D000000}"/>
    <cellStyle name="Normal_TZ_R3HIV_Phase_2_21_August_08" xfId="78" xr:uid="{00000000-0005-0000-0000-00004E000000}"/>
    <cellStyle name="Output" xfId="79" xr:uid="{00000000-0005-0000-0000-00004F000000}"/>
    <cellStyle name="Porcentaje" xfId="80" builtinId="5"/>
    <cellStyle name="Porcentual 2" xfId="81" xr:uid="{00000000-0005-0000-0000-000051000000}"/>
    <cellStyle name="Porcentual 3" xfId="82" xr:uid="{00000000-0005-0000-0000-000052000000}"/>
    <cellStyle name="Porcentual 4" xfId="83" xr:uid="{00000000-0005-0000-0000-000053000000}"/>
    <cellStyle name="Porcentual 5" xfId="84" xr:uid="{00000000-0005-0000-0000-000054000000}"/>
    <cellStyle name="Porcentual 6" xfId="85" xr:uid="{00000000-0005-0000-0000-000055000000}"/>
    <cellStyle name="Porcentual 7" xfId="86" xr:uid="{00000000-0005-0000-0000-000056000000}"/>
    <cellStyle name="Porcentual 8" xfId="87" xr:uid="{00000000-0005-0000-0000-000057000000}"/>
    <cellStyle name="Salida" xfId="88" builtinId="21" customBuiltin="1"/>
    <cellStyle name="Texto explicativo" xfId="89" builtinId="53" customBuiltin="1"/>
    <cellStyle name="Title" xfId="90" xr:uid="{00000000-0005-0000-0000-00005A000000}"/>
    <cellStyle name="Título" xfId="91" builtinId="15" customBuiltin="1"/>
    <cellStyle name="Título 2" xfId="92" builtinId="17" customBuiltin="1"/>
    <cellStyle name="Título 3" xfId="93" builtinId="18" customBuiltin="1"/>
    <cellStyle name="Título 3 2" xfId="94" xr:uid="{00000000-0005-0000-0000-00005E000000}"/>
    <cellStyle name="Título 3 3" xfId="95" xr:uid="{00000000-0005-0000-0000-00005F000000}"/>
    <cellStyle name="Título 3 3_Prototipo" xfId="96" xr:uid="{00000000-0005-0000-0000-000060000000}"/>
    <cellStyle name="Título 3 3_PrototipoRep1" xfId="97" xr:uid="{00000000-0005-0000-0000-000061000000}"/>
    <cellStyle name="Título 3 4" xfId="98" xr:uid="{00000000-0005-0000-0000-000062000000}"/>
    <cellStyle name="Título 3 5" xfId="99" xr:uid="{00000000-0005-0000-0000-000063000000}"/>
    <cellStyle name="Título 3 6" xfId="100" xr:uid="{00000000-0005-0000-0000-000064000000}"/>
    <cellStyle name="Título 3 7" xfId="101" xr:uid="{00000000-0005-0000-0000-000065000000}"/>
    <cellStyle name="Título 3 8" xfId="102" xr:uid="{00000000-0005-0000-0000-000066000000}"/>
    <cellStyle name="Total" xfId="103" builtinId="25" customBuiltin="1"/>
  </cellStyles>
  <dxfs count="42">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theme="4" tint="0.39994506668294322"/>
          <bgColor theme="4" tint="0.39994506668294322"/>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10"/>
          <bgColor indexed="61"/>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19"/>
          <bgColor indexed="11"/>
        </patternFill>
      </fill>
    </dxf>
    <dxf>
      <font>
        <b/>
        <i val="0"/>
        <condense val="0"/>
        <extend val="0"/>
        <sz val="11"/>
        <color indexed="8"/>
      </font>
      <fill>
        <patternFill patternType="solid">
          <fgColor indexed="10"/>
          <bgColor indexed="61"/>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val="0"/>
        <condense val="0"/>
        <extend val="0"/>
        <sz val="11"/>
        <color indexed="9"/>
      </font>
      <fill>
        <patternFill patternType="solid">
          <fgColor indexed="29"/>
          <bgColor indexed="10"/>
        </patternFill>
      </fill>
    </dxf>
    <dxf>
      <font>
        <b val="0"/>
        <condense val="0"/>
        <extend val="0"/>
        <sz val="11"/>
        <color indexed="8"/>
      </font>
      <fill>
        <patternFill patternType="solid">
          <fgColor indexed="51"/>
          <bgColor indexed="13"/>
        </patternFill>
      </fill>
    </dxf>
    <dxf>
      <font>
        <b val="0"/>
        <condense val="0"/>
        <extend val="0"/>
        <sz val="11"/>
        <color indexed="8"/>
      </font>
      <fill>
        <patternFill patternType="solid">
          <fgColor indexed="19"/>
          <bgColor indexed="11"/>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
      <font>
        <b val="0"/>
        <condense val="0"/>
        <extend val="0"/>
        <sz val="11"/>
        <color indexed="8"/>
      </font>
      <fill>
        <patternFill patternType="solid">
          <fgColor indexed="28"/>
          <bgColor indexed="9"/>
        </patternFill>
      </fill>
    </dxf>
    <dxf>
      <font>
        <b val="0"/>
        <condense val="0"/>
        <extend val="0"/>
        <sz val="11"/>
        <color indexed="8"/>
      </font>
      <fill>
        <patternFill patternType="solid">
          <fgColor indexed="51"/>
          <bgColor indexed="50"/>
        </patternFill>
      </fill>
    </dxf>
    <dxf>
      <font>
        <b val="0"/>
        <condense val="0"/>
        <extend val="0"/>
        <sz val="11"/>
        <color indexed="8"/>
      </font>
      <fill>
        <patternFill patternType="solid">
          <fgColor indexed="10"/>
          <bgColor indexed="61"/>
        </patternFill>
      </fill>
    </dxf>
    <dxf>
      <font>
        <b val="0"/>
        <condense val="0"/>
        <extend val="0"/>
        <sz val="11"/>
        <color indexed="9"/>
      </font>
      <fill>
        <patternFill patternType="solid">
          <fgColor indexed="58"/>
          <bgColor indexed="8"/>
        </patternFill>
      </fill>
    </dxf>
    <dxf>
      <font>
        <b val="0"/>
        <condense val="0"/>
        <extend val="0"/>
        <sz val="11"/>
        <color indexed="8"/>
      </font>
      <fill>
        <patternFill patternType="solid">
          <fgColor indexed="19"/>
          <bgColor indexed="11"/>
        </patternFill>
      </fill>
    </dxf>
    <dxf>
      <font>
        <b val="0"/>
        <condense val="0"/>
        <extend val="0"/>
        <sz val="11"/>
        <color indexed="9"/>
      </font>
      <fill>
        <patternFill patternType="solid">
          <fgColor indexed="32"/>
          <bgColor indexed="8"/>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10"/>
          <bgColor indexed="61"/>
        </patternFill>
      </fill>
    </dxf>
    <dxf>
      <font>
        <b val="0"/>
        <condense val="0"/>
        <extend val="0"/>
        <sz val="11"/>
        <color indexed="9"/>
      </font>
      <fill>
        <patternFill patternType="solid">
          <fgColor indexed="59"/>
          <bgColor indexed="63"/>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27"/>
          <bgColor indexed="42"/>
        </patternFill>
      </fill>
    </dxf>
    <dxf>
      <font>
        <b val="0"/>
        <condense val="0"/>
        <extend val="0"/>
        <sz val="11"/>
        <color indexed="8"/>
      </font>
      <fill>
        <patternFill patternType="solid">
          <fgColor indexed="34"/>
          <bgColor indexed="43"/>
        </patternFill>
      </fill>
    </dxf>
    <dxf>
      <font>
        <b val="0"/>
        <condense val="0"/>
        <extend val="0"/>
        <sz val="11"/>
        <color indexed="8"/>
      </font>
      <fill>
        <patternFill patternType="solid">
          <fgColor indexed="13"/>
          <bgColor indexed="51"/>
        </patternFill>
      </fill>
    </dxf>
    <dxf>
      <font>
        <b val="0"/>
        <condense val="0"/>
        <extend val="0"/>
        <sz val="11"/>
        <color indexed="9"/>
      </font>
      <fill>
        <patternFill patternType="solid">
          <fgColor indexed="29"/>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7171"/>
      <rgbColor rgb="0000FF00"/>
      <rgbColor rgb="000000FF"/>
      <rgbColor rgb="00FFFF00"/>
      <rgbColor rgb="00CCC1DA"/>
      <rgbColor rgb="0000FFFF"/>
      <rgbColor rgb="00800000"/>
      <rgbColor rgb="00008000"/>
      <rgbColor rgb="00000080"/>
      <rgbColor rgb="0033CC33"/>
      <rgbColor rgb="00800080"/>
      <rgbColor rgb="000070C0"/>
      <rgbColor rgb="00C0C0C0"/>
      <rgbColor rgb="00808080"/>
      <rgbColor rgb="00A6A6A6"/>
      <rgbColor rgb="00993366"/>
      <rgbColor rgb="00FFFFCC"/>
      <rgbColor rgb="00CCFFFF"/>
      <rgbColor rgb="00FFF8EF"/>
      <rgbColor rgb="00FF8080"/>
      <rgbColor rgb="000066CC"/>
      <rgbColor rgb="00CCCCFF"/>
      <rgbColor rgb="00131312"/>
      <rgbColor rgb="00D9D9D9"/>
      <rgbColor rgb="00FFF88F"/>
      <rgbColor rgb="0093CDDD"/>
      <rgbColor rgb="00BFBFBF"/>
      <rgbColor rgb="00800000"/>
      <rgbColor rgb="00376092"/>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505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27213535415239"/>
          <c:y val="9.2105657661979437E-2"/>
          <c:w val="0.82217657207825179"/>
          <c:h val="0.61842370144471903"/>
        </c:manualLayout>
      </c:layout>
      <c:barChart>
        <c:barDir val="col"/>
        <c:grouping val="clustered"/>
        <c:varyColors val="0"/>
        <c:ser>
          <c:idx val="0"/>
          <c:order val="0"/>
          <c:spPr>
            <a:solidFill>
              <a:srgbClr val="993366"/>
            </a:solidFill>
            <a:ln w="3175">
              <a:solidFill>
                <a:srgbClr val="000000"/>
              </a:solidFill>
              <a:prstDash val="solid"/>
            </a:ln>
          </c:spPr>
          <c:invertIfNegative val="0"/>
          <c:val>
            <c:numRef>
              <c:f>'Introducción de datos'!$C$33:$N$33</c:f>
              <c:numCache>
                <c:formatCode>#,##0</c:formatCode>
                <c:ptCount val="12"/>
                <c:pt idx="0">
                  <c:v>2859658.47</c:v>
                </c:pt>
                <c:pt idx="1">
                  <c:v>4235392.8600000003</c:v>
                </c:pt>
                <c:pt idx="2">
                  <c:v>5673864.6699999999</c:v>
                </c:pt>
                <c:pt idx="3">
                  <c:v>7001479.4199999999</c:v>
                </c:pt>
                <c:pt idx="4" formatCode="#.##0">
                  <c:v>0</c:v>
                </c:pt>
                <c:pt idx="5" formatCode="#.##0">
                  <c:v>0</c:v>
                </c:pt>
                <c:pt idx="6" formatCode="#.##0">
                  <c:v>0</c:v>
                </c:pt>
                <c:pt idx="7" formatCode="_-* #,##0.00\ _€_-;\-* #,##0.00\ _€_-;_-* &quot;-&quot;??\ _€_-;_-@_-">
                  <c:v>0</c:v>
                </c:pt>
                <c:pt idx="8" formatCode="#.##0">
                  <c:v>0</c:v>
                </c:pt>
                <c:pt idx="9" formatCode="#.##0">
                  <c:v>0</c:v>
                </c:pt>
                <c:pt idx="10" formatCode="#.##0">
                  <c:v>0</c:v>
                </c:pt>
                <c:pt idx="11" formatCode="#.##0">
                  <c:v>0</c:v>
                </c:pt>
              </c:numCache>
            </c:numRef>
          </c:val>
          <c:extLst>
            <c:ext xmlns:c16="http://schemas.microsoft.com/office/drawing/2014/chart" uri="{C3380CC4-5D6E-409C-BE32-E72D297353CC}">
              <c16:uniqueId val="{00000000-C4FD-44D3-AD14-BEF2BC1A6656}"/>
            </c:ext>
          </c:extLst>
        </c:ser>
        <c:ser>
          <c:idx val="1"/>
          <c:order val="1"/>
          <c:spPr>
            <a:solidFill>
              <a:srgbClr val="0070C0"/>
            </a:solidFill>
            <a:ln w="3175">
              <a:solidFill>
                <a:srgbClr val="000000"/>
              </a:solidFill>
              <a:prstDash val="solid"/>
            </a:ln>
          </c:spPr>
          <c:invertIfNegative val="0"/>
          <c:val>
            <c:numRef>
              <c:f>'Introducción de datos'!$C$34:$N$34</c:f>
              <c:numCache>
                <c:formatCode>#.##0</c:formatCode>
                <c:ptCount val="12"/>
                <c:pt idx="0">
                  <c:v>3562573</c:v>
                </c:pt>
                <c:pt idx="1">
                  <c:v>4235392</c:v>
                </c:pt>
                <c:pt idx="2">
                  <c:v>5673664</c:v>
                </c:pt>
                <c:pt idx="3">
                  <c:v>6261111.7000000002</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C4FD-44D3-AD14-BEF2BC1A6656}"/>
            </c:ext>
          </c:extLst>
        </c:ser>
        <c:dLbls>
          <c:showLegendKey val="0"/>
          <c:showVal val="0"/>
          <c:showCatName val="0"/>
          <c:showSerName val="0"/>
          <c:showPercent val="0"/>
          <c:showBubbleSize val="0"/>
        </c:dLbls>
        <c:gapWidth val="70"/>
        <c:axId val="316148616"/>
        <c:axId val="1"/>
      </c:barChart>
      <c:catAx>
        <c:axId val="316148616"/>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s-SV"/>
                  <a:t>Periodo de referencia</a:t>
                </a:r>
              </a:p>
            </c:rich>
          </c:tx>
          <c:layout>
            <c:manualLayout>
              <c:xMode val="edge"/>
              <c:yMode val="edge"/>
              <c:x val="0.46862003884734532"/>
              <c:y val="0.802635454351989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s-SV"/>
          </a:p>
        </c:txPr>
        <c:crossAx val="316148616"/>
        <c:crossesAt val="1"/>
        <c:crossBetween val="between"/>
      </c:valAx>
      <c:spPr>
        <a:solidFill>
          <a:srgbClr val="FFFFFF"/>
        </a:solidFill>
        <a:ln w="3175">
          <a:solidFill>
            <a:srgbClr val="000000"/>
          </a:solidFill>
          <a:prstDash val="solid"/>
        </a:ln>
      </c:spPr>
    </c:plotArea>
    <c:legend>
      <c:legendPos val="r"/>
      <c:layout>
        <c:manualLayout>
          <c:xMode val="edge"/>
          <c:yMode val="edge"/>
          <c:x val="0.14146347079183769"/>
          <c:y val="0.86547701093111851"/>
          <c:w val="0.63902464392174951"/>
          <c:h val="0.10762408426086446"/>
        </c:manualLayout>
      </c:layout>
      <c:overlay val="0"/>
      <c:spPr>
        <a:solidFill>
          <a:srgbClr val="FFFFFF"/>
        </a:solidFill>
        <a:ln w="3175">
          <a:solidFill>
            <a:srgbClr val="000000"/>
          </a:solidFill>
          <a:prstDash val="solid"/>
        </a:ln>
      </c:spPr>
      <c:txPr>
        <a:bodyPr/>
        <a:lstStyle/>
        <a:p>
          <a:pPr>
            <a:defRPr sz="305"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630136986301367E-2"/>
          <c:y val="0.1256544502617801"/>
          <c:w val="0.8575342465753425"/>
          <c:h val="0.64397905759162299"/>
        </c:manualLayout>
      </c:layout>
      <c:barChart>
        <c:barDir val="col"/>
        <c:grouping val="clustered"/>
        <c:varyColors val="0"/>
        <c:ser>
          <c:idx val="0"/>
          <c:order val="0"/>
          <c:spPr>
            <a:solidFill>
              <a:srgbClr val="0066CC"/>
            </a:solidFill>
            <a:ln w="25400">
              <a:noFill/>
            </a:ln>
          </c:spPr>
          <c:invertIfNegative val="0"/>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datos'!$H$134:$Q$134</c:f>
              <c:numCache>
                <c:formatCode>#.##0</c:formatCode>
                <c:ptCount val="10"/>
                <c:pt idx="1">
                  <c:v>1615</c:v>
                </c:pt>
                <c:pt idx="3">
                  <c:v>1609</c:v>
                </c:pt>
              </c:numCache>
            </c:numRef>
          </c:val>
          <c:extLst>
            <c:ext xmlns:c16="http://schemas.microsoft.com/office/drawing/2014/chart" uri="{C3380CC4-5D6E-409C-BE32-E72D297353CC}">
              <c16:uniqueId val="{00000000-F2E5-4430-9127-EE504E9C6B7A}"/>
            </c:ext>
          </c:extLst>
        </c:ser>
        <c:ser>
          <c:idx val="1"/>
          <c:order val="1"/>
          <c:spPr>
            <a:solidFill>
              <a:srgbClr val="00CCFF"/>
            </a:solidFill>
            <a:ln w="25400">
              <a:noFill/>
            </a:ln>
          </c:spPr>
          <c:invertIfNegative val="0"/>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datos'!$H$135:$Q$135</c:f>
              <c:numCache>
                <c:formatCode>#.##0</c:formatCode>
                <c:ptCount val="10"/>
                <c:pt idx="1">
                  <c:v>1631</c:v>
                </c:pt>
                <c:pt idx="3">
                  <c:v>1604</c:v>
                </c:pt>
              </c:numCache>
            </c:numRef>
          </c:val>
          <c:extLst>
            <c:ext xmlns:c16="http://schemas.microsoft.com/office/drawing/2014/chart" uri="{C3380CC4-5D6E-409C-BE32-E72D297353CC}">
              <c16:uniqueId val="{00000001-F2E5-4430-9127-EE504E9C6B7A}"/>
            </c:ext>
          </c:extLst>
        </c:ser>
        <c:dLbls>
          <c:showLegendKey val="0"/>
          <c:showVal val="0"/>
          <c:showCatName val="0"/>
          <c:showSerName val="0"/>
          <c:showPercent val="0"/>
          <c:showBubbleSize val="0"/>
        </c:dLbls>
        <c:gapWidth val="150"/>
        <c:axId val="316152880"/>
        <c:axId val="1"/>
      </c:barChart>
      <c:catAx>
        <c:axId val="31615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316152880"/>
        <c:crossesAt val="1"/>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55774802851367E-2"/>
          <c:y val="0.13989672698937164"/>
          <c:w val="0.87862910031165009"/>
          <c:h val="0.64248867209933636"/>
        </c:manualLayout>
      </c:layout>
      <c:barChart>
        <c:barDir val="col"/>
        <c:grouping val="clustered"/>
        <c:varyColors val="0"/>
        <c:ser>
          <c:idx val="0"/>
          <c:order val="0"/>
          <c:spPr>
            <a:solidFill>
              <a:srgbClr val="0066CC"/>
            </a:solidFill>
            <a:ln w="25400">
              <a:noFill/>
            </a:ln>
          </c:spPr>
          <c:invertIfNegative val="0"/>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datos'!$H$130:$Q$130</c:f>
              <c:numCache>
                <c:formatCode>#.##0</c:formatCode>
                <c:ptCount val="10"/>
                <c:pt idx="1">
                  <c:v>18118</c:v>
                </c:pt>
                <c:pt idx="3">
                  <c:v>18123</c:v>
                </c:pt>
              </c:numCache>
            </c:numRef>
          </c:val>
          <c:extLst>
            <c:ext xmlns:c16="http://schemas.microsoft.com/office/drawing/2014/chart" uri="{C3380CC4-5D6E-409C-BE32-E72D297353CC}">
              <c16:uniqueId val="{00000000-F0F9-47C9-8ACD-177AF01B3C95}"/>
            </c:ext>
          </c:extLst>
        </c:ser>
        <c:ser>
          <c:idx val="1"/>
          <c:order val="1"/>
          <c:spPr>
            <a:solidFill>
              <a:srgbClr val="00CCFF"/>
            </a:solidFill>
            <a:ln w="12700">
              <a:solidFill>
                <a:srgbClr val="000000"/>
              </a:solidFill>
              <a:prstDash val="solid"/>
            </a:ln>
          </c:spPr>
          <c:invertIfNegative val="0"/>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datos'!$H$131:$Q$131</c:f>
              <c:numCache>
                <c:formatCode>#.##0</c:formatCode>
                <c:ptCount val="10"/>
                <c:pt idx="1">
                  <c:v>18230</c:v>
                </c:pt>
                <c:pt idx="3">
                  <c:v>18023</c:v>
                </c:pt>
              </c:numCache>
            </c:numRef>
          </c:val>
          <c:extLst>
            <c:ext xmlns:c16="http://schemas.microsoft.com/office/drawing/2014/chart" uri="{C3380CC4-5D6E-409C-BE32-E72D297353CC}">
              <c16:uniqueId val="{00000001-F0F9-47C9-8ACD-177AF01B3C95}"/>
            </c:ext>
          </c:extLst>
        </c:ser>
        <c:dLbls>
          <c:showLegendKey val="0"/>
          <c:showVal val="0"/>
          <c:showCatName val="0"/>
          <c:showSerName val="0"/>
          <c:showPercent val="0"/>
          <c:showBubbleSize val="0"/>
        </c:dLbls>
        <c:gapWidth val="150"/>
        <c:axId val="419925304"/>
        <c:axId val="1"/>
      </c:barChart>
      <c:catAx>
        <c:axId val="419925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419925304"/>
        <c:crossesAt val="1"/>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637388299555339"/>
          <c:y val="2.0959041718019281E-2"/>
          <c:w val="0.6735174834062041"/>
          <c:h val="0.65322580645161288"/>
        </c:manualLayout>
      </c:layout>
      <c:barChart>
        <c:barDir val="col"/>
        <c:grouping val="stacked"/>
        <c:varyColors val="0"/>
        <c:ser>
          <c:idx val="0"/>
          <c:order val="0"/>
          <c:tx>
            <c:strRef>
              <c:f>Financiamiento!$M$16</c:f>
              <c:strCache>
                <c:ptCount val="1"/>
                <c:pt idx="0">
                  <c:v>Periodo Anterior</c:v>
                </c:pt>
              </c:strCache>
            </c:strRef>
          </c:tx>
          <c:spPr>
            <a:solidFill>
              <a:srgbClr val="376092"/>
            </a:solidFill>
            <a:ln w="3175">
              <a:solidFill>
                <a:srgbClr val="000000"/>
              </a:solidFill>
              <a:prstDash val="solid"/>
            </a:ln>
          </c:spPr>
          <c:invertIfNegative val="0"/>
          <c:cat>
            <c:strRef>
              <c:f>'Introducción de datos'!$B$52:$B$58</c:f>
              <c:strCache>
                <c:ptCount val="7"/>
                <c:pt idx="0">
                  <c:v> Desembolsado por el Fondo Mundial </c:v>
                </c:pt>
                <c:pt idx="1">
                  <c:v> Gasto RP </c:v>
                </c:pt>
                <c:pt idx="2">
                  <c:v> Desembolsado a los subreceptores </c:v>
                </c:pt>
                <c:pt idx="3">
                  <c:v> Gastos de los subreceptores </c:v>
                </c:pt>
                <c:pt idx="4">
                  <c:v> Compromisos al 31 de diciembre de 2018 </c:v>
                </c:pt>
                <c:pt idx="5">
                  <c:v> Obligaciones relacionadas al plan de cierre 2018 </c:v>
                </c:pt>
                <c:pt idx="6">
                  <c:v> Saldo en caja** </c:v>
                </c:pt>
              </c:strCache>
            </c:strRef>
          </c:cat>
          <c:val>
            <c:numRef>
              <c:f>'Introducción de datos'!$C$52:$C$58</c:f>
              <c:numCache>
                <c:formatCode>_-* #,##0.00\ _€_-;\-* #,##0.00\ _€_-;_-* \-??\ _€_-;_-@_-</c:formatCode>
                <c:ptCount val="7"/>
                <c:pt idx="0">
                  <c:v>4235392</c:v>
                </c:pt>
                <c:pt idx="1">
                  <c:v>1362621.12</c:v>
                </c:pt>
                <c:pt idx="2">
                  <c:v>1500365.56</c:v>
                </c:pt>
                <c:pt idx="3">
                  <c:v>1418994.82</c:v>
                </c:pt>
              </c:numCache>
            </c:numRef>
          </c:val>
          <c:extLst>
            <c:ext xmlns:c16="http://schemas.microsoft.com/office/drawing/2014/chart" uri="{C3380CC4-5D6E-409C-BE32-E72D297353CC}">
              <c16:uniqueId val="{00000000-013B-4BE8-B9A8-66F988A39AD1}"/>
            </c:ext>
          </c:extLst>
        </c:ser>
        <c:ser>
          <c:idx val="1"/>
          <c:order val="1"/>
          <c:tx>
            <c:strRef>
              <c:f>Financiamiento!$M$15</c:f>
              <c:strCache>
                <c:ptCount val="1"/>
                <c:pt idx="0">
                  <c:v>Periodo Actual</c:v>
                </c:pt>
              </c:strCache>
            </c:strRef>
          </c:tx>
          <c:spPr>
            <a:solidFill>
              <a:srgbClr val="93CDDD"/>
            </a:solidFill>
            <a:ln w="3175">
              <a:solidFill>
                <a:srgbClr val="000000"/>
              </a:solidFill>
              <a:prstDash val="solid"/>
            </a:ln>
          </c:spPr>
          <c:invertIfNegative val="0"/>
          <c:cat>
            <c:strRef>
              <c:f>'Introducción de datos'!$B$52:$B$58</c:f>
              <c:strCache>
                <c:ptCount val="7"/>
                <c:pt idx="0">
                  <c:v> Desembolsado por el Fondo Mundial </c:v>
                </c:pt>
                <c:pt idx="1">
                  <c:v> Gasto RP </c:v>
                </c:pt>
                <c:pt idx="2">
                  <c:v> Desembolsado a los subreceptores </c:v>
                </c:pt>
                <c:pt idx="3">
                  <c:v> Gastos de los subreceptores </c:v>
                </c:pt>
                <c:pt idx="4">
                  <c:v> Compromisos al 31 de diciembre de 2018 </c:v>
                </c:pt>
                <c:pt idx="5">
                  <c:v> Obligaciones relacionadas al plan de cierre 2018 </c:v>
                </c:pt>
                <c:pt idx="6">
                  <c:v> Saldo en caja** </c:v>
                </c:pt>
              </c:strCache>
            </c:strRef>
          </c:cat>
          <c:val>
            <c:numRef>
              <c:f>'Introducción de datos'!$D$52:$D$58</c:f>
              <c:numCache>
                <c:formatCode>_-* #,##0.00\ _€_-;\-* #,##0.00\ _€_-;_-* \-??\ _€_-;_-@_-</c:formatCode>
                <c:ptCount val="7"/>
                <c:pt idx="0">
                  <c:v>2025719.7</c:v>
                </c:pt>
                <c:pt idx="1">
                  <c:v>1952599.2</c:v>
                </c:pt>
                <c:pt idx="2">
                  <c:v>1471705.77</c:v>
                </c:pt>
                <c:pt idx="3">
                  <c:v>1533966.89</c:v>
                </c:pt>
                <c:pt idx="4">
                  <c:v>198655.68</c:v>
                </c:pt>
                <c:pt idx="5">
                  <c:v>326842.96000000002</c:v>
                </c:pt>
                <c:pt idx="6">
                  <c:v>347736.13</c:v>
                </c:pt>
              </c:numCache>
            </c:numRef>
          </c:val>
          <c:extLst>
            <c:ext xmlns:c16="http://schemas.microsoft.com/office/drawing/2014/chart" uri="{C3380CC4-5D6E-409C-BE32-E72D297353CC}">
              <c16:uniqueId val="{00000001-013B-4BE8-B9A8-66F988A39AD1}"/>
            </c:ext>
          </c:extLst>
        </c:ser>
        <c:dLbls>
          <c:showLegendKey val="0"/>
          <c:showVal val="0"/>
          <c:showCatName val="0"/>
          <c:showSerName val="0"/>
          <c:showPercent val="0"/>
          <c:showBubbleSize val="0"/>
        </c:dLbls>
        <c:gapWidth val="150"/>
        <c:overlap val="100"/>
        <c:axId val="419081008"/>
        <c:axId val="1"/>
      </c:barChart>
      <c:catAx>
        <c:axId val="4190810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s-SV"/>
          </a:p>
        </c:txPr>
        <c:crossAx val="1"/>
        <c:crossesAt val="0"/>
        <c:auto val="1"/>
        <c:lblAlgn val="ctr"/>
        <c:lblOffset val="100"/>
        <c:tickLblSkip val="2"/>
        <c:tickMarkSkip val="1"/>
        <c:noMultiLvlLbl val="0"/>
      </c:catAx>
      <c:valAx>
        <c:axId val="1"/>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a:pPr>
            <a:endParaRPr lang="es-SV"/>
          </a:p>
        </c:txPr>
        <c:crossAx val="419081008"/>
        <c:crossesAt val="1"/>
        <c:crossBetween val="between"/>
      </c:valAx>
      <c:dTable>
        <c:showHorzBorder val="1"/>
        <c:showVertBorder val="1"/>
        <c:showOutline val="1"/>
        <c:showKeys val="1"/>
        <c:txPr>
          <a:bodyPr/>
          <a:lstStyle/>
          <a:p>
            <a:pPr rtl="0">
              <a:defRPr sz="900"/>
            </a:pPr>
            <a:endParaRPr lang="es-SV"/>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30927536521313"/>
          <c:y val="0.12735849056603774"/>
          <c:w val="0.75051274626299336"/>
          <c:h val="0.73584905660377353"/>
        </c:manualLayout>
      </c:layout>
      <c:barChart>
        <c:barDir val="col"/>
        <c:grouping val="clustered"/>
        <c:varyColors val="0"/>
        <c:ser>
          <c:idx val="0"/>
          <c:order val="0"/>
          <c:tx>
            <c:strRef>
              <c:f>Financiamiento!$C$33</c:f>
              <c:strCache>
                <c:ptCount val="1"/>
                <c:pt idx="0">
                  <c:v>Presupuesto acumulado</c:v>
                </c:pt>
              </c:strCache>
            </c:strRef>
          </c:tx>
          <c:spPr>
            <a:solidFill>
              <a:srgbClr val="993366"/>
            </a:solidFill>
            <a:ln w="3175">
              <a:solidFill>
                <a:srgbClr val="000000"/>
              </a:solidFill>
              <a:prstDash val="solid"/>
            </a:ln>
          </c:spPr>
          <c:invertIfNegative val="0"/>
          <c:cat>
            <c:strRef>
              <c:f>'Introducción de datos'!$B$39:$B$44</c:f>
              <c:strCache>
                <c:ptCount val="5"/>
                <c:pt idx="0">
                  <c:v> Modulo 1: M&amp;E </c:v>
                </c:pt>
                <c:pt idx="1">
                  <c:v> Modulo 2: Prevencion en HSH y Trans </c:v>
                </c:pt>
                <c:pt idx="2">
                  <c:v> Modulo 3: Prevención en TS </c:v>
                </c:pt>
                <c:pt idx="3">
                  <c:v> Modulo 4: Programa Administrativo </c:v>
                </c:pt>
                <c:pt idx="4">
                  <c:v> Modulo 5: Cuidado y Tratamiento </c:v>
                </c:pt>
              </c:strCache>
            </c:strRef>
          </c:cat>
          <c:val>
            <c:numRef>
              <c:f>'Introducción de datos'!$C$39:$C$44</c:f>
              <c:numCache>
                <c:formatCode>#,##0.00\ _€;[Red]#,##0.00\ _€</c:formatCode>
                <c:ptCount val="6"/>
                <c:pt idx="0">
                  <c:v>330088.40000000002</c:v>
                </c:pt>
                <c:pt idx="1">
                  <c:v>3235385.27</c:v>
                </c:pt>
                <c:pt idx="2">
                  <c:v>1945823.1506000001</c:v>
                </c:pt>
                <c:pt idx="3">
                  <c:v>1192422.44</c:v>
                </c:pt>
                <c:pt idx="4">
                  <c:v>297760.15999999997</c:v>
                </c:pt>
              </c:numCache>
            </c:numRef>
          </c:val>
          <c:extLst>
            <c:ext xmlns:c16="http://schemas.microsoft.com/office/drawing/2014/chart" uri="{C3380CC4-5D6E-409C-BE32-E72D297353CC}">
              <c16:uniqueId val="{00000000-7A13-4352-9AD8-FC4D8F7BE293}"/>
            </c:ext>
          </c:extLst>
        </c:ser>
        <c:ser>
          <c:idx val="1"/>
          <c:order val="1"/>
          <c:tx>
            <c:strRef>
              <c:f>Financiamiento!$C$34</c:f>
              <c:strCache>
                <c:ptCount val="1"/>
                <c:pt idx="0">
                  <c:v>Gastos acumulados</c:v>
                </c:pt>
              </c:strCache>
            </c:strRef>
          </c:tx>
          <c:spPr>
            <a:solidFill>
              <a:srgbClr val="CCC1DA"/>
            </a:solidFill>
            <a:ln w="3175">
              <a:solidFill>
                <a:srgbClr val="800000"/>
              </a:solidFill>
              <a:prstDash val="solid"/>
            </a:ln>
          </c:spPr>
          <c:invertIfNegative val="0"/>
          <c:cat>
            <c:strRef>
              <c:f>'Introducción de datos'!$B$39:$B$44</c:f>
              <c:strCache>
                <c:ptCount val="5"/>
                <c:pt idx="0">
                  <c:v> Modulo 1: M&amp;E </c:v>
                </c:pt>
                <c:pt idx="1">
                  <c:v> Modulo 2: Prevencion en HSH y Trans </c:v>
                </c:pt>
                <c:pt idx="2">
                  <c:v> Modulo 3: Prevención en TS </c:v>
                </c:pt>
                <c:pt idx="3">
                  <c:v> Modulo 4: Programa Administrativo </c:v>
                </c:pt>
                <c:pt idx="4">
                  <c:v> Modulo 5: Cuidado y Tratamiento </c:v>
                </c:pt>
              </c:strCache>
            </c:strRef>
          </c:cat>
          <c:val>
            <c:numRef>
              <c:f>'Introducción de datos'!$D$39:$D$44</c:f>
              <c:numCache>
                <c:formatCode>#,##0.00\ _€;[Red]#,##0.00\ _€</c:formatCode>
                <c:ptCount val="6"/>
                <c:pt idx="0">
                  <c:v>322300.78000000003</c:v>
                </c:pt>
                <c:pt idx="1">
                  <c:v>3020550.72</c:v>
                </c:pt>
                <c:pt idx="2">
                  <c:v>1630891.92</c:v>
                </c:pt>
                <c:pt idx="3">
                  <c:v>1004937.29</c:v>
                </c:pt>
                <c:pt idx="4">
                  <c:v>289501.32</c:v>
                </c:pt>
              </c:numCache>
            </c:numRef>
          </c:val>
          <c:extLst>
            <c:ext xmlns:c16="http://schemas.microsoft.com/office/drawing/2014/chart" uri="{C3380CC4-5D6E-409C-BE32-E72D297353CC}">
              <c16:uniqueId val="{00000001-7A13-4352-9AD8-FC4D8F7BE293}"/>
            </c:ext>
          </c:extLst>
        </c:ser>
        <c:dLbls>
          <c:showLegendKey val="0"/>
          <c:showVal val="0"/>
          <c:showCatName val="0"/>
          <c:showSerName val="0"/>
          <c:showPercent val="0"/>
          <c:showBubbleSize val="0"/>
        </c:dLbls>
        <c:gapWidth val="150"/>
        <c:axId val="419079368"/>
        <c:axId val="1"/>
      </c:barChart>
      <c:catAx>
        <c:axId val="419079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s-SV"/>
          </a:p>
        </c:txPr>
        <c:crossAx val="419079368"/>
        <c:crossesAt val="1"/>
        <c:crossBetween val="between"/>
      </c:valAx>
      <c:spPr>
        <a:noFill/>
        <a:ln w="12700">
          <a:solidFill>
            <a:srgbClr val="000000"/>
          </a:solidFill>
          <a:prstDash val="solid"/>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28642606667134E-2"/>
          <c:y val="0.23188569891940472"/>
          <c:w val="0.85102125619943414"/>
          <c:h val="0.40579997310895827"/>
        </c:manualLayout>
      </c:layout>
      <c:barChart>
        <c:barDir val="bar"/>
        <c:grouping val="percentStacked"/>
        <c:varyColors val="0"/>
        <c:ser>
          <c:idx val="0"/>
          <c:order val="0"/>
          <c:tx>
            <c:strRef>
              <c:f>'Introducción de datos'!$D$82</c:f>
              <c:strCache>
                <c:ptCount val="1"/>
                <c:pt idx="0">
                  <c:v> Cubiertos </c:v>
                </c:pt>
              </c:strCache>
            </c:strRef>
          </c:tx>
          <c:spPr>
            <a:solidFill>
              <a:srgbClr val="33CC33"/>
            </a:solidFill>
            <a:ln w="25400">
              <a:noFill/>
            </a:ln>
          </c:spPr>
          <c:invertIfNegative val="0"/>
          <c:dPt>
            <c:idx val="0"/>
            <c:invertIfNegative val="0"/>
            <c:bubble3D val="0"/>
            <c:spPr>
              <a:solidFill>
                <a:srgbClr val="99CC00"/>
              </a:solidFill>
              <a:ln w="25400">
                <a:noFill/>
              </a:ln>
            </c:spPr>
            <c:extLst>
              <c:ext xmlns:c16="http://schemas.microsoft.com/office/drawing/2014/chart" uri="{C3380CC4-5D6E-409C-BE32-E72D297353CC}">
                <c16:uniqueId val="{00000000-F47A-4414-A82A-8F056E07F70F}"/>
              </c:ext>
            </c:extLst>
          </c:dPt>
          <c:dLbls>
            <c:dLbl>
              <c:idx val="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F47A-4414-A82A-8F056E07F70F}"/>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datos'!$D$83</c:f>
              <c:numCache>
                <c:formatCode>General</c:formatCode>
                <c:ptCount val="1"/>
                <c:pt idx="0">
                  <c:v>6</c:v>
                </c:pt>
              </c:numCache>
            </c:numRef>
          </c:val>
          <c:extLst>
            <c:ext xmlns:c16="http://schemas.microsoft.com/office/drawing/2014/chart" uri="{C3380CC4-5D6E-409C-BE32-E72D297353CC}">
              <c16:uniqueId val="{00000001-F47A-4414-A82A-8F056E07F70F}"/>
            </c:ext>
          </c:extLst>
        </c:ser>
        <c:ser>
          <c:idx val="1"/>
          <c:order val="1"/>
          <c:tx>
            <c:strRef>
              <c:f>'Introducción de datos'!$E$82</c:f>
              <c:strCache>
                <c:ptCount val="1"/>
                <c:pt idx="0">
                  <c:v> Vacantes </c:v>
                </c:pt>
              </c:strCache>
            </c:strRef>
          </c:tx>
          <c:spPr>
            <a:solidFill>
              <a:srgbClr val="FF5050"/>
            </a:solidFill>
            <a:ln w="25400">
              <a:noFill/>
            </a:ln>
          </c:spPr>
          <c:invertIfNegative val="0"/>
          <c:dLbls>
            <c:dLbl>
              <c:idx val="0"/>
              <c:spPr>
                <a:noFill/>
                <a:ln w="25400">
                  <a:noFill/>
                </a:ln>
              </c:spPr>
              <c:txPr>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F47A-4414-A82A-8F056E07F70F}"/>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datos'!$E$83</c:f>
              <c:numCache>
                <c:formatCode>General</c:formatCode>
                <c:ptCount val="1"/>
                <c:pt idx="0">
                  <c:v>0</c:v>
                </c:pt>
              </c:numCache>
            </c:numRef>
          </c:val>
          <c:extLst>
            <c:ext xmlns:c16="http://schemas.microsoft.com/office/drawing/2014/chart" uri="{C3380CC4-5D6E-409C-BE32-E72D297353CC}">
              <c16:uniqueId val="{00000003-F47A-4414-A82A-8F056E07F70F}"/>
            </c:ext>
          </c:extLst>
        </c:ser>
        <c:dLbls>
          <c:showLegendKey val="0"/>
          <c:showVal val="0"/>
          <c:showCatName val="0"/>
          <c:showSerName val="0"/>
          <c:showPercent val="0"/>
          <c:showBubbleSize val="0"/>
        </c:dLbls>
        <c:gapWidth val="79"/>
        <c:overlap val="100"/>
        <c:axId val="419217728"/>
        <c:axId val="1"/>
      </c:barChart>
      <c:catAx>
        <c:axId val="419217728"/>
        <c:scaling>
          <c:orientation val="minMax"/>
        </c:scaling>
        <c:delete val="1"/>
        <c:axPos val="l"/>
        <c:majorTickMark val="out"/>
        <c:minorTickMark val="none"/>
        <c:tickLblPos val="nextTo"/>
        <c:crossAx val="1"/>
        <c:crossesAt val="0"/>
        <c:auto val="1"/>
        <c:lblAlgn val="ctr"/>
        <c:lblOffset val="100"/>
        <c:noMultiLvlLbl val="0"/>
      </c:catAx>
      <c:valAx>
        <c:axId val="1"/>
        <c:scaling>
          <c:orientation val="minMax"/>
        </c:scaling>
        <c:delete val="0"/>
        <c:axPos val="t"/>
        <c:majorGridlines>
          <c:spPr>
            <a:ln w="3175">
              <a:solidFill>
                <a:srgbClr val="808080"/>
              </a:solidFill>
              <a:prstDash val="solid"/>
            </a:ln>
          </c:spPr>
        </c:majorGridlines>
        <c:numFmt formatCode="0%"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419217728"/>
        <c:crosses val="max"/>
        <c:crossBetween val="between"/>
      </c:valAx>
      <c:spPr>
        <a:solidFill>
          <a:srgbClr val="FFFFFF"/>
        </a:solidFill>
        <a:ln w="25400">
          <a:noFill/>
        </a:ln>
      </c:spPr>
    </c:plotArea>
    <c:legend>
      <c:legendPos val="r"/>
      <c:layout>
        <c:manualLayout>
          <c:xMode val="edge"/>
          <c:yMode val="edge"/>
          <c:x val="0.2652285496568475"/>
          <c:y val="0.78286096542045058"/>
          <c:w val="0.41878192051081187"/>
          <c:h val="0.16000078125381473"/>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14965236541928"/>
          <c:y val="0.17616624880143095"/>
          <c:w val="0.86896746804837477"/>
          <c:h val="0.58549370925181465"/>
        </c:manualLayout>
      </c:layout>
      <c:barChart>
        <c:barDir val="col"/>
        <c:grouping val="clustered"/>
        <c:varyColors val="0"/>
        <c:ser>
          <c:idx val="0"/>
          <c:order val="0"/>
          <c:tx>
            <c:strRef>
              <c:f>'Introducción de datos'!$C$87</c:f>
              <c:strCache>
                <c:ptCount val="1"/>
                <c:pt idx="0">
                  <c:v> Identificados </c:v>
                </c:pt>
              </c:strCache>
            </c:strRef>
          </c:tx>
          <c:spPr>
            <a:solidFill>
              <a:srgbClr val="FFFFFF"/>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0-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datos'!$C$88</c:f>
              <c:numCache>
                <c:formatCode>General</c:formatCode>
                <c:ptCount val="1"/>
                <c:pt idx="0">
                  <c:v>8</c:v>
                </c:pt>
              </c:numCache>
            </c:numRef>
          </c:val>
          <c:extLst>
            <c:ext xmlns:c16="http://schemas.microsoft.com/office/drawing/2014/chart" uri="{C3380CC4-5D6E-409C-BE32-E72D297353CC}">
              <c16:uniqueId val="{00000001-98A8-461E-8847-4A4E581261CA}"/>
            </c:ext>
          </c:extLst>
        </c:ser>
        <c:ser>
          <c:idx val="1"/>
          <c:order val="1"/>
          <c:tx>
            <c:strRef>
              <c:f>'Introducción de datos'!$D$87</c:f>
              <c:strCache>
                <c:ptCount val="1"/>
                <c:pt idx="0">
                  <c:v> Evaluados </c:v>
                </c:pt>
              </c:strCache>
            </c:strRef>
          </c:tx>
          <c:spPr>
            <a:solidFill>
              <a:srgbClr val="F2F2F2"/>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2-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datos'!$D$88</c:f>
              <c:numCache>
                <c:formatCode>General</c:formatCode>
                <c:ptCount val="1"/>
                <c:pt idx="0">
                  <c:v>8</c:v>
                </c:pt>
              </c:numCache>
            </c:numRef>
          </c:val>
          <c:extLst>
            <c:ext xmlns:c16="http://schemas.microsoft.com/office/drawing/2014/chart" uri="{C3380CC4-5D6E-409C-BE32-E72D297353CC}">
              <c16:uniqueId val="{00000003-98A8-461E-8847-4A4E581261CA}"/>
            </c:ext>
          </c:extLst>
        </c:ser>
        <c:ser>
          <c:idx val="2"/>
          <c:order val="2"/>
          <c:tx>
            <c:strRef>
              <c:f>'Introducción de datos'!$E$87</c:f>
              <c:strCache>
                <c:ptCount val="1"/>
                <c:pt idx="0">
                  <c:v> Aprobados </c:v>
                </c:pt>
              </c:strCache>
            </c:strRef>
          </c:tx>
          <c:spPr>
            <a:solidFill>
              <a:srgbClr val="D9D9D9"/>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4-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datos'!$E$88</c:f>
              <c:numCache>
                <c:formatCode>General</c:formatCode>
                <c:ptCount val="1"/>
                <c:pt idx="0">
                  <c:v>8</c:v>
                </c:pt>
              </c:numCache>
            </c:numRef>
          </c:val>
          <c:extLst>
            <c:ext xmlns:c16="http://schemas.microsoft.com/office/drawing/2014/chart" uri="{C3380CC4-5D6E-409C-BE32-E72D297353CC}">
              <c16:uniqueId val="{00000005-98A8-461E-8847-4A4E581261CA}"/>
            </c:ext>
          </c:extLst>
        </c:ser>
        <c:ser>
          <c:idx val="3"/>
          <c:order val="3"/>
          <c:tx>
            <c:strRef>
              <c:f>'Introducción de datos'!$F$87</c:f>
              <c:strCache>
                <c:ptCount val="1"/>
                <c:pt idx="0">
                  <c:v> Firmados </c:v>
                </c:pt>
              </c:strCache>
            </c:strRef>
          </c:tx>
          <c:spPr>
            <a:solidFill>
              <a:srgbClr val="BFBFBF"/>
            </a:solidFill>
            <a:ln w="12700">
              <a:solidFill>
                <a:srgbClr val="000000"/>
              </a:solidFill>
              <a:prstDash val="solid"/>
            </a:ln>
          </c:spPr>
          <c:invertIfNegative val="0"/>
          <c:dLbls>
            <c:dLbl>
              <c:idx val="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6-98A8-461E-8847-4A4E581261CA}"/>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datos'!$F$88</c:f>
              <c:numCache>
                <c:formatCode>General</c:formatCode>
                <c:ptCount val="1"/>
                <c:pt idx="0">
                  <c:v>8</c:v>
                </c:pt>
              </c:numCache>
            </c:numRef>
          </c:val>
          <c:extLst>
            <c:ext xmlns:c16="http://schemas.microsoft.com/office/drawing/2014/chart" uri="{C3380CC4-5D6E-409C-BE32-E72D297353CC}">
              <c16:uniqueId val="{00000007-98A8-461E-8847-4A4E581261CA}"/>
            </c:ext>
          </c:extLst>
        </c:ser>
        <c:ser>
          <c:idx val="4"/>
          <c:order val="4"/>
          <c:tx>
            <c:strRef>
              <c:f>'Introducción de datos'!$G$87</c:f>
              <c:strCache>
                <c:ptCount val="1"/>
                <c:pt idx="0">
                  <c:v> Que reciben financiación </c:v>
                </c:pt>
              </c:strCache>
            </c:strRef>
          </c:tx>
          <c:spPr>
            <a:solidFill>
              <a:srgbClr val="A6A6A6"/>
            </a:solidFill>
            <a:ln w="25400">
              <a:noFill/>
            </a:ln>
          </c:spPr>
          <c:invertIfNegative val="0"/>
          <c:dPt>
            <c:idx val="0"/>
            <c:invertIfNegative val="0"/>
            <c:bubble3D val="0"/>
            <c:spPr>
              <a:solidFill>
                <a:srgbClr val="A6A6A6"/>
              </a:solidFill>
              <a:ln w="12700">
                <a:solidFill>
                  <a:srgbClr val="000000"/>
                </a:solidFill>
                <a:prstDash val="solid"/>
              </a:ln>
            </c:spPr>
            <c:extLst>
              <c:ext xmlns:c16="http://schemas.microsoft.com/office/drawing/2014/chart" uri="{C3380CC4-5D6E-409C-BE32-E72D297353CC}">
                <c16:uniqueId val="{00000008-98A8-461E-8847-4A4E581261CA}"/>
              </c:ext>
            </c:extLst>
          </c:dPt>
          <c:dLbls>
            <c:dLbl>
              <c:idx val="0"/>
              <c:spPr>
                <a:noFill/>
                <a:ln w="25400">
                  <a:noFill/>
                </a:ln>
              </c:spPr>
              <c:txPr>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8-98A8-461E-8847-4A4E581261CA}"/>
                </c:ext>
              </c:extLst>
            </c:dLbl>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datos'!$G$88</c:f>
              <c:numCache>
                <c:formatCode>General</c:formatCode>
                <c:ptCount val="1"/>
                <c:pt idx="0">
                  <c:v>8</c:v>
                </c:pt>
              </c:numCache>
            </c:numRef>
          </c:val>
          <c:extLst>
            <c:ext xmlns:c16="http://schemas.microsoft.com/office/drawing/2014/chart" uri="{C3380CC4-5D6E-409C-BE32-E72D297353CC}">
              <c16:uniqueId val="{00000009-98A8-461E-8847-4A4E581261CA}"/>
            </c:ext>
          </c:extLst>
        </c:ser>
        <c:dLbls>
          <c:showLegendKey val="0"/>
          <c:showVal val="0"/>
          <c:showCatName val="0"/>
          <c:showSerName val="0"/>
          <c:showPercent val="0"/>
          <c:showBubbleSize val="0"/>
        </c:dLbls>
        <c:gapWidth val="150"/>
        <c:overlap val="-20"/>
        <c:axId val="419213792"/>
        <c:axId val="1"/>
      </c:barChart>
      <c:catAx>
        <c:axId val="419213792"/>
        <c:scaling>
          <c:orientation val="minMax"/>
        </c:scaling>
        <c:delete val="0"/>
        <c:axPos val="b"/>
        <c:majorTickMark val="none"/>
        <c:minorTickMark val="none"/>
        <c:tickLblPos val="none"/>
        <c:spPr>
          <a:ln w="3175">
            <a:solidFill>
              <a:srgbClr val="000000"/>
            </a:solidFill>
            <a:prstDash val="solid"/>
          </a:ln>
        </c:spPr>
        <c:crossAx val="1"/>
        <c:crossesAt val="0"/>
        <c:auto val="0"/>
        <c:lblAlgn val="ctr"/>
        <c:lblOffset val="100"/>
        <c:tickMarkSkip val="1"/>
        <c:noMultiLvlLbl val="0"/>
      </c:cat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419213792"/>
        <c:crosses val="autoZero"/>
        <c:crossBetween val="between"/>
      </c:valAx>
      <c:spPr>
        <a:noFill/>
        <a:ln w="25400">
          <a:noFill/>
        </a:ln>
      </c:spPr>
    </c:plotArea>
    <c:legend>
      <c:legendPos val="r"/>
      <c:layout>
        <c:manualLayout>
          <c:xMode val="edge"/>
          <c:yMode val="edge"/>
          <c:x val="2.1428627481412568E-2"/>
          <c:y val="0.75965784633052391"/>
          <c:w val="0.85178794238614952"/>
          <c:h val="7.7253340304799037E-2"/>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368457410009674"/>
          <c:y val="0.11111186463666882"/>
          <c:w val="0.55789531033646211"/>
          <c:h val="0.52083686548438501"/>
        </c:manualLayout>
      </c:layout>
      <c:barChart>
        <c:barDir val="bar"/>
        <c:grouping val="percentStacked"/>
        <c:varyColors val="0"/>
        <c:ser>
          <c:idx val="0"/>
          <c:order val="0"/>
          <c:spPr>
            <a:solidFill>
              <a:srgbClr val="99CC00"/>
            </a:solidFill>
            <a:ln w="25400">
              <a:no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datos'!$B$76:$B$77</c:f>
              <c:strCache>
                <c:ptCount val="2"/>
                <c:pt idx="0">
                  <c:v> Condiciones precedentes </c:v>
                </c:pt>
                <c:pt idx="1">
                  <c:v> Acciones con fecha límite </c:v>
                </c:pt>
              </c:strCache>
            </c:strRef>
          </c:cat>
          <c:val>
            <c:numRef>
              <c:f>'Introducción de datos'!$D$76:$D$77</c:f>
              <c:numCache>
                <c:formatCode>0</c:formatCode>
                <c:ptCount val="2"/>
              </c:numCache>
            </c:numRef>
          </c:val>
          <c:extLst>
            <c:ext xmlns:c16="http://schemas.microsoft.com/office/drawing/2014/chart" uri="{C3380CC4-5D6E-409C-BE32-E72D297353CC}">
              <c16:uniqueId val="{00000000-4F28-43FF-AA35-FD82FE6626AB}"/>
            </c:ext>
          </c:extLst>
        </c:ser>
        <c:ser>
          <c:idx val="1"/>
          <c:order val="1"/>
          <c:spPr>
            <a:solidFill>
              <a:srgbClr val="FFFF99"/>
            </a:solidFill>
            <a:ln w="25400">
              <a:no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datos'!$B$76:$B$77</c:f>
              <c:strCache>
                <c:ptCount val="2"/>
                <c:pt idx="0">
                  <c:v> Condiciones precedentes </c:v>
                </c:pt>
                <c:pt idx="1">
                  <c:v> Acciones con fecha límite </c:v>
                </c:pt>
              </c:strCache>
            </c:strRef>
          </c:cat>
          <c:val>
            <c:numRef>
              <c:f>'Introducción de datos'!$E$76:$E$77</c:f>
              <c:numCache>
                <c:formatCode>0</c:formatCode>
                <c:ptCount val="2"/>
                <c:pt idx="0">
                  <c:v>0</c:v>
                </c:pt>
                <c:pt idx="1">
                  <c:v>0</c:v>
                </c:pt>
              </c:numCache>
            </c:numRef>
          </c:val>
          <c:extLst>
            <c:ext xmlns:c16="http://schemas.microsoft.com/office/drawing/2014/chart" uri="{C3380CC4-5D6E-409C-BE32-E72D297353CC}">
              <c16:uniqueId val="{00000001-4F28-43FF-AA35-FD82FE6626AB}"/>
            </c:ext>
          </c:extLst>
        </c:ser>
        <c:ser>
          <c:idx val="2"/>
          <c:order val="2"/>
          <c:spPr>
            <a:solidFill>
              <a:srgbClr val="FF5050"/>
            </a:solidFill>
            <a:ln w="25400">
              <a:no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datos'!$B$76:$B$77</c:f>
              <c:strCache>
                <c:ptCount val="2"/>
                <c:pt idx="0">
                  <c:v> Condiciones precedentes </c:v>
                </c:pt>
                <c:pt idx="1">
                  <c:v> Acciones con fecha límite </c:v>
                </c:pt>
              </c:strCache>
            </c:strRef>
          </c:cat>
          <c:val>
            <c:numRef>
              <c:f>'Introducción de datos'!$F$76:$F$77</c:f>
              <c:numCache>
                <c:formatCode>0</c:formatCode>
                <c:ptCount val="2"/>
                <c:pt idx="0">
                  <c:v>0</c:v>
                </c:pt>
                <c:pt idx="1">
                  <c:v>0</c:v>
                </c:pt>
              </c:numCache>
            </c:numRef>
          </c:val>
          <c:extLst>
            <c:ext xmlns:c16="http://schemas.microsoft.com/office/drawing/2014/chart" uri="{C3380CC4-5D6E-409C-BE32-E72D297353CC}">
              <c16:uniqueId val="{00000002-4F28-43FF-AA35-FD82FE6626AB}"/>
            </c:ext>
          </c:extLst>
        </c:ser>
        <c:dLbls>
          <c:showLegendKey val="0"/>
          <c:showVal val="0"/>
          <c:showCatName val="0"/>
          <c:showSerName val="0"/>
          <c:showPercent val="0"/>
          <c:showBubbleSize val="0"/>
        </c:dLbls>
        <c:gapWidth val="70"/>
        <c:overlap val="100"/>
        <c:axId val="419216416"/>
        <c:axId val="1"/>
      </c:barChart>
      <c:catAx>
        <c:axId val="4192164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419216416"/>
        <c:crossesAt val="1"/>
        <c:crossBetween val="between"/>
      </c:valAx>
      <c:spPr>
        <a:noFill/>
        <a:ln w="25400">
          <a:noFill/>
        </a:ln>
      </c:spPr>
    </c:plotArea>
    <c:legend>
      <c:legendPos val="r"/>
      <c:layout>
        <c:manualLayout>
          <c:xMode val="edge"/>
          <c:yMode val="edge"/>
          <c:x val="1.4705914618809683E-2"/>
          <c:y val="0.68571763394492014"/>
          <c:w val="0.93627656406421644"/>
          <c:h val="0.16000078125381473"/>
        </c:manualLayout>
      </c:layout>
      <c:overlay val="0"/>
      <c:spPr>
        <a:noFill/>
        <a:ln w="25400">
          <a:noFill/>
        </a:ln>
      </c:spPr>
      <c:txPr>
        <a:bodyPr/>
        <a:lstStyle/>
        <a:p>
          <a:pPr>
            <a:defRPr sz="435"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543906839204424"/>
          <c:y val="0.15463917525773196"/>
          <c:w val="0.5403518029601887"/>
          <c:h val="0.52577319587628868"/>
        </c:manualLayout>
      </c:layout>
      <c:barChart>
        <c:barDir val="bar"/>
        <c:grouping val="percentStacked"/>
        <c:varyColors val="0"/>
        <c:ser>
          <c:idx val="0"/>
          <c:order val="0"/>
          <c:tx>
            <c:strRef>
              <c:f>'Introducción de datos'!$D$92</c:f>
              <c:strCache>
                <c:ptCount val="1"/>
                <c:pt idx="0">
                  <c:v> Recibidos </c:v>
                </c:pt>
              </c:strCache>
            </c:strRef>
          </c:tx>
          <c:spPr>
            <a:solidFill>
              <a:srgbClr val="99CC00"/>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datos'!$B$93:$B$94</c:f>
              <c:strCache>
                <c:ptCount val="2"/>
                <c:pt idx="0">
                  <c:v> Sub SR al SR </c:v>
                </c:pt>
                <c:pt idx="1">
                  <c:v> SR al RP </c:v>
                </c:pt>
              </c:strCache>
            </c:strRef>
          </c:cat>
          <c:val>
            <c:numRef>
              <c:f>'Introducción de datos'!$D$93:$D$94</c:f>
              <c:numCache>
                <c:formatCode>0</c:formatCode>
                <c:ptCount val="2"/>
                <c:pt idx="0">
                  <c:v>0</c:v>
                </c:pt>
                <c:pt idx="1">
                  <c:v>16</c:v>
                </c:pt>
              </c:numCache>
            </c:numRef>
          </c:val>
          <c:extLst>
            <c:ext xmlns:c16="http://schemas.microsoft.com/office/drawing/2014/chart" uri="{C3380CC4-5D6E-409C-BE32-E72D297353CC}">
              <c16:uniqueId val="{00000000-12D4-4DAE-A739-C7634014C24F}"/>
            </c:ext>
          </c:extLst>
        </c:ser>
        <c:ser>
          <c:idx val="1"/>
          <c:order val="1"/>
          <c:tx>
            <c:strRef>
              <c:f>'Introducción de datos'!$E$92</c:f>
              <c:strCache>
                <c:ptCount val="1"/>
                <c:pt idx="0">
                  <c:v> Pendientes </c:v>
                </c:pt>
              </c:strCache>
            </c:strRef>
          </c:tx>
          <c:spPr>
            <a:solidFill>
              <a:srgbClr val="FF5050"/>
            </a:solidFill>
            <a:ln w="25400">
              <a:noFill/>
            </a:ln>
          </c:spPr>
          <c:invertIfNegative val="0"/>
          <c:dLbls>
            <c:dLbl>
              <c:idx val="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1-12D4-4DAE-A739-C7634014C24F}"/>
                </c:ext>
              </c:extLst>
            </c:dLbl>
            <c:dLbl>
              <c:idx val="1"/>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12D4-4DAE-A739-C7634014C24F}"/>
                </c:ext>
              </c:extLst>
            </c:dLbl>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datos'!$B$93:$B$94</c:f>
              <c:strCache>
                <c:ptCount val="2"/>
                <c:pt idx="0">
                  <c:v> Sub SR al SR </c:v>
                </c:pt>
                <c:pt idx="1">
                  <c:v> SR al RP </c:v>
                </c:pt>
              </c:strCache>
            </c:strRef>
          </c:cat>
          <c:val>
            <c:numRef>
              <c:f>'Introducción de datos'!$E$93:$E$94</c:f>
              <c:numCache>
                <c:formatCode>0</c:formatCode>
                <c:ptCount val="2"/>
                <c:pt idx="0">
                  <c:v>0</c:v>
                </c:pt>
                <c:pt idx="1">
                  <c:v>0</c:v>
                </c:pt>
              </c:numCache>
            </c:numRef>
          </c:val>
          <c:extLst>
            <c:ext xmlns:c16="http://schemas.microsoft.com/office/drawing/2014/chart" uri="{C3380CC4-5D6E-409C-BE32-E72D297353CC}">
              <c16:uniqueId val="{00000003-12D4-4DAE-A739-C7634014C24F}"/>
            </c:ext>
          </c:extLst>
        </c:ser>
        <c:dLbls>
          <c:showLegendKey val="0"/>
          <c:showVal val="0"/>
          <c:showCatName val="0"/>
          <c:showSerName val="0"/>
          <c:showPercent val="0"/>
          <c:showBubbleSize val="0"/>
        </c:dLbls>
        <c:gapWidth val="79"/>
        <c:overlap val="100"/>
        <c:axId val="419459360"/>
        <c:axId val="1"/>
      </c:barChart>
      <c:catAx>
        <c:axId val="419459360"/>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1"/>
        <c:crossesAt val="0"/>
        <c:auto val="1"/>
        <c:lblAlgn val="ctr"/>
        <c:lblOffset val="100"/>
        <c:tickLblSkip val="1"/>
        <c:tickMarkSkip val="1"/>
        <c:noMultiLvlLbl val="0"/>
      </c:catAx>
      <c:valAx>
        <c:axId val="1"/>
        <c:scaling>
          <c:orientation val="minMax"/>
        </c:scaling>
        <c:delete val="0"/>
        <c:axPos val="t"/>
        <c:majorGridlines>
          <c:spPr>
            <a:ln w="3175">
              <a:solidFill>
                <a:srgbClr val="808080"/>
              </a:solidFill>
              <a:prstDash val="solid"/>
            </a:ln>
          </c:spPr>
        </c:majorGridlines>
        <c:numFmt formatCode="0%" sourceLinked="1"/>
        <c:majorTickMark val="out"/>
        <c:minorTickMark val="none"/>
        <c:tickLblPos val="low"/>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419459360"/>
        <c:crosses val="max"/>
        <c:crossBetween val="between"/>
      </c:valAx>
      <c:spPr>
        <a:solidFill>
          <a:srgbClr val="FFFFFF"/>
        </a:solidFill>
        <a:ln w="25400">
          <a:noFill/>
        </a:ln>
      </c:spPr>
    </c:plotArea>
    <c:legend>
      <c:legendPos val="r"/>
      <c:layout>
        <c:manualLayout>
          <c:xMode val="edge"/>
          <c:yMode val="edge"/>
          <c:x val="0.33894565572708146"/>
          <c:y val="0.80342089901367963"/>
          <c:w val="0.29966387443420783"/>
          <c:h val="0.11965843176799486"/>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03296703296702"/>
          <c:y val="0.13513538989991158"/>
          <c:w val="0.78021978021978022"/>
          <c:h val="0.53668054845964885"/>
        </c:manualLayout>
      </c:layout>
      <c:lineChart>
        <c:grouping val="standard"/>
        <c:varyColors val="0"/>
        <c:ser>
          <c:idx val="0"/>
          <c:order val="0"/>
          <c:spPr>
            <a:ln w="25400">
              <a:solidFill>
                <a:srgbClr val="000080"/>
              </a:solidFill>
              <a:prstDash val="solid"/>
            </a:ln>
          </c:spPr>
          <c:marker>
            <c:symbol val="diamond"/>
            <c:size val="6"/>
            <c:spPr>
              <a:solidFill>
                <a:srgbClr val="000080"/>
              </a:solidFill>
              <a:ln>
                <a:solidFill>
                  <a:srgbClr val="000080"/>
                </a:solidFill>
                <a:prstDash val="solid"/>
              </a:ln>
            </c:spPr>
          </c:marker>
          <c:val>
            <c:numRef>
              <c:f>'Introducción de datos'!$C$103:$N$103</c:f>
              <c:numCache>
                <c:formatCode>#.##0</c:formatCode>
                <c:ptCount val="12"/>
                <c:pt idx="0">
                  <c:v>928047.13</c:v>
                </c:pt>
                <c:pt idx="1">
                  <c:v>928047.13</c:v>
                </c:pt>
                <c:pt idx="2">
                  <c:v>959873.9</c:v>
                </c:pt>
                <c:pt idx="3">
                  <c:v>959873.9</c:v>
                </c:pt>
                <c:pt idx="4">
                  <c:v>959873.9</c:v>
                </c:pt>
                <c:pt idx="5">
                  <c:v>959873.9</c:v>
                </c:pt>
                <c:pt idx="6">
                  <c:v>959873.9</c:v>
                </c:pt>
                <c:pt idx="7">
                  <c:v>959873.9</c:v>
                </c:pt>
                <c:pt idx="8">
                  <c:v>959873.9</c:v>
                </c:pt>
                <c:pt idx="9">
                  <c:v>959873.9</c:v>
                </c:pt>
                <c:pt idx="10">
                  <c:v>959873.9</c:v>
                </c:pt>
                <c:pt idx="11">
                  <c:v>959873.9</c:v>
                </c:pt>
              </c:numCache>
            </c:numRef>
          </c:val>
          <c:smooth val="0"/>
          <c:extLst>
            <c:ext xmlns:c16="http://schemas.microsoft.com/office/drawing/2014/chart" uri="{C3380CC4-5D6E-409C-BE32-E72D297353CC}">
              <c16:uniqueId val="{00000000-F289-4D52-BCFE-0AB397B6796A}"/>
            </c:ext>
          </c:extLst>
        </c:ser>
        <c:ser>
          <c:idx val="1"/>
          <c:order val="1"/>
          <c:spPr>
            <a:ln w="12700">
              <a:solidFill>
                <a:srgbClr val="3366FF"/>
              </a:solidFill>
              <a:prstDash val="solid"/>
            </a:ln>
          </c:spPr>
          <c:marker>
            <c:symbol val="square"/>
            <c:size val="5"/>
            <c:spPr>
              <a:solidFill>
                <a:srgbClr val="3366FF"/>
              </a:solidFill>
              <a:ln>
                <a:solidFill>
                  <a:srgbClr val="3366FF"/>
                </a:solidFill>
                <a:prstDash val="solid"/>
              </a:ln>
            </c:spPr>
          </c:marker>
          <c:val>
            <c:numRef>
              <c:f>'Introducción de datos'!$C$104:$N$104</c:f>
              <c:numCache>
                <c:formatCode>#.##0</c:formatCode>
                <c:ptCount val="12"/>
                <c:pt idx="0">
                  <c:v>0</c:v>
                </c:pt>
                <c:pt idx="1">
                  <c:v>321963.14</c:v>
                </c:pt>
                <c:pt idx="2">
                  <c:v>321963.14</c:v>
                </c:pt>
                <c:pt idx="3">
                  <c:v>321963.14</c:v>
                </c:pt>
                <c:pt idx="4">
                  <c:v>321963.14</c:v>
                </c:pt>
                <c:pt idx="5">
                  <c:v>321963.14</c:v>
                </c:pt>
                <c:pt idx="6">
                  <c:v>321963.14</c:v>
                </c:pt>
                <c:pt idx="7">
                  <c:v>321963.14</c:v>
                </c:pt>
                <c:pt idx="8">
                  <c:v>321963.14</c:v>
                </c:pt>
                <c:pt idx="9">
                  <c:v>321963.14</c:v>
                </c:pt>
                <c:pt idx="10">
                  <c:v>321963.14</c:v>
                </c:pt>
                <c:pt idx="11">
                  <c:v>321963.14</c:v>
                </c:pt>
              </c:numCache>
            </c:numRef>
          </c:val>
          <c:smooth val="0"/>
          <c:extLst>
            <c:ext xmlns:c16="http://schemas.microsoft.com/office/drawing/2014/chart" uri="{C3380CC4-5D6E-409C-BE32-E72D297353CC}">
              <c16:uniqueId val="{00000001-F289-4D52-BCFE-0AB397B6796A}"/>
            </c:ext>
          </c:extLst>
        </c:ser>
        <c:ser>
          <c:idx val="2"/>
          <c:order val="2"/>
          <c:spPr>
            <a:ln w="25400">
              <a:solidFill>
                <a:srgbClr val="FFCC99"/>
              </a:solidFill>
              <a:prstDash val="solid"/>
            </a:ln>
          </c:spPr>
          <c:marker>
            <c:symbol val="triangle"/>
            <c:size val="5"/>
            <c:spPr>
              <a:solidFill>
                <a:srgbClr val="FFCC99"/>
              </a:solidFill>
              <a:ln>
                <a:solidFill>
                  <a:srgbClr val="FFCC99"/>
                </a:solidFill>
                <a:prstDash val="solid"/>
              </a:ln>
            </c:spPr>
          </c:marker>
          <c:val>
            <c:numRef>
              <c:f>'Introducción de datos'!$C$105:$N$105</c:f>
              <c:numCache>
                <c:formatCode>#.##0</c:formatCode>
                <c:ptCount val="12"/>
                <c:pt idx="0">
                  <c:v>33385.26</c:v>
                </c:pt>
                <c:pt idx="1">
                  <c:v>258341.16</c:v>
                </c:pt>
                <c:pt idx="2">
                  <c:v>720135</c:v>
                </c:pt>
                <c:pt idx="3">
                  <c:v>740637.75</c:v>
                </c:pt>
                <c:pt idx="4">
                  <c:v>740637.75</c:v>
                </c:pt>
                <c:pt idx="5">
                  <c:v>740637.75</c:v>
                </c:pt>
                <c:pt idx="6">
                  <c:v>740637.75</c:v>
                </c:pt>
                <c:pt idx="7">
                  <c:v>740637.75</c:v>
                </c:pt>
                <c:pt idx="8">
                  <c:v>740637.75</c:v>
                </c:pt>
                <c:pt idx="9">
                  <c:v>740637.75</c:v>
                </c:pt>
                <c:pt idx="10">
                  <c:v>740637.75</c:v>
                </c:pt>
                <c:pt idx="11">
                  <c:v>740637.75</c:v>
                </c:pt>
              </c:numCache>
            </c:numRef>
          </c:val>
          <c:smooth val="0"/>
          <c:extLst>
            <c:ext xmlns:c16="http://schemas.microsoft.com/office/drawing/2014/chart" uri="{C3380CC4-5D6E-409C-BE32-E72D297353CC}">
              <c16:uniqueId val="{00000002-F289-4D52-BCFE-0AB397B6796A}"/>
            </c:ext>
          </c:extLst>
        </c:ser>
        <c:dLbls>
          <c:showLegendKey val="0"/>
          <c:showVal val="0"/>
          <c:showCatName val="0"/>
          <c:showSerName val="0"/>
          <c:showPercent val="0"/>
          <c:showBubbleSize val="0"/>
        </c:dLbls>
        <c:marker val="1"/>
        <c:smooth val="0"/>
        <c:axId val="419461656"/>
        <c:axId val="1"/>
      </c:lineChart>
      <c:catAx>
        <c:axId val="419461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SV"/>
          </a:p>
        </c:txPr>
        <c:crossAx val="419461656"/>
        <c:crossesAt val="1"/>
        <c:crossBetween val="midCat"/>
      </c:valAx>
      <c:spPr>
        <a:solidFill>
          <a:srgbClr val="FFFFFF"/>
        </a:solidFill>
        <a:ln w="12700">
          <a:solidFill>
            <a:srgbClr val="808080"/>
          </a:solidFill>
          <a:prstDash val="solid"/>
        </a:ln>
      </c:spPr>
    </c:plotArea>
    <c:legend>
      <c:legendPos val="r"/>
      <c:layout>
        <c:manualLayout>
          <c:xMode val="edge"/>
          <c:yMode val="edge"/>
          <c:x val="2.2222231496323911E-2"/>
          <c:y val="0.67544124843440634"/>
          <c:w val="0.83418838232354353"/>
          <c:h val="0.19883119001532307"/>
        </c:manualLayout>
      </c:layout>
      <c:overlay val="0"/>
      <c:spPr>
        <a:noFill/>
        <a:ln w="25400">
          <a:noFill/>
        </a:ln>
      </c:spPr>
      <c:txPr>
        <a:bodyPr/>
        <a:lstStyle/>
        <a:p>
          <a:pPr>
            <a:defRPr sz="450" b="0" i="0" u="none" strike="noStrike" baseline="0">
              <a:solidFill>
                <a:srgbClr val="000000"/>
              </a:solidFill>
              <a:latin typeface="Arial"/>
              <a:ea typeface="Arial"/>
              <a:cs typeface="Arial"/>
            </a:defRPr>
          </a:pPr>
          <a:endParaRPr lang="es-SV"/>
        </a:p>
      </c:txPr>
    </c:legend>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65573770491803"/>
          <c:y val="0.1295340064716404"/>
          <c:w val="0.78032786885245897"/>
          <c:h val="0.61658187080500826"/>
        </c:manualLayout>
      </c:layout>
      <c:barChart>
        <c:barDir val="col"/>
        <c:grouping val="clustered"/>
        <c:varyColors val="0"/>
        <c:ser>
          <c:idx val="0"/>
          <c:order val="0"/>
          <c:spPr>
            <a:solidFill>
              <a:srgbClr val="0066CC"/>
            </a:solidFill>
            <a:ln w="25400">
              <a:noFill/>
            </a:ln>
          </c:spPr>
          <c:invertIfNegative val="0"/>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datos'!$H$132:$Q$132</c:f>
              <c:numCache>
                <c:formatCode>#.##0</c:formatCode>
                <c:ptCount val="10"/>
                <c:pt idx="1">
                  <c:v>9714</c:v>
                </c:pt>
                <c:pt idx="3">
                  <c:v>9712</c:v>
                </c:pt>
              </c:numCache>
            </c:numRef>
          </c:val>
          <c:extLst>
            <c:ext xmlns:c16="http://schemas.microsoft.com/office/drawing/2014/chart" uri="{C3380CC4-5D6E-409C-BE32-E72D297353CC}">
              <c16:uniqueId val="{00000000-60FD-47D7-801E-DDB340344B6E}"/>
            </c:ext>
          </c:extLst>
        </c:ser>
        <c:ser>
          <c:idx val="1"/>
          <c:order val="1"/>
          <c:spPr>
            <a:solidFill>
              <a:srgbClr val="00CCFF"/>
            </a:solidFill>
            <a:ln w="12700">
              <a:solidFill>
                <a:srgbClr val="000000"/>
              </a:solidFill>
              <a:prstDash val="solid"/>
            </a:ln>
          </c:spPr>
          <c:invertIfNegative val="0"/>
          <c:cat>
            <c:strRef>
              <c:f>'Introducción de datos'!$H$128:$Q$128</c:f>
              <c:strCache>
                <c:ptCount val="10"/>
                <c:pt idx="0">
                  <c:v>P1</c:v>
                </c:pt>
                <c:pt idx="1">
                  <c:v>P2</c:v>
                </c:pt>
                <c:pt idx="2">
                  <c:v>P3</c:v>
                </c:pt>
                <c:pt idx="3">
                  <c:v>P4</c:v>
                </c:pt>
                <c:pt idx="4">
                  <c:v>P5</c:v>
                </c:pt>
                <c:pt idx="5">
                  <c:v>P6</c:v>
                </c:pt>
                <c:pt idx="6">
                  <c:v>P7</c:v>
                </c:pt>
                <c:pt idx="7">
                  <c:v>P8</c:v>
                </c:pt>
                <c:pt idx="8">
                  <c:v>P9</c:v>
                </c:pt>
                <c:pt idx="9">
                  <c:v>P10</c:v>
                </c:pt>
              </c:strCache>
            </c:strRef>
          </c:cat>
          <c:val>
            <c:numRef>
              <c:f>'Introducción de datos'!$H$133:$Q$133</c:f>
              <c:numCache>
                <c:formatCode>#.##0</c:formatCode>
                <c:ptCount val="10"/>
                <c:pt idx="1">
                  <c:v>9766</c:v>
                </c:pt>
                <c:pt idx="3">
                  <c:v>9622</c:v>
                </c:pt>
              </c:numCache>
            </c:numRef>
          </c:val>
          <c:extLst>
            <c:ext xmlns:c16="http://schemas.microsoft.com/office/drawing/2014/chart" uri="{C3380CC4-5D6E-409C-BE32-E72D297353CC}">
              <c16:uniqueId val="{00000001-60FD-47D7-801E-DDB340344B6E}"/>
            </c:ext>
          </c:extLst>
        </c:ser>
        <c:dLbls>
          <c:showLegendKey val="0"/>
          <c:showVal val="0"/>
          <c:showCatName val="0"/>
          <c:showSerName val="0"/>
          <c:showPercent val="0"/>
          <c:showBubbleSize val="0"/>
        </c:dLbls>
        <c:gapWidth val="150"/>
        <c:axId val="419460344"/>
        <c:axId val="1"/>
      </c:barChart>
      <c:catAx>
        <c:axId val="419460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At val="0"/>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_ * #,##0_ ;_ * \-#,##0_ ;_ * \-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419460344"/>
        <c:crossesAt val="1"/>
        <c:crossBetween val="between"/>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250;!A1"/><Relationship Id="rId1" Type="http://schemas.openxmlformats.org/officeDocument/2006/relationships/hyperlink" Target="http://www.crwflags.com/fotw/flags/country.html#http://www.crwflags.com/fotw/flags/country.html"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250;!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250;!A1"/></Relationships>
</file>

<file path=xl/drawings/_rels/drawing9.xml.rels><?xml version="1.0" encoding="UTF-8" standalone="yes"?>
<Relationships xmlns="http://schemas.openxmlformats.org/package/2006/relationships"><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137160</xdr:rowOff>
    </xdr:from>
    <xdr:to>
      <xdr:col>11</xdr:col>
      <xdr:colOff>548640</xdr:colOff>
      <xdr:row>19</xdr:row>
      <xdr:rowOff>99060</xdr:rowOff>
    </xdr:to>
    <xdr:pic>
      <xdr:nvPicPr>
        <xdr:cNvPr id="6697428" name="Picture 2">
          <a:extLst>
            <a:ext uri="{FF2B5EF4-FFF2-40B4-BE49-F238E27FC236}">
              <a16:creationId xmlns:a16="http://schemas.microsoft.com/office/drawing/2014/main" id="{52FA14FA-73A6-4A3F-9E4C-C4E3E9FB1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351" t="36855" r="9529"/>
        <a:stretch>
          <a:fillRect/>
        </a:stretch>
      </xdr:blipFill>
      <xdr:spPr bwMode="auto">
        <a:xfrm>
          <a:off x="38100" y="1371600"/>
          <a:ext cx="776478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7</xdr:col>
      <xdr:colOff>708660</xdr:colOff>
      <xdr:row>7</xdr:row>
      <xdr:rowOff>45720</xdr:rowOff>
    </xdr:from>
    <xdr:to>
      <xdr:col>11</xdr:col>
      <xdr:colOff>457200</xdr:colOff>
      <xdr:row>18</xdr:row>
      <xdr:rowOff>137160</xdr:rowOff>
    </xdr:to>
    <xdr:pic>
      <xdr:nvPicPr>
        <xdr:cNvPr id="6697429" name="Picture 824">
          <a:extLst>
            <a:ext uri="{FF2B5EF4-FFF2-40B4-BE49-F238E27FC236}">
              <a16:creationId xmlns:a16="http://schemas.microsoft.com/office/drawing/2014/main" id="{289752E2-D2CC-41D6-A3D9-30FCFBB52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4020" y="1828800"/>
          <a:ext cx="2217420" cy="2103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xdr:col>
      <xdr:colOff>266700</xdr:colOff>
      <xdr:row>7</xdr:row>
      <xdr:rowOff>99060</xdr:rowOff>
    </xdr:from>
    <xdr:to>
      <xdr:col>7</xdr:col>
      <xdr:colOff>571500</xdr:colOff>
      <xdr:row>18</xdr:row>
      <xdr:rowOff>76200</xdr:rowOff>
    </xdr:to>
    <xdr:sp macro="" textlink="">
      <xdr:nvSpPr>
        <xdr:cNvPr id="6697430" name="AutoShape 27">
          <a:extLst>
            <a:ext uri="{FF2B5EF4-FFF2-40B4-BE49-F238E27FC236}">
              <a16:creationId xmlns:a16="http://schemas.microsoft.com/office/drawing/2014/main" id="{57A1B753-76BC-4438-AD2C-357C8623151C}"/>
            </a:ext>
          </a:extLst>
        </xdr:cNvPr>
        <xdr:cNvSpPr>
          <a:spLocks noChangeArrowheads="1"/>
        </xdr:cNvSpPr>
      </xdr:nvSpPr>
      <xdr:spPr bwMode="auto">
        <a:xfrm>
          <a:off x="2697480" y="1882140"/>
          <a:ext cx="2659380" cy="1988820"/>
        </a:xfrm>
        <a:prstGeom prst="roundRect">
          <a:avLst>
            <a:gd name="adj" fmla="val 11921"/>
          </a:avLst>
        </a:prstGeom>
        <a:gradFill rotWithShape="0">
          <a:gsLst>
            <a:gs pos="0">
              <a:srgbClr val="B24B48"/>
            </a:gs>
            <a:gs pos="100000">
              <a:srgbClr val="D48886"/>
            </a:gs>
          </a:gsLst>
          <a:lin ang="5400000" scaled="1"/>
        </a:gradFill>
        <a:ln w="9360" cap="sq">
          <a:solidFill>
            <a:srgbClr val="FEFEFE"/>
          </a:solidFill>
          <a:miter lim="800000"/>
          <a:headEnd/>
          <a:tailEnd/>
        </a:ln>
      </xdr:spPr>
    </xdr:sp>
    <xdr:clientData/>
  </xdr:twoCellAnchor>
  <xdr:twoCellAnchor>
    <xdr:from>
      <xdr:col>5</xdr:col>
      <xdr:colOff>297180</xdr:colOff>
      <xdr:row>10</xdr:row>
      <xdr:rowOff>45720</xdr:rowOff>
    </xdr:from>
    <xdr:to>
      <xdr:col>6</xdr:col>
      <xdr:colOff>609600</xdr:colOff>
      <xdr:row>12</xdr:row>
      <xdr:rowOff>38100</xdr:rowOff>
    </xdr:to>
    <xdr:sp macro="" textlink="">
      <xdr:nvSpPr>
        <xdr:cNvPr id="6697431" name="AutoShape 26">
          <a:extLst>
            <a:ext uri="{FF2B5EF4-FFF2-40B4-BE49-F238E27FC236}">
              <a16:creationId xmlns:a16="http://schemas.microsoft.com/office/drawing/2014/main" id="{6611D790-6873-4662-BBE9-6EE44961A2D2}"/>
            </a:ext>
          </a:extLst>
        </xdr:cNvPr>
        <xdr:cNvSpPr>
          <a:spLocks noChangeArrowheads="1"/>
        </xdr:cNvSpPr>
      </xdr:nvSpPr>
      <xdr:spPr bwMode="auto">
        <a:xfrm>
          <a:off x="3512820" y="2377440"/>
          <a:ext cx="1097280" cy="3581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5</xdr:col>
      <xdr:colOff>325755</xdr:colOff>
      <xdr:row>10</xdr:row>
      <xdr:rowOff>85725</xdr:rowOff>
    </xdr:from>
    <xdr:to>
      <xdr:col>6</xdr:col>
      <xdr:colOff>639969</xdr:colOff>
      <xdr:row>12</xdr:row>
      <xdr:rowOff>1905</xdr:rowOff>
    </xdr:to>
    <xdr:sp macro="" textlink="" fLocksText="0">
      <xdr:nvSpPr>
        <xdr:cNvPr id="1029" name="AutoShape 27">
          <a:hlinkClick xmlns:r="http://schemas.openxmlformats.org/officeDocument/2006/relationships" r:id="rId3"/>
          <a:extLst>
            <a:ext uri="{FF2B5EF4-FFF2-40B4-BE49-F238E27FC236}">
              <a16:creationId xmlns:a16="http://schemas.microsoft.com/office/drawing/2014/main" id="{C357C218-525D-435C-B41C-CE8EFD639824}"/>
            </a:ext>
          </a:extLst>
        </xdr:cNvPr>
        <xdr:cNvSpPr>
          <a:spLocks noChangeArrowheads="1"/>
        </xdr:cNvSpPr>
      </xdr:nvSpPr>
      <xdr:spPr bwMode="auto">
        <a:xfrm>
          <a:off x="3429000" y="2466975"/>
          <a:ext cx="1028700"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Financieros</a:t>
          </a:r>
        </a:p>
      </xdr:txBody>
    </xdr:sp>
    <xdr:clientData/>
  </xdr:twoCellAnchor>
  <xdr:twoCellAnchor>
    <xdr:from>
      <xdr:col>5</xdr:col>
      <xdr:colOff>320040</xdr:colOff>
      <xdr:row>10</xdr:row>
      <xdr:rowOff>99060</xdr:rowOff>
    </xdr:from>
    <xdr:to>
      <xdr:col>5</xdr:col>
      <xdr:colOff>434340</xdr:colOff>
      <xdr:row>11</xdr:row>
      <xdr:rowOff>60960</xdr:rowOff>
    </xdr:to>
    <xdr:sp macro="" textlink="">
      <xdr:nvSpPr>
        <xdr:cNvPr id="6697433" name="Freeform 28">
          <a:extLst>
            <a:ext uri="{FF2B5EF4-FFF2-40B4-BE49-F238E27FC236}">
              <a16:creationId xmlns:a16="http://schemas.microsoft.com/office/drawing/2014/main" id="{09F2E44D-3388-4D70-B750-4E17C469EF56}"/>
            </a:ext>
          </a:extLst>
        </xdr:cNvPr>
        <xdr:cNvSpPr>
          <a:spLocks noChangeArrowheads="1"/>
        </xdr:cNvSpPr>
      </xdr:nvSpPr>
      <xdr:spPr bwMode="auto">
        <a:xfrm>
          <a:off x="3535680" y="2430780"/>
          <a:ext cx="114300" cy="14478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5</xdr:col>
      <xdr:colOff>312420</xdr:colOff>
      <xdr:row>15</xdr:row>
      <xdr:rowOff>167640</xdr:rowOff>
    </xdr:from>
    <xdr:to>
      <xdr:col>6</xdr:col>
      <xdr:colOff>624840</xdr:colOff>
      <xdr:row>17</xdr:row>
      <xdr:rowOff>152400</xdr:rowOff>
    </xdr:to>
    <xdr:sp macro="" textlink="">
      <xdr:nvSpPr>
        <xdr:cNvPr id="6697434" name="AutoShape 26">
          <a:extLst>
            <a:ext uri="{FF2B5EF4-FFF2-40B4-BE49-F238E27FC236}">
              <a16:creationId xmlns:a16="http://schemas.microsoft.com/office/drawing/2014/main" id="{57EB7B68-7D1F-437E-A461-A9131E8E3F31}"/>
            </a:ext>
          </a:extLst>
        </xdr:cNvPr>
        <xdr:cNvSpPr>
          <a:spLocks noChangeArrowheads="1"/>
        </xdr:cNvSpPr>
      </xdr:nvSpPr>
      <xdr:spPr bwMode="auto">
        <a:xfrm>
          <a:off x="3528060" y="3413760"/>
          <a:ext cx="1097280" cy="35052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5</xdr:col>
      <xdr:colOff>325755</xdr:colOff>
      <xdr:row>16</xdr:row>
      <xdr:rowOff>36195</xdr:rowOff>
    </xdr:from>
    <xdr:to>
      <xdr:col>6</xdr:col>
      <xdr:colOff>682450</xdr:colOff>
      <xdr:row>17</xdr:row>
      <xdr:rowOff>112682</xdr:rowOff>
    </xdr:to>
    <xdr:sp macro="" textlink="" fLocksText="0">
      <xdr:nvSpPr>
        <xdr:cNvPr id="1032" name="AutoShape 27">
          <a:hlinkClick xmlns:r="http://schemas.openxmlformats.org/officeDocument/2006/relationships" r:id="rId4"/>
          <a:extLst>
            <a:ext uri="{FF2B5EF4-FFF2-40B4-BE49-F238E27FC236}">
              <a16:creationId xmlns:a16="http://schemas.microsoft.com/office/drawing/2014/main" id="{5983BEE7-0D38-4B00-BD1D-2B0CF8D36834}"/>
            </a:ext>
          </a:extLst>
        </xdr:cNvPr>
        <xdr:cNvSpPr>
          <a:spLocks noChangeArrowheads="1"/>
        </xdr:cNvSpPr>
      </xdr:nvSpPr>
      <xdr:spPr bwMode="auto">
        <a:xfrm>
          <a:off x="3457575" y="3543300"/>
          <a:ext cx="1019175"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Programáticos</a:t>
          </a:r>
        </a:p>
      </xdr:txBody>
    </xdr:sp>
    <xdr:clientData/>
  </xdr:twoCellAnchor>
  <xdr:twoCellAnchor>
    <xdr:from>
      <xdr:col>5</xdr:col>
      <xdr:colOff>365760</xdr:colOff>
      <xdr:row>16</xdr:row>
      <xdr:rowOff>30480</xdr:rowOff>
    </xdr:from>
    <xdr:to>
      <xdr:col>5</xdr:col>
      <xdr:colOff>480060</xdr:colOff>
      <xdr:row>16</xdr:row>
      <xdr:rowOff>182880</xdr:rowOff>
    </xdr:to>
    <xdr:sp macro="" textlink="">
      <xdr:nvSpPr>
        <xdr:cNvPr id="6697436" name="Freeform 28">
          <a:extLst>
            <a:ext uri="{FF2B5EF4-FFF2-40B4-BE49-F238E27FC236}">
              <a16:creationId xmlns:a16="http://schemas.microsoft.com/office/drawing/2014/main" id="{0AF2227A-DE3D-409B-B67D-187B1E29A581}"/>
            </a:ext>
          </a:extLst>
        </xdr:cNvPr>
        <xdr:cNvSpPr>
          <a:spLocks noChangeArrowheads="1"/>
        </xdr:cNvSpPr>
      </xdr:nvSpPr>
      <xdr:spPr bwMode="auto">
        <a:xfrm>
          <a:off x="3581400" y="3459480"/>
          <a:ext cx="114300" cy="15240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5</xdr:col>
      <xdr:colOff>297180</xdr:colOff>
      <xdr:row>13</xdr:row>
      <xdr:rowOff>7620</xdr:rowOff>
    </xdr:from>
    <xdr:to>
      <xdr:col>6</xdr:col>
      <xdr:colOff>609600</xdr:colOff>
      <xdr:row>15</xdr:row>
      <xdr:rowOff>0</xdr:rowOff>
    </xdr:to>
    <xdr:sp macro="" textlink="">
      <xdr:nvSpPr>
        <xdr:cNvPr id="6697437" name="AutoShape 26">
          <a:extLst>
            <a:ext uri="{FF2B5EF4-FFF2-40B4-BE49-F238E27FC236}">
              <a16:creationId xmlns:a16="http://schemas.microsoft.com/office/drawing/2014/main" id="{41C15BA9-F5C7-43EB-B488-79D9137C4FD8}"/>
            </a:ext>
          </a:extLst>
        </xdr:cNvPr>
        <xdr:cNvSpPr>
          <a:spLocks noChangeArrowheads="1"/>
        </xdr:cNvSpPr>
      </xdr:nvSpPr>
      <xdr:spPr bwMode="auto">
        <a:xfrm>
          <a:off x="3512820" y="2887980"/>
          <a:ext cx="1097280" cy="3581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5</xdr:col>
      <xdr:colOff>325755</xdr:colOff>
      <xdr:row>13</xdr:row>
      <xdr:rowOff>40005</xdr:rowOff>
    </xdr:from>
    <xdr:to>
      <xdr:col>6</xdr:col>
      <xdr:colOff>639985</xdr:colOff>
      <xdr:row>14</xdr:row>
      <xdr:rowOff>159899</xdr:rowOff>
    </xdr:to>
    <xdr:sp macro="" textlink="" fLocksText="0">
      <xdr:nvSpPr>
        <xdr:cNvPr id="1035" name="AutoShape 27">
          <a:hlinkClick xmlns:r="http://schemas.openxmlformats.org/officeDocument/2006/relationships" r:id="rId5"/>
          <a:extLst>
            <a:ext uri="{FF2B5EF4-FFF2-40B4-BE49-F238E27FC236}">
              <a16:creationId xmlns:a16="http://schemas.microsoft.com/office/drawing/2014/main" id="{71A14195-74F7-4931-81AB-A3D62256C87A}"/>
            </a:ext>
          </a:extLst>
        </xdr:cNvPr>
        <xdr:cNvSpPr>
          <a:spLocks noChangeArrowheads="1"/>
        </xdr:cNvSpPr>
      </xdr:nvSpPr>
      <xdr:spPr bwMode="auto">
        <a:xfrm>
          <a:off x="3438525" y="3000375"/>
          <a:ext cx="1019175" cy="295275"/>
        </a:xfrm>
        <a:prstGeom prst="roundRect">
          <a:avLst>
            <a:gd name="adj" fmla="val 11921"/>
          </a:avLst>
        </a:prstGeom>
        <a:gradFill rotWithShape="0">
          <a:gsLst>
            <a:gs pos="0">
              <a:srgbClr val="863836"/>
            </a:gs>
            <a:gs pos="100000">
              <a:srgbClr val="C0504D"/>
            </a:gs>
          </a:gsLst>
          <a:lin ang="5400000" scaled="1"/>
        </a:gradFill>
        <a:ln w="9360" cap="sq">
          <a:solidFill>
            <a:srgbClr val="FEFEFE"/>
          </a:solidFill>
          <a:miter lim="800000"/>
          <a:headEnd/>
          <a:tailEnd/>
        </a:ln>
        <a:effectLst/>
      </xdr:spPr>
      <xdr:txBody>
        <a:bodyPr vertOverflow="clip" wrap="square" lIns="54000" tIns="46800" rIns="18000" bIns="46800" anchor="ctr" upright="1"/>
        <a:lstStyle/>
        <a:p>
          <a:pPr algn="ctr" rtl="0">
            <a:defRPr sz="1000"/>
          </a:pPr>
          <a:r>
            <a:rPr lang="es-SV" sz="1000" b="0" i="0" u="none" strike="noStrike" baseline="0">
              <a:solidFill>
                <a:srgbClr val="FFFFFF"/>
              </a:solidFill>
              <a:latin typeface="Arial"/>
              <a:cs typeface="Arial"/>
            </a:rPr>
            <a:t>Gestión</a:t>
          </a:r>
        </a:p>
      </xdr:txBody>
    </xdr:sp>
    <xdr:clientData/>
  </xdr:twoCellAnchor>
  <xdr:twoCellAnchor>
    <xdr:from>
      <xdr:col>5</xdr:col>
      <xdr:colOff>320040</xdr:colOff>
      <xdr:row>13</xdr:row>
      <xdr:rowOff>53340</xdr:rowOff>
    </xdr:from>
    <xdr:to>
      <xdr:col>5</xdr:col>
      <xdr:colOff>441960</xdr:colOff>
      <xdr:row>14</xdr:row>
      <xdr:rowOff>30480</xdr:rowOff>
    </xdr:to>
    <xdr:sp macro="" textlink="">
      <xdr:nvSpPr>
        <xdr:cNvPr id="6697439" name="Freeform 28">
          <a:extLst>
            <a:ext uri="{FF2B5EF4-FFF2-40B4-BE49-F238E27FC236}">
              <a16:creationId xmlns:a16="http://schemas.microsoft.com/office/drawing/2014/main" id="{50BCA23B-BE98-4EAD-80D3-0D0CA911F408}"/>
            </a:ext>
          </a:extLst>
        </xdr:cNvPr>
        <xdr:cNvSpPr>
          <a:spLocks noChangeArrowheads="1"/>
        </xdr:cNvSpPr>
      </xdr:nvSpPr>
      <xdr:spPr bwMode="auto">
        <a:xfrm>
          <a:off x="3535680" y="2933700"/>
          <a:ext cx="121920" cy="16002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4</xdr:col>
      <xdr:colOff>403860</xdr:colOff>
      <xdr:row>5</xdr:row>
      <xdr:rowOff>0</xdr:rowOff>
    </xdr:from>
    <xdr:to>
      <xdr:col>7</xdr:col>
      <xdr:colOff>407829</xdr:colOff>
      <xdr:row>6</xdr:row>
      <xdr:rowOff>47625</xdr:rowOff>
    </xdr:to>
    <xdr:sp macro="" textlink="" fLocksText="0">
      <xdr:nvSpPr>
        <xdr:cNvPr id="1037" name="Rectangle 803">
          <a:extLst>
            <a:ext uri="{FF2B5EF4-FFF2-40B4-BE49-F238E27FC236}">
              <a16:creationId xmlns:a16="http://schemas.microsoft.com/office/drawing/2014/main" id="{A49E23D4-C737-47B8-93B4-282D52A96F87}"/>
            </a:ext>
          </a:extLst>
        </xdr:cNvPr>
        <xdr:cNvSpPr>
          <a:spLocks noChangeArrowheads="1"/>
        </xdr:cNvSpPr>
      </xdr:nvSpPr>
      <xdr:spPr bwMode="auto">
        <a:xfrm>
          <a:off x="2686050" y="1428750"/>
          <a:ext cx="2362200" cy="238125"/>
        </a:xfrm>
        <a:prstGeom prst="rect">
          <a:avLst/>
        </a:prstGeom>
        <a:noFill/>
        <a:ln w="9525">
          <a:noFill/>
          <a:round/>
          <a:headEnd/>
          <a:tailEnd/>
        </a:ln>
        <a:effectLst/>
      </xdr:spPr>
      <xdr:txBody>
        <a:bodyPr vertOverflow="clip" wrap="square" lIns="27360" tIns="27360" rIns="27360" bIns="0" anchor="t" upright="1"/>
        <a:lstStyle/>
        <a:p>
          <a:pPr algn="ctr" rtl="0">
            <a:defRPr sz="1000"/>
          </a:pPr>
          <a:r>
            <a:rPr lang="es-SV" sz="1100" b="1" i="1" u="none" strike="noStrike" baseline="0">
              <a:solidFill>
                <a:srgbClr val="000000"/>
              </a:solidFill>
              <a:latin typeface="Calibri"/>
            </a:rPr>
            <a:t>Seleccione la opción que desea ver:</a:t>
          </a:r>
        </a:p>
      </xdr:txBody>
    </xdr:sp>
    <xdr:clientData/>
  </xdr:twoCellAnchor>
  <xdr:twoCellAnchor>
    <xdr:from>
      <xdr:col>8</xdr:col>
      <xdr:colOff>304800</xdr:colOff>
      <xdr:row>11</xdr:row>
      <xdr:rowOff>0</xdr:rowOff>
    </xdr:from>
    <xdr:to>
      <xdr:col>11</xdr:col>
      <xdr:colOff>137160</xdr:colOff>
      <xdr:row>13</xdr:row>
      <xdr:rowOff>30480</xdr:rowOff>
    </xdr:to>
    <xdr:sp macro="" textlink="">
      <xdr:nvSpPr>
        <xdr:cNvPr id="6697441" name="AutoShape 30">
          <a:extLst>
            <a:ext uri="{FF2B5EF4-FFF2-40B4-BE49-F238E27FC236}">
              <a16:creationId xmlns:a16="http://schemas.microsoft.com/office/drawing/2014/main" id="{F3500644-F5CE-45CA-8621-D38542CEC516}"/>
            </a:ext>
          </a:extLst>
        </xdr:cNvPr>
        <xdr:cNvSpPr>
          <a:spLocks noChangeArrowheads="1"/>
        </xdr:cNvSpPr>
      </xdr:nvSpPr>
      <xdr:spPr bwMode="auto">
        <a:xfrm>
          <a:off x="5875020" y="2514600"/>
          <a:ext cx="1516380" cy="3962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8</xdr:col>
      <xdr:colOff>413385</xdr:colOff>
      <xdr:row>11</xdr:row>
      <xdr:rowOff>47625</xdr:rowOff>
    </xdr:from>
    <xdr:to>
      <xdr:col>11</xdr:col>
      <xdr:colOff>112865</xdr:colOff>
      <xdr:row>13</xdr:row>
      <xdr:rowOff>1905</xdr:rowOff>
    </xdr:to>
    <xdr:sp macro="" textlink="" fLocksText="0">
      <xdr:nvSpPr>
        <xdr:cNvPr id="1039" name="AutoShape 31">
          <a:hlinkClick xmlns:r="http://schemas.openxmlformats.org/officeDocument/2006/relationships" r:id="rId6"/>
          <a:extLst>
            <a:ext uri="{FF2B5EF4-FFF2-40B4-BE49-F238E27FC236}">
              <a16:creationId xmlns:a16="http://schemas.microsoft.com/office/drawing/2014/main" id="{A27506A4-8196-4E94-8CA7-ADA222BFDE4E}"/>
            </a:ext>
          </a:extLst>
        </xdr:cNvPr>
        <xdr:cNvSpPr>
          <a:spLocks noChangeArrowheads="1"/>
        </xdr:cNvSpPr>
      </xdr:nvSpPr>
      <xdr:spPr bwMode="auto">
        <a:xfrm>
          <a:off x="5743575" y="2619375"/>
          <a:ext cx="1409700" cy="333375"/>
        </a:xfrm>
        <a:prstGeom prst="roundRect">
          <a:avLst>
            <a:gd name="adj" fmla="val 11921"/>
          </a:avLst>
        </a:prstGeom>
        <a:solidFill>
          <a:srgbClr val="99FF99"/>
        </a:soli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000000"/>
              </a:solidFill>
              <a:latin typeface="Arial"/>
              <a:cs typeface="Arial"/>
            </a:rPr>
            <a:t>Recomendaciones</a:t>
          </a:r>
        </a:p>
      </xdr:txBody>
    </xdr:sp>
    <xdr:clientData/>
  </xdr:twoCellAnchor>
  <xdr:twoCellAnchor>
    <xdr:from>
      <xdr:col>8</xdr:col>
      <xdr:colOff>365760</xdr:colOff>
      <xdr:row>11</xdr:row>
      <xdr:rowOff>60960</xdr:rowOff>
    </xdr:from>
    <xdr:to>
      <xdr:col>8</xdr:col>
      <xdr:colOff>510540</xdr:colOff>
      <xdr:row>12</xdr:row>
      <xdr:rowOff>45720</xdr:rowOff>
    </xdr:to>
    <xdr:sp macro="" textlink="">
      <xdr:nvSpPr>
        <xdr:cNvPr id="6697443" name="Freeform 32">
          <a:extLst>
            <a:ext uri="{FF2B5EF4-FFF2-40B4-BE49-F238E27FC236}">
              <a16:creationId xmlns:a16="http://schemas.microsoft.com/office/drawing/2014/main" id="{684BB9B1-30BE-4CA2-8976-9E801C85C17D}"/>
            </a:ext>
          </a:extLst>
        </xdr:cNvPr>
        <xdr:cNvSpPr>
          <a:spLocks noChangeArrowheads="1"/>
        </xdr:cNvSpPr>
      </xdr:nvSpPr>
      <xdr:spPr bwMode="auto">
        <a:xfrm>
          <a:off x="5935980" y="2575560"/>
          <a:ext cx="144780" cy="16764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251460</xdr:colOff>
      <xdr:row>7</xdr:row>
      <xdr:rowOff>83820</xdr:rowOff>
    </xdr:from>
    <xdr:to>
      <xdr:col>4</xdr:col>
      <xdr:colOff>106680</xdr:colOff>
      <xdr:row>18</xdr:row>
      <xdr:rowOff>106680</xdr:rowOff>
    </xdr:to>
    <xdr:sp macro="" textlink="">
      <xdr:nvSpPr>
        <xdr:cNvPr id="6697444" name="AutoShape 31">
          <a:extLst>
            <a:ext uri="{FF2B5EF4-FFF2-40B4-BE49-F238E27FC236}">
              <a16:creationId xmlns:a16="http://schemas.microsoft.com/office/drawing/2014/main" id="{1ED13B64-622D-4D7C-84D7-1FBA56C78A80}"/>
            </a:ext>
          </a:extLst>
        </xdr:cNvPr>
        <xdr:cNvSpPr>
          <a:spLocks noChangeArrowheads="1"/>
        </xdr:cNvSpPr>
      </xdr:nvSpPr>
      <xdr:spPr bwMode="auto">
        <a:xfrm>
          <a:off x="327660" y="1866900"/>
          <a:ext cx="2209800" cy="2034540"/>
        </a:xfrm>
        <a:prstGeom prst="roundRect">
          <a:avLst>
            <a:gd name="adj" fmla="val 11921"/>
          </a:avLst>
        </a:prstGeom>
        <a:gradFill rotWithShape="0">
          <a:gsLst>
            <a:gs pos="0">
              <a:srgbClr val="4C7BB4"/>
            </a:gs>
            <a:gs pos="100000">
              <a:srgbClr val="87AFD3"/>
            </a:gs>
          </a:gsLst>
          <a:lin ang="5400000" scaled="1"/>
        </a:gradFill>
        <a:ln w="9360" cap="sq">
          <a:solidFill>
            <a:srgbClr val="FEFEFE"/>
          </a:solidFill>
          <a:miter lim="800000"/>
          <a:headEnd/>
          <a:tailEnd/>
        </a:ln>
      </xdr:spPr>
    </xdr:sp>
    <xdr:clientData/>
  </xdr:twoCellAnchor>
  <xdr:twoCellAnchor>
    <xdr:from>
      <xdr:col>1</xdr:col>
      <xdr:colOff>350520</xdr:colOff>
      <xdr:row>7</xdr:row>
      <xdr:rowOff>167640</xdr:rowOff>
    </xdr:from>
    <xdr:to>
      <xdr:col>2</xdr:col>
      <xdr:colOff>60960</xdr:colOff>
      <xdr:row>9</xdr:row>
      <xdr:rowOff>99060</xdr:rowOff>
    </xdr:to>
    <xdr:sp macro="" textlink="">
      <xdr:nvSpPr>
        <xdr:cNvPr id="6697445" name="Freeform 32">
          <a:extLst>
            <a:ext uri="{FF2B5EF4-FFF2-40B4-BE49-F238E27FC236}">
              <a16:creationId xmlns:a16="http://schemas.microsoft.com/office/drawing/2014/main" id="{A347A60D-A754-4F2B-9983-9EEF429A4C32}"/>
            </a:ext>
          </a:extLst>
        </xdr:cNvPr>
        <xdr:cNvSpPr>
          <a:spLocks noChangeArrowheads="1"/>
        </xdr:cNvSpPr>
      </xdr:nvSpPr>
      <xdr:spPr bwMode="auto">
        <a:xfrm>
          <a:off x="426720" y="1950720"/>
          <a:ext cx="495300" cy="29718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8</xdr:col>
      <xdr:colOff>297180</xdr:colOff>
      <xdr:row>14</xdr:row>
      <xdr:rowOff>53340</xdr:rowOff>
    </xdr:from>
    <xdr:to>
      <xdr:col>11</xdr:col>
      <xdr:colOff>129540</xdr:colOff>
      <xdr:row>16</xdr:row>
      <xdr:rowOff>83820</xdr:rowOff>
    </xdr:to>
    <xdr:sp macro="" textlink="">
      <xdr:nvSpPr>
        <xdr:cNvPr id="6697446" name="AutoShape 30">
          <a:extLst>
            <a:ext uri="{FF2B5EF4-FFF2-40B4-BE49-F238E27FC236}">
              <a16:creationId xmlns:a16="http://schemas.microsoft.com/office/drawing/2014/main" id="{27D638B6-5366-4931-B643-82EDF65F71F1}"/>
            </a:ext>
          </a:extLst>
        </xdr:cNvPr>
        <xdr:cNvSpPr>
          <a:spLocks noChangeArrowheads="1"/>
        </xdr:cNvSpPr>
      </xdr:nvSpPr>
      <xdr:spPr bwMode="auto">
        <a:xfrm>
          <a:off x="5867400" y="3116580"/>
          <a:ext cx="1516380" cy="3962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8</xdr:col>
      <xdr:colOff>386715</xdr:colOff>
      <xdr:row>14</xdr:row>
      <xdr:rowOff>120015</xdr:rowOff>
    </xdr:from>
    <xdr:to>
      <xdr:col>11</xdr:col>
      <xdr:colOff>80047</xdr:colOff>
      <xdr:row>16</xdr:row>
      <xdr:rowOff>75880</xdr:rowOff>
    </xdr:to>
    <xdr:sp macro="" textlink="" fLocksText="0">
      <xdr:nvSpPr>
        <xdr:cNvPr id="1044" name="AutoShape 31">
          <a:hlinkClick xmlns:r="http://schemas.openxmlformats.org/officeDocument/2006/relationships" r:id="rId7"/>
          <a:extLst>
            <a:ext uri="{FF2B5EF4-FFF2-40B4-BE49-F238E27FC236}">
              <a16:creationId xmlns:a16="http://schemas.microsoft.com/office/drawing/2014/main" id="{B3D7EBAC-690D-4A1D-8F52-A9891EF2F256}"/>
            </a:ext>
          </a:extLst>
        </xdr:cNvPr>
        <xdr:cNvSpPr>
          <a:spLocks noChangeArrowheads="1"/>
        </xdr:cNvSpPr>
      </xdr:nvSpPr>
      <xdr:spPr bwMode="auto">
        <a:xfrm>
          <a:off x="5724525" y="3248025"/>
          <a:ext cx="1409700" cy="333375"/>
        </a:xfrm>
        <a:prstGeom prst="roundRect">
          <a:avLst>
            <a:gd name="adj" fmla="val 11921"/>
          </a:avLst>
        </a:prstGeom>
        <a:solidFill>
          <a:srgbClr val="99FF99"/>
        </a:soli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000000"/>
              </a:solidFill>
              <a:latin typeface="Arial"/>
              <a:cs typeface="Arial"/>
            </a:rPr>
            <a:t>Acciones</a:t>
          </a:r>
        </a:p>
      </xdr:txBody>
    </xdr:sp>
    <xdr:clientData/>
  </xdr:twoCellAnchor>
  <xdr:twoCellAnchor>
    <xdr:from>
      <xdr:col>8</xdr:col>
      <xdr:colOff>342900</xdr:colOff>
      <xdr:row>14</xdr:row>
      <xdr:rowOff>121920</xdr:rowOff>
    </xdr:from>
    <xdr:to>
      <xdr:col>8</xdr:col>
      <xdr:colOff>487680</xdr:colOff>
      <xdr:row>15</xdr:row>
      <xdr:rowOff>99060</xdr:rowOff>
    </xdr:to>
    <xdr:sp macro="" textlink="">
      <xdr:nvSpPr>
        <xdr:cNvPr id="6697448" name="Freeform 32">
          <a:extLst>
            <a:ext uri="{FF2B5EF4-FFF2-40B4-BE49-F238E27FC236}">
              <a16:creationId xmlns:a16="http://schemas.microsoft.com/office/drawing/2014/main" id="{4EE553E1-E39A-4B98-AFCA-BCF67FCA5D6C}"/>
            </a:ext>
          </a:extLst>
        </xdr:cNvPr>
        <xdr:cNvSpPr>
          <a:spLocks noChangeArrowheads="1"/>
        </xdr:cNvSpPr>
      </xdr:nvSpPr>
      <xdr:spPr bwMode="auto">
        <a:xfrm>
          <a:off x="5913120" y="3185160"/>
          <a:ext cx="144780" cy="160020"/>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533400</xdr:colOff>
      <xdr:row>15</xdr:row>
      <xdr:rowOff>129540</xdr:rowOff>
    </xdr:from>
    <xdr:to>
      <xdr:col>3</xdr:col>
      <xdr:colOff>510540</xdr:colOff>
      <xdr:row>18</xdr:row>
      <xdr:rowOff>15240</xdr:rowOff>
    </xdr:to>
    <xdr:sp macro="" textlink="">
      <xdr:nvSpPr>
        <xdr:cNvPr id="6697449" name="AutoShape 30">
          <a:extLst>
            <a:ext uri="{FF2B5EF4-FFF2-40B4-BE49-F238E27FC236}">
              <a16:creationId xmlns:a16="http://schemas.microsoft.com/office/drawing/2014/main" id="{F48D9422-B308-4AAC-B008-11243E9C569F}"/>
            </a:ext>
          </a:extLst>
        </xdr:cNvPr>
        <xdr:cNvSpPr>
          <a:spLocks noChangeArrowheads="1"/>
        </xdr:cNvSpPr>
      </xdr:nvSpPr>
      <xdr:spPr bwMode="auto">
        <a:xfrm>
          <a:off x="609600" y="3375660"/>
          <a:ext cx="1546860" cy="4343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1</xdr:col>
      <xdr:colOff>565785</xdr:colOff>
      <xdr:row>16</xdr:row>
      <xdr:rowOff>0</xdr:rowOff>
    </xdr:from>
    <xdr:to>
      <xdr:col>3</xdr:col>
      <xdr:colOff>480275</xdr:colOff>
      <xdr:row>18</xdr:row>
      <xdr:rowOff>1904</xdr:rowOff>
    </xdr:to>
    <xdr:sp macro="" textlink="" fLocksText="0">
      <xdr:nvSpPr>
        <xdr:cNvPr id="1047" name="AutoShape 31">
          <a:hlinkClick xmlns:r="http://schemas.openxmlformats.org/officeDocument/2006/relationships" r:id="rId8"/>
          <a:extLst>
            <a:ext uri="{FF2B5EF4-FFF2-40B4-BE49-F238E27FC236}">
              <a16:creationId xmlns:a16="http://schemas.microsoft.com/office/drawing/2014/main" id="{EDFB0332-83F1-43BF-A77F-285099856295}"/>
            </a:ext>
          </a:extLst>
        </xdr:cNvPr>
        <xdr:cNvSpPr>
          <a:spLocks noChangeArrowheads="1"/>
        </xdr:cNvSpPr>
      </xdr:nvSpPr>
      <xdr:spPr bwMode="auto">
        <a:xfrm>
          <a:off x="628650" y="3505200"/>
          <a:ext cx="1428750" cy="390525"/>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Información de la subvención</a:t>
          </a:r>
        </a:p>
      </xdr:txBody>
    </xdr:sp>
    <xdr:clientData/>
  </xdr:twoCellAnchor>
  <xdr:twoCellAnchor>
    <xdr:from>
      <xdr:col>1</xdr:col>
      <xdr:colOff>586740</xdr:colOff>
      <xdr:row>16</xdr:row>
      <xdr:rowOff>0</xdr:rowOff>
    </xdr:from>
    <xdr:to>
      <xdr:col>1</xdr:col>
      <xdr:colOff>731520</xdr:colOff>
      <xdr:row>16</xdr:row>
      <xdr:rowOff>129540</xdr:rowOff>
    </xdr:to>
    <xdr:sp macro="" textlink="">
      <xdr:nvSpPr>
        <xdr:cNvPr id="6697451" name="Freeform 32">
          <a:extLst>
            <a:ext uri="{FF2B5EF4-FFF2-40B4-BE49-F238E27FC236}">
              <a16:creationId xmlns:a16="http://schemas.microsoft.com/office/drawing/2014/main" id="{265C1F0D-195C-4A03-9019-C9945060C55A}"/>
            </a:ext>
          </a:extLst>
        </xdr:cNvPr>
        <xdr:cNvSpPr>
          <a:spLocks noChangeArrowheads="1"/>
        </xdr:cNvSpPr>
      </xdr:nvSpPr>
      <xdr:spPr bwMode="auto">
        <a:xfrm>
          <a:off x="662940" y="3429000"/>
          <a:ext cx="144780" cy="12954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533400</xdr:colOff>
      <xdr:row>10</xdr:row>
      <xdr:rowOff>30480</xdr:rowOff>
    </xdr:from>
    <xdr:to>
      <xdr:col>3</xdr:col>
      <xdr:colOff>510540</xdr:colOff>
      <xdr:row>12</xdr:row>
      <xdr:rowOff>15240</xdr:rowOff>
    </xdr:to>
    <xdr:sp macro="" textlink="">
      <xdr:nvSpPr>
        <xdr:cNvPr id="6697452" name="AutoShape 30">
          <a:extLst>
            <a:ext uri="{FF2B5EF4-FFF2-40B4-BE49-F238E27FC236}">
              <a16:creationId xmlns:a16="http://schemas.microsoft.com/office/drawing/2014/main" id="{CDF39F6D-6DB5-4A34-891A-7412D2384100}"/>
            </a:ext>
          </a:extLst>
        </xdr:cNvPr>
        <xdr:cNvSpPr>
          <a:spLocks noChangeArrowheads="1"/>
        </xdr:cNvSpPr>
      </xdr:nvSpPr>
      <xdr:spPr bwMode="auto">
        <a:xfrm>
          <a:off x="609600" y="2362200"/>
          <a:ext cx="1546860" cy="35052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1</xdr:col>
      <xdr:colOff>565785</xdr:colOff>
      <xdr:row>10</xdr:row>
      <xdr:rowOff>72390</xdr:rowOff>
    </xdr:from>
    <xdr:to>
      <xdr:col>3</xdr:col>
      <xdr:colOff>482180</xdr:colOff>
      <xdr:row>12</xdr:row>
      <xdr:rowOff>61</xdr:rowOff>
    </xdr:to>
    <xdr:sp macro="" textlink="" fLocksText="0">
      <xdr:nvSpPr>
        <xdr:cNvPr id="1050" name="AutoShape 31">
          <a:hlinkClick xmlns:r="http://schemas.openxmlformats.org/officeDocument/2006/relationships" r:id="rId9"/>
          <a:extLst>
            <a:ext uri="{FF2B5EF4-FFF2-40B4-BE49-F238E27FC236}">
              <a16:creationId xmlns:a16="http://schemas.microsoft.com/office/drawing/2014/main" id="{80AEAC38-E8DB-4334-A91B-C4FDBA9C2C90}"/>
            </a:ext>
          </a:extLst>
        </xdr:cNvPr>
        <xdr:cNvSpPr>
          <a:spLocks noChangeArrowheads="1"/>
        </xdr:cNvSpPr>
      </xdr:nvSpPr>
      <xdr:spPr bwMode="auto">
        <a:xfrm>
          <a:off x="628650" y="2447925"/>
          <a:ext cx="1438275" cy="304800"/>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Lista de indicadores</a:t>
          </a:r>
        </a:p>
      </xdr:txBody>
    </xdr:sp>
    <xdr:clientData/>
  </xdr:twoCellAnchor>
  <xdr:twoCellAnchor>
    <xdr:from>
      <xdr:col>1</xdr:col>
      <xdr:colOff>586740</xdr:colOff>
      <xdr:row>10</xdr:row>
      <xdr:rowOff>83820</xdr:rowOff>
    </xdr:from>
    <xdr:to>
      <xdr:col>1</xdr:col>
      <xdr:colOff>739140</xdr:colOff>
      <xdr:row>11</xdr:row>
      <xdr:rowOff>53340</xdr:rowOff>
    </xdr:to>
    <xdr:sp macro="" textlink="">
      <xdr:nvSpPr>
        <xdr:cNvPr id="6697454" name="Freeform 32">
          <a:extLst>
            <a:ext uri="{FF2B5EF4-FFF2-40B4-BE49-F238E27FC236}">
              <a16:creationId xmlns:a16="http://schemas.microsoft.com/office/drawing/2014/main" id="{7C9FFEAC-F4AF-4F54-98F2-8AF601E37201}"/>
            </a:ext>
          </a:extLst>
        </xdr:cNvPr>
        <xdr:cNvSpPr>
          <a:spLocks noChangeArrowheads="1"/>
        </xdr:cNvSpPr>
      </xdr:nvSpPr>
      <xdr:spPr bwMode="auto">
        <a:xfrm>
          <a:off x="662940" y="2415540"/>
          <a:ext cx="152400" cy="15240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533400</xdr:colOff>
      <xdr:row>12</xdr:row>
      <xdr:rowOff>175260</xdr:rowOff>
    </xdr:from>
    <xdr:to>
      <xdr:col>3</xdr:col>
      <xdr:colOff>510540</xdr:colOff>
      <xdr:row>14</xdr:row>
      <xdr:rowOff>167640</xdr:rowOff>
    </xdr:to>
    <xdr:sp macro="" textlink="">
      <xdr:nvSpPr>
        <xdr:cNvPr id="6697455" name="AutoShape 30">
          <a:extLst>
            <a:ext uri="{FF2B5EF4-FFF2-40B4-BE49-F238E27FC236}">
              <a16:creationId xmlns:a16="http://schemas.microsoft.com/office/drawing/2014/main" id="{7FD225FF-CFCB-4188-8C8B-8A6DB3EAE8D8}"/>
            </a:ext>
          </a:extLst>
        </xdr:cNvPr>
        <xdr:cNvSpPr>
          <a:spLocks noChangeArrowheads="1"/>
        </xdr:cNvSpPr>
      </xdr:nvSpPr>
      <xdr:spPr bwMode="auto">
        <a:xfrm>
          <a:off x="609600" y="2872740"/>
          <a:ext cx="1546860" cy="358140"/>
        </a:xfrm>
        <a:prstGeom prst="roundRect">
          <a:avLst>
            <a:gd name="adj" fmla="val 10889"/>
          </a:avLst>
        </a:prstGeom>
        <a:gradFill rotWithShape="0">
          <a:gsLst>
            <a:gs pos="0">
              <a:srgbClr val="DDDDDD"/>
            </a:gs>
            <a:gs pos="100000">
              <a:srgbClr val="EEEEEE"/>
            </a:gs>
          </a:gsLst>
          <a:lin ang="2700000" scaled="1"/>
        </a:gradFill>
        <a:ln w="9360" cap="sq">
          <a:solidFill>
            <a:srgbClr val="FFFFFF"/>
          </a:solidFill>
          <a:miter lim="800000"/>
          <a:headEnd/>
          <a:tailEnd/>
        </a:ln>
        <a:effectLst>
          <a:outerShdw dist="134956" dir="2927119" algn="ctr" rotWithShape="0">
            <a:srgbClr val="000000">
              <a:alpha val="50026"/>
            </a:srgbClr>
          </a:outerShdw>
        </a:effectLst>
      </xdr:spPr>
    </xdr:sp>
    <xdr:clientData/>
  </xdr:twoCellAnchor>
  <xdr:twoCellAnchor>
    <xdr:from>
      <xdr:col>1</xdr:col>
      <xdr:colOff>565785</xdr:colOff>
      <xdr:row>13</xdr:row>
      <xdr:rowOff>28575</xdr:rowOff>
    </xdr:from>
    <xdr:to>
      <xdr:col>3</xdr:col>
      <xdr:colOff>482180</xdr:colOff>
      <xdr:row>14</xdr:row>
      <xdr:rowOff>150918</xdr:rowOff>
    </xdr:to>
    <xdr:sp macro="" textlink="" fLocksText="0">
      <xdr:nvSpPr>
        <xdr:cNvPr id="1053" name="AutoShape 31">
          <a:hlinkClick xmlns:r="http://schemas.openxmlformats.org/officeDocument/2006/relationships" r:id="rId10"/>
          <a:extLst>
            <a:ext uri="{FF2B5EF4-FFF2-40B4-BE49-F238E27FC236}">
              <a16:creationId xmlns:a16="http://schemas.microsoft.com/office/drawing/2014/main" id="{6FB52E04-CC3F-4DCE-977D-90A4A90D300E}"/>
            </a:ext>
          </a:extLst>
        </xdr:cNvPr>
        <xdr:cNvSpPr>
          <a:spLocks noChangeArrowheads="1"/>
        </xdr:cNvSpPr>
      </xdr:nvSpPr>
      <xdr:spPr bwMode="auto">
        <a:xfrm>
          <a:off x="628650" y="2981325"/>
          <a:ext cx="1438275" cy="304800"/>
        </a:xfrm>
        <a:prstGeom prst="roundRect">
          <a:avLst>
            <a:gd name="adj" fmla="val 11921"/>
          </a:avLst>
        </a:prstGeom>
        <a:gradFill rotWithShape="0">
          <a:gsLst>
            <a:gs pos="0">
              <a:srgbClr val="375A84"/>
            </a:gs>
            <a:gs pos="100000">
              <a:srgbClr val="4F81BD"/>
            </a:gs>
          </a:gsLst>
          <a:lin ang="5400000" scaled="1"/>
        </a:gradFill>
        <a:ln w="9360" cap="sq">
          <a:solidFill>
            <a:srgbClr val="FEFEFE"/>
          </a:solidFill>
          <a:miter lim="800000"/>
          <a:headEnd/>
          <a:tailEnd/>
        </a:ln>
        <a:effectLst/>
      </xdr:spPr>
      <xdr:txBody>
        <a:bodyPr vertOverflow="clip" wrap="square" lIns="27360" tIns="22680" rIns="27360" bIns="22680" anchor="ctr" upright="1"/>
        <a:lstStyle/>
        <a:p>
          <a:pPr algn="ctr" rtl="0">
            <a:defRPr sz="1000"/>
          </a:pPr>
          <a:r>
            <a:rPr lang="es-SV" sz="1000" b="0" i="0" u="none" strike="noStrike" baseline="0">
              <a:solidFill>
                <a:srgbClr val="FFFFFF"/>
              </a:solidFill>
              <a:latin typeface="Arial"/>
              <a:cs typeface="Arial"/>
            </a:rPr>
            <a:t>Introducción de datos</a:t>
          </a:r>
        </a:p>
      </xdr:txBody>
    </xdr:sp>
    <xdr:clientData/>
  </xdr:twoCellAnchor>
  <xdr:twoCellAnchor>
    <xdr:from>
      <xdr:col>1</xdr:col>
      <xdr:colOff>586740</xdr:colOff>
      <xdr:row>13</xdr:row>
      <xdr:rowOff>45720</xdr:rowOff>
    </xdr:from>
    <xdr:to>
      <xdr:col>1</xdr:col>
      <xdr:colOff>739140</xdr:colOff>
      <xdr:row>14</xdr:row>
      <xdr:rowOff>15240</xdr:rowOff>
    </xdr:to>
    <xdr:sp macro="" textlink="">
      <xdr:nvSpPr>
        <xdr:cNvPr id="6697457" name="Freeform 32">
          <a:extLst>
            <a:ext uri="{FF2B5EF4-FFF2-40B4-BE49-F238E27FC236}">
              <a16:creationId xmlns:a16="http://schemas.microsoft.com/office/drawing/2014/main" id="{E036EC23-C12A-48B5-8F33-96ADEF222821}"/>
            </a:ext>
          </a:extLst>
        </xdr:cNvPr>
        <xdr:cNvSpPr>
          <a:spLocks noChangeArrowheads="1"/>
        </xdr:cNvSpPr>
      </xdr:nvSpPr>
      <xdr:spPr bwMode="auto">
        <a:xfrm>
          <a:off x="662940" y="2926080"/>
          <a:ext cx="152400" cy="152400"/>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xtLst>
          <a:ext uri="{91240B29-F687-4F45-9708-019B960494DF}">
            <a14:hiddenLine xmlns:a14="http://schemas.microsoft.com/office/drawing/2010/main" w="9525" cap="flat">
              <a:solidFill>
                <a:srgbClr val="000000"/>
              </a:solidFill>
              <a:round/>
              <a:headEnd/>
              <a:tailEnd/>
            </a14:hiddenLine>
          </a:ext>
        </a:extLst>
      </xdr:spPr>
    </xdr:sp>
    <xdr:clientData/>
  </xdr:twoCellAnchor>
  <xdr:twoCellAnchor>
    <xdr:from>
      <xdr:col>1</xdr:col>
      <xdr:colOff>266700</xdr:colOff>
      <xdr:row>7</xdr:row>
      <xdr:rowOff>60960</xdr:rowOff>
    </xdr:from>
    <xdr:to>
      <xdr:col>4</xdr:col>
      <xdr:colOff>106680</xdr:colOff>
      <xdr:row>9</xdr:row>
      <xdr:rowOff>129540</xdr:rowOff>
    </xdr:to>
    <xdr:pic>
      <xdr:nvPicPr>
        <xdr:cNvPr id="6697458" name="Picture 2012">
          <a:extLst>
            <a:ext uri="{FF2B5EF4-FFF2-40B4-BE49-F238E27FC236}">
              <a16:creationId xmlns:a16="http://schemas.microsoft.com/office/drawing/2014/main" id="{28A5EEBF-63AB-483F-B409-A4CB939CCEBF}"/>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2900" y="1844040"/>
          <a:ext cx="219456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325755</xdr:colOff>
      <xdr:row>7</xdr:row>
      <xdr:rowOff>120015</xdr:rowOff>
    </xdr:from>
    <xdr:to>
      <xdr:col>4</xdr:col>
      <xdr:colOff>72407</xdr:colOff>
      <xdr:row>10</xdr:row>
      <xdr:rowOff>2346</xdr:rowOff>
    </xdr:to>
    <xdr:sp macro="" textlink="" fLocksText="0">
      <xdr:nvSpPr>
        <xdr:cNvPr id="1056" name="Text Box 2013">
          <a:extLst>
            <a:ext uri="{FF2B5EF4-FFF2-40B4-BE49-F238E27FC236}">
              <a16:creationId xmlns:a16="http://schemas.microsoft.com/office/drawing/2014/main" id="{BB7070E7-C945-4707-93FB-0B6A8E27C58D}"/>
            </a:ext>
          </a:extLst>
        </xdr:cNvPr>
        <xdr:cNvSpPr txBox="1">
          <a:spLocks noChangeArrowheads="1"/>
        </xdr:cNvSpPr>
      </xdr:nvSpPr>
      <xdr:spPr bwMode="auto">
        <a:xfrm>
          <a:off x="400050" y="1914525"/>
          <a:ext cx="2019300" cy="466725"/>
        </a:xfrm>
        <a:prstGeom prst="rect">
          <a:avLst/>
        </a:prstGeom>
        <a:noFill/>
        <a:ln w="9525">
          <a:noFill/>
          <a:round/>
          <a:headEnd/>
          <a:tailEnd/>
        </a:ln>
        <a:effectLst/>
      </xdr:spPr>
      <xdr:txBody>
        <a:bodyPr vertOverflow="clip" wrap="square" lIns="27360" tIns="22680" rIns="27360" bIns="0" anchor="t" upright="1"/>
        <a:lstStyle/>
        <a:p>
          <a:pPr algn="ctr" rtl="0">
            <a:defRPr sz="1000"/>
          </a:pPr>
          <a:r>
            <a:rPr lang="es-SV" sz="1100" b="0" i="0" u="none" strike="noStrike" baseline="0">
              <a:solidFill>
                <a:srgbClr val="000000"/>
              </a:solidFill>
              <a:latin typeface="Arial"/>
              <a:cs typeface="Arial"/>
            </a:rPr>
            <a:t>Información de la subvención</a:t>
          </a:r>
        </a:p>
        <a:p>
          <a:pPr algn="ctr" rtl="0">
            <a:defRPr sz="1000"/>
          </a:pPr>
          <a:endParaRPr lang="es-SV" sz="1100" b="0" i="0" u="none" strike="noStrike" baseline="0">
            <a:solidFill>
              <a:srgbClr val="000000"/>
            </a:solidFill>
            <a:latin typeface="Arial"/>
            <a:cs typeface="Arial"/>
          </a:endParaRPr>
        </a:p>
      </xdr:txBody>
    </xdr:sp>
    <xdr:clientData/>
  </xdr:twoCellAnchor>
  <xdr:twoCellAnchor>
    <xdr:from>
      <xdr:col>4</xdr:col>
      <xdr:colOff>251460</xdr:colOff>
      <xdr:row>7</xdr:row>
      <xdr:rowOff>60960</xdr:rowOff>
    </xdr:from>
    <xdr:to>
      <xdr:col>7</xdr:col>
      <xdr:colOff>579120</xdr:colOff>
      <xdr:row>9</xdr:row>
      <xdr:rowOff>129540</xdr:rowOff>
    </xdr:to>
    <xdr:pic>
      <xdr:nvPicPr>
        <xdr:cNvPr id="6697460" name="Picture 2016">
          <a:extLst>
            <a:ext uri="{FF2B5EF4-FFF2-40B4-BE49-F238E27FC236}">
              <a16:creationId xmlns:a16="http://schemas.microsoft.com/office/drawing/2014/main" id="{1F35E0C2-559D-4967-ABF1-B1F3B7185EA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82240" y="1844040"/>
          <a:ext cx="268224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4</xdr:col>
      <xdr:colOff>681990</xdr:colOff>
      <xdr:row>7</xdr:row>
      <xdr:rowOff>120015</xdr:rowOff>
    </xdr:from>
    <xdr:to>
      <xdr:col>7</xdr:col>
      <xdr:colOff>297430</xdr:colOff>
      <xdr:row>9</xdr:row>
      <xdr:rowOff>112474</xdr:rowOff>
    </xdr:to>
    <xdr:sp macro="" textlink="" fLocksText="0">
      <xdr:nvSpPr>
        <xdr:cNvPr id="1058" name="Text Box 2017">
          <a:extLst>
            <a:ext uri="{FF2B5EF4-FFF2-40B4-BE49-F238E27FC236}">
              <a16:creationId xmlns:a16="http://schemas.microsoft.com/office/drawing/2014/main" id="{E4B0EC0D-5D3F-49E0-B8C5-6362D222B74B}"/>
            </a:ext>
          </a:extLst>
        </xdr:cNvPr>
        <xdr:cNvSpPr txBox="1">
          <a:spLocks noChangeArrowheads="1"/>
        </xdr:cNvSpPr>
      </xdr:nvSpPr>
      <xdr:spPr bwMode="auto">
        <a:xfrm>
          <a:off x="2952750" y="1914525"/>
          <a:ext cx="1990725" cy="381000"/>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s-SV" sz="1200" b="0" i="0" u="none" strike="noStrike" baseline="0">
              <a:solidFill>
                <a:srgbClr val="000000"/>
              </a:solidFill>
              <a:latin typeface="Arial"/>
              <a:cs typeface="Arial"/>
            </a:rPr>
            <a:t>Indicadores</a:t>
          </a:r>
        </a:p>
        <a:p>
          <a:pPr algn="ctr" rtl="0">
            <a:defRPr sz="1000"/>
          </a:pPr>
          <a:endParaRPr lang="es-SV" sz="1200" b="0" i="0" u="none" strike="noStrike" baseline="0">
            <a:solidFill>
              <a:srgbClr val="000000"/>
            </a:solidFill>
            <a:latin typeface="Arial"/>
            <a:cs typeface="Arial"/>
          </a:endParaRPr>
        </a:p>
      </xdr:txBody>
    </xdr:sp>
    <xdr:clientData/>
  </xdr:twoCellAnchor>
  <xdr:twoCellAnchor>
    <xdr:from>
      <xdr:col>7</xdr:col>
      <xdr:colOff>754380</xdr:colOff>
      <xdr:row>7</xdr:row>
      <xdr:rowOff>76200</xdr:rowOff>
    </xdr:from>
    <xdr:to>
      <xdr:col>11</xdr:col>
      <xdr:colOff>419100</xdr:colOff>
      <xdr:row>9</xdr:row>
      <xdr:rowOff>129540</xdr:rowOff>
    </xdr:to>
    <xdr:pic>
      <xdr:nvPicPr>
        <xdr:cNvPr id="6697462" name="Picture 2018">
          <a:extLst>
            <a:ext uri="{FF2B5EF4-FFF2-40B4-BE49-F238E27FC236}">
              <a16:creationId xmlns:a16="http://schemas.microsoft.com/office/drawing/2014/main" id="{9539311A-8ECA-4412-97B6-1009958F662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539740" y="1859280"/>
          <a:ext cx="21336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8</xdr:col>
      <xdr:colOff>72390</xdr:colOff>
      <xdr:row>7</xdr:row>
      <xdr:rowOff>120015</xdr:rowOff>
    </xdr:from>
    <xdr:to>
      <xdr:col>11</xdr:col>
      <xdr:colOff>346628</xdr:colOff>
      <xdr:row>9</xdr:row>
      <xdr:rowOff>112474</xdr:rowOff>
    </xdr:to>
    <xdr:sp macro="" textlink="" fLocksText="0">
      <xdr:nvSpPr>
        <xdr:cNvPr id="1060" name="Text Box 2019">
          <a:extLst>
            <a:ext uri="{FF2B5EF4-FFF2-40B4-BE49-F238E27FC236}">
              <a16:creationId xmlns:a16="http://schemas.microsoft.com/office/drawing/2014/main" id="{5A532782-E33A-4B6F-BF7B-02109B381482}"/>
            </a:ext>
          </a:extLst>
        </xdr:cNvPr>
        <xdr:cNvSpPr txBox="1">
          <a:spLocks noChangeArrowheads="1"/>
        </xdr:cNvSpPr>
      </xdr:nvSpPr>
      <xdr:spPr bwMode="auto">
        <a:xfrm>
          <a:off x="5467350" y="1914525"/>
          <a:ext cx="1924050" cy="381000"/>
        </a:xfrm>
        <a:prstGeom prst="rect">
          <a:avLst/>
        </a:prstGeom>
        <a:noFill/>
        <a:ln w="9525">
          <a:noFill/>
          <a:round/>
          <a:headEnd/>
          <a:tailEnd/>
        </a:ln>
        <a:effectLst/>
      </xdr:spPr>
      <xdr:txBody>
        <a:bodyPr vertOverflow="clip" wrap="square" lIns="20160" tIns="20160" rIns="20160" bIns="20160" anchor="t" upright="1"/>
        <a:lstStyle/>
        <a:p>
          <a:pPr algn="ctr" rtl="0">
            <a:defRPr sz="1000"/>
          </a:pPr>
          <a:r>
            <a:rPr lang="es-SV" sz="1200" b="0" i="0" u="none" strike="noStrike" baseline="0">
              <a:solidFill>
                <a:srgbClr val="000000"/>
              </a:solidFill>
              <a:latin typeface="Arial"/>
              <a:cs typeface="Arial"/>
            </a:rPr>
            <a:t>Informes</a:t>
          </a:r>
        </a:p>
        <a:p>
          <a:pPr algn="ctr" rtl="0">
            <a:defRPr sz="1000"/>
          </a:pPr>
          <a:endParaRPr lang="es-SV" sz="12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144780</xdr:colOff>
      <xdr:row>1</xdr:row>
      <xdr:rowOff>68580</xdr:rowOff>
    </xdr:from>
    <xdr:to>
      <xdr:col>1</xdr:col>
      <xdr:colOff>129540</xdr:colOff>
      <xdr:row>4</xdr:row>
      <xdr:rowOff>83820</xdr:rowOff>
    </xdr:to>
    <xdr:pic>
      <xdr:nvPicPr>
        <xdr:cNvPr id="10843" name="Picture 2">
          <a:extLst>
            <a:ext uri="{FF2B5EF4-FFF2-40B4-BE49-F238E27FC236}">
              <a16:creationId xmlns:a16="http://schemas.microsoft.com/office/drawing/2014/main" id="{442542D5-B98A-4CB6-A326-ECC59FD373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251460"/>
          <a:ext cx="769620" cy="982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1164092</xdr:colOff>
      <xdr:row>1</xdr:row>
      <xdr:rowOff>2741</xdr:rowOff>
    </xdr:to>
    <xdr:sp macro="" textlink="" fLocksText="0">
      <xdr:nvSpPr>
        <xdr:cNvPr id="2049" name="AutoShape 50">
          <a:hlinkClick xmlns:r="http://schemas.openxmlformats.org/officeDocument/2006/relationships" r:id="rId1"/>
          <a:extLst>
            <a:ext uri="{FF2B5EF4-FFF2-40B4-BE49-F238E27FC236}">
              <a16:creationId xmlns:a16="http://schemas.microsoft.com/office/drawing/2014/main" id="{CEE2D688-EBFE-4A68-8416-0018F90FFE5C}"/>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184785</xdr:colOff>
      <xdr:row>2</xdr:row>
      <xdr:rowOff>0</xdr:rowOff>
    </xdr:from>
    <xdr:to>
      <xdr:col>0</xdr:col>
      <xdr:colOff>1216568</xdr:colOff>
      <xdr:row>2</xdr:row>
      <xdr:rowOff>458728</xdr:rowOff>
    </xdr:to>
    <xdr:sp macro="" textlink="" fLocksText="0">
      <xdr:nvSpPr>
        <xdr:cNvPr id="4097" name="Rectangle 117">
          <a:hlinkClick xmlns:r="http://schemas.openxmlformats.org/officeDocument/2006/relationships" r:id="rId1"/>
          <a:extLst>
            <a:ext uri="{FF2B5EF4-FFF2-40B4-BE49-F238E27FC236}">
              <a16:creationId xmlns:a16="http://schemas.microsoft.com/office/drawing/2014/main" id="{8717CFB9-7291-47FC-B9A5-F99EFF0BCE98}"/>
            </a:ext>
          </a:extLst>
        </xdr:cNvPr>
        <xdr:cNvSpPr>
          <a:spLocks noChangeArrowheads="1"/>
        </xdr:cNvSpPr>
      </xdr:nvSpPr>
      <xdr:spPr bwMode="auto">
        <a:xfrm>
          <a:off x="200025" y="590550"/>
          <a:ext cx="981075" cy="447675"/>
        </a:xfrm>
        <a:prstGeom prst="rect">
          <a:avLst/>
        </a:prstGeom>
        <a:solidFill>
          <a:srgbClr val="FFFFFF"/>
        </a:solidFill>
        <a:ln w="9360" cap="sq">
          <a:solidFill>
            <a:srgbClr val="000000"/>
          </a:solidFill>
          <a:miter lim="800000"/>
          <a:headEnd/>
          <a:tailEnd/>
        </a:ln>
        <a:effectLst/>
      </xdr:spPr>
      <xdr:txBody>
        <a:bodyPr vertOverflow="clip" wrap="square" lIns="27360" tIns="22680" rIns="0" bIns="0" anchor="t" upright="1"/>
        <a:lstStyle/>
        <a:p>
          <a:pPr algn="l" rtl="0">
            <a:defRPr sz="1000"/>
          </a:pPr>
          <a:r>
            <a:rPr lang="es-SV" sz="900" b="0" i="0" u="none" strike="noStrike" baseline="0">
              <a:solidFill>
                <a:srgbClr val="000000"/>
              </a:solidFill>
              <a:latin typeface="Calibri"/>
            </a:rPr>
            <a:t>http://www.crwflags.com/fotw/flags/country.html</a:t>
          </a:r>
        </a:p>
      </xdr:txBody>
    </xdr:sp>
    <xdr:clientData/>
  </xdr:twoCellAnchor>
  <xdr:twoCellAnchor>
    <xdr:from>
      <xdr:col>0</xdr:col>
      <xdr:colOff>80010</xdr:colOff>
      <xdr:row>0</xdr:row>
      <xdr:rowOff>38100</xdr:rowOff>
    </xdr:from>
    <xdr:to>
      <xdr:col>0</xdr:col>
      <xdr:colOff>1030868</xdr:colOff>
      <xdr:row>1</xdr:row>
      <xdr:rowOff>112475</xdr:rowOff>
    </xdr:to>
    <xdr:sp macro="" textlink="" fLocksText="0">
      <xdr:nvSpPr>
        <xdr:cNvPr id="4098" name="AutoShape 50">
          <a:hlinkClick xmlns:r="http://schemas.openxmlformats.org/officeDocument/2006/relationships" r:id="rId2"/>
          <a:extLst>
            <a:ext uri="{FF2B5EF4-FFF2-40B4-BE49-F238E27FC236}">
              <a16:creationId xmlns:a16="http://schemas.microsoft.com/office/drawing/2014/main" id="{3194EEF8-98D0-41F6-990A-FA1E168D8F1E}"/>
            </a:ext>
          </a:extLst>
        </xdr:cNvPr>
        <xdr:cNvSpPr>
          <a:spLocks noChangeArrowheads="1"/>
        </xdr:cNvSpPr>
      </xdr:nvSpPr>
      <xdr:spPr bwMode="auto">
        <a:xfrm>
          <a:off x="85725" y="3810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twoCellAnchor>
    <xdr:from>
      <xdr:col>0</xdr:col>
      <xdr:colOff>228600</xdr:colOff>
      <xdr:row>1</xdr:row>
      <xdr:rowOff>274320</xdr:rowOff>
    </xdr:from>
    <xdr:to>
      <xdr:col>0</xdr:col>
      <xdr:colOff>1242060</xdr:colOff>
      <xdr:row>3</xdr:row>
      <xdr:rowOff>45720</xdr:rowOff>
    </xdr:to>
    <xdr:pic>
      <xdr:nvPicPr>
        <xdr:cNvPr id="6698025" name="Picture 711">
          <a:extLst>
            <a:ext uri="{FF2B5EF4-FFF2-40B4-BE49-F238E27FC236}">
              <a16:creationId xmlns:a16="http://schemas.microsoft.com/office/drawing/2014/main" id="{3A001133-FE2C-4CCA-A507-866039CBF5F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0" y="541020"/>
          <a:ext cx="101346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594360</xdr:colOff>
      <xdr:row>29</xdr:row>
      <xdr:rowOff>297180</xdr:rowOff>
    </xdr:from>
    <xdr:to>
      <xdr:col>7</xdr:col>
      <xdr:colOff>594360</xdr:colOff>
      <xdr:row>39</xdr:row>
      <xdr:rowOff>114300</xdr:rowOff>
    </xdr:to>
    <xdr:cxnSp macro="">
      <xdr:nvCxnSpPr>
        <xdr:cNvPr id="6699086" name="AutoShape 100">
          <a:extLst>
            <a:ext uri="{FF2B5EF4-FFF2-40B4-BE49-F238E27FC236}">
              <a16:creationId xmlns:a16="http://schemas.microsoft.com/office/drawing/2014/main" id="{CDCB988F-7F15-498F-8410-9EBF517AABE8}"/>
            </a:ext>
          </a:extLst>
        </xdr:cNvPr>
        <xdr:cNvCxnSpPr>
          <a:cxnSpLocks noChangeShapeType="1"/>
        </xdr:cNvCxnSpPr>
      </xdr:nvCxnSpPr>
      <xdr:spPr bwMode="auto">
        <a:xfrm flipH="1">
          <a:off x="13868400" y="4617720"/>
          <a:ext cx="0" cy="2263140"/>
        </a:xfrm>
        <a:prstGeom prst="straightConnector1">
          <a:avLst/>
        </a:prstGeom>
        <a:noFill/>
        <a:ln w="9360" cap="sq">
          <a:solidFill>
            <a:srgbClr val="000000"/>
          </a:solidFill>
          <a:miter lim="800000"/>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171450</xdr:colOff>
      <xdr:row>0</xdr:row>
      <xdr:rowOff>0</xdr:rowOff>
    </xdr:from>
    <xdr:to>
      <xdr:col>1</xdr:col>
      <xdr:colOff>948028</xdr:colOff>
      <xdr:row>0</xdr:row>
      <xdr:rowOff>333375</xdr:rowOff>
    </xdr:to>
    <xdr:sp macro="" textlink="" fLocksText="0">
      <xdr:nvSpPr>
        <xdr:cNvPr id="3076" name="AutoShape 50">
          <a:hlinkClick xmlns:r="http://schemas.openxmlformats.org/officeDocument/2006/relationships" r:id="rId1"/>
          <a:extLst>
            <a:ext uri="{FF2B5EF4-FFF2-40B4-BE49-F238E27FC236}">
              <a16:creationId xmlns:a16="http://schemas.microsoft.com/office/drawing/2014/main" id="{F2B7220C-A5DC-4802-BE5A-CB65CB5AB37C}"/>
            </a:ext>
          </a:extLst>
        </xdr:cNvPr>
        <xdr:cNvSpPr>
          <a:spLocks noChangeArrowheads="1"/>
        </xdr:cNvSpPr>
      </xdr:nvSpPr>
      <xdr:spPr bwMode="auto">
        <a:xfrm>
          <a:off x="171450" y="0"/>
          <a:ext cx="933450" cy="333375"/>
        </a:xfrm>
        <a:prstGeom prst="leftArrow">
          <a:avLst>
            <a:gd name="adj1" fmla="val 50000"/>
            <a:gd name="adj2" fmla="val 78906"/>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twoCellAnchor>
    <xdr:from>
      <xdr:col>2</xdr:col>
      <xdr:colOff>1242060</xdr:colOff>
      <xdr:row>47</xdr:row>
      <xdr:rowOff>38100</xdr:rowOff>
    </xdr:from>
    <xdr:to>
      <xdr:col>6</xdr:col>
      <xdr:colOff>998220</xdr:colOff>
      <xdr:row>48</xdr:row>
      <xdr:rowOff>45720</xdr:rowOff>
    </xdr:to>
    <xdr:grpSp>
      <xdr:nvGrpSpPr>
        <xdr:cNvPr id="6699088" name="Group 18">
          <a:extLst>
            <a:ext uri="{FF2B5EF4-FFF2-40B4-BE49-F238E27FC236}">
              <a16:creationId xmlns:a16="http://schemas.microsoft.com/office/drawing/2014/main" id="{8AE749D3-4175-42AD-8302-184ACA34D214}"/>
            </a:ext>
          </a:extLst>
        </xdr:cNvPr>
        <xdr:cNvGrpSpPr>
          <a:grpSpLocks/>
        </xdr:cNvGrpSpPr>
      </xdr:nvGrpSpPr>
      <xdr:grpSpPr bwMode="auto">
        <a:xfrm>
          <a:off x="5416847" y="8395781"/>
          <a:ext cx="4976671" cy="194067"/>
          <a:chOff x="16695" y="12750"/>
          <a:chExt cx="10119" cy="298"/>
        </a:xfrm>
      </xdr:grpSpPr>
      <xdr:cxnSp macro="">
        <xdr:nvCxnSpPr>
          <xdr:cNvPr id="6699089" name="AutoShape 100">
            <a:extLst>
              <a:ext uri="{FF2B5EF4-FFF2-40B4-BE49-F238E27FC236}">
                <a16:creationId xmlns:a16="http://schemas.microsoft.com/office/drawing/2014/main" id="{FA6D4979-F813-4E08-873B-68C7DBAAF0FD}"/>
              </a:ext>
            </a:extLst>
          </xdr:cNvPr>
          <xdr:cNvCxnSpPr>
            <a:cxnSpLocks noChangeShapeType="1"/>
          </xdr:cNvCxnSpPr>
        </xdr:nvCxnSpPr>
        <xdr:spPr bwMode="auto">
          <a:xfrm>
            <a:off x="16724" y="13026"/>
            <a:ext cx="10086" cy="2"/>
          </a:xfrm>
          <a:prstGeom prst="straightConnector1">
            <a:avLst/>
          </a:prstGeom>
          <a:noFill/>
          <a:ln w="9360" cap="sq">
            <a:solidFill>
              <a:srgbClr val="000000"/>
            </a:solidFill>
            <a:miter lim="800000"/>
            <a:headEnd/>
            <a:tailEnd/>
          </a:ln>
          <a:extLst>
            <a:ext uri="{909E8E84-426E-40DD-AFC4-6F175D3DCCD1}">
              <a14:hiddenFill xmlns:a14="http://schemas.microsoft.com/office/drawing/2010/main">
                <a:noFill/>
              </a14:hiddenFill>
            </a:ext>
          </a:extLst>
        </xdr:spPr>
      </xdr:cxnSp>
      <xdr:sp macro="" textlink="">
        <xdr:nvSpPr>
          <xdr:cNvPr id="6699090" name="Straight Connector 16">
            <a:extLst>
              <a:ext uri="{FF2B5EF4-FFF2-40B4-BE49-F238E27FC236}">
                <a16:creationId xmlns:a16="http://schemas.microsoft.com/office/drawing/2014/main" id="{3B1C86F6-C3F7-4FAC-BF4D-2C064BE777B0}"/>
              </a:ext>
            </a:extLst>
          </xdr:cNvPr>
          <xdr:cNvSpPr>
            <a:spLocks noChangeShapeType="1"/>
          </xdr:cNvSpPr>
        </xdr:nvSpPr>
        <xdr:spPr bwMode="auto">
          <a:xfrm flipV="1">
            <a:off x="16695" y="12750"/>
            <a:ext cx="0" cy="273"/>
          </a:xfrm>
          <a:prstGeom prst="line">
            <a:avLst/>
          </a:prstGeom>
          <a:noFill/>
          <a:ln w="9360" cap="sq">
            <a:solidFill>
              <a:srgbClr val="000000"/>
            </a:solidFill>
            <a:miter lim="800000"/>
            <a:headEnd/>
            <a:tailEnd type="triangle" w="med" len="med"/>
          </a:ln>
          <a:extLst>
            <a:ext uri="{909E8E84-426E-40DD-AFC4-6F175D3DCCD1}">
              <a14:hiddenFill xmlns:a14="http://schemas.microsoft.com/office/drawing/2010/main">
                <a:noFill/>
              </a14:hiddenFill>
            </a:ext>
          </a:extLst>
        </xdr:spPr>
      </xdr:sp>
      <xdr:sp macro="" textlink="">
        <xdr:nvSpPr>
          <xdr:cNvPr id="6699091" name="Straight Connector 17">
            <a:extLst>
              <a:ext uri="{FF2B5EF4-FFF2-40B4-BE49-F238E27FC236}">
                <a16:creationId xmlns:a16="http://schemas.microsoft.com/office/drawing/2014/main" id="{CD199979-C06C-4BF8-9AA8-7C76C4166308}"/>
              </a:ext>
            </a:extLst>
          </xdr:cNvPr>
          <xdr:cNvSpPr>
            <a:spLocks noChangeShapeType="1"/>
          </xdr:cNvSpPr>
        </xdr:nvSpPr>
        <xdr:spPr bwMode="auto">
          <a:xfrm flipV="1">
            <a:off x="26815" y="12775"/>
            <a:ext cx="0" cy="273"/>
          </a:xfrm>
          <a:prstGeom prst="line">
            <a:avLst/>
          </a:prstGeom>
          <a:noFill/>
          <a:ln w="9360" cap="sq">
            <a:solidFill>
              <a:srgbClr val="000000"/>
            </a:solidFill>
            <a:miter lim="800000"/>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22860</xdr:colOff>
      <xdr:row>9</xdr:row>
      <xdr:rowOff>106680</xdr:rowOff>
    </xdr:from>
    <xdr:to>
      <xdr:col>6</xdr:col>
      <xdr:colOff>228600</xdr:colOff>
      <xdr:row>21</xdr:row>
      <xdr:rowOff>158750</xdr:rowOff>
    </xdr:to>
    <xdr:graphicFrame macro="">
      <xdr:nvGraphicFramePr>
        <xdr:cNvPr id="6700084" name="Chart 1">
          <a:extLst>
            <a:ext uri="{FF2B5EF4-FFF2-40B4-BE49-F238E27FC236}">
              <a16:creationId xmlns:a16="http://schemas.microsoft.com/office/drawing/2014/main" id="{88DE1D3E-13A4-4CC0-B30E-ECF09936C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1577340</xdr:colOff>
      <xdr:row>9</xdr:row>
      <xdr:rowOff>83820</xdr:rowOff>
    </xdr:from>
    <xdr:to>
      <xdr:col>15</xdr:col>
      <xdr:colOff>114300</xdr:colOff>
      <xdr:row>22</xdr:row>
      <xdr:rowOff>152400</xdr:rowOff>
    </xdr:to>
    <xdr:graphicFrame macro="">
      <xdr:nvGraphicFramePr>
        <xdr:cNvPr id="6700085" name="Chart 2">
          <a:extLst>
            <a:ext uri="{FF2B5EF4-FFF2-40B4-BE49-F238E27FC236}">
              <a16:creationId xmlns:a16="http://schemas.microsoft.com/office/drawing/2014/main" id="{F7CA87BE-6FAD-4DDC-BBAF-4E7EEFA39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0</xdr:rowOff>
    </xdr:from>
    <xdr:to>
      <xdr:col>5</xdr:col>
      <xdr:colOff>1783080</xdr:colOff>
      <xdr:row>31</xdr:row>
      <xdr:rowOff>38100</xdr:rowOff>
    </xdr:to>
    <xdr:graphicFrame macro="">
      <xdr:nvGraphicFramePr>
        <xdr:cNvPr id="6700086" name="Chart 3">
          <a:extLst>
            <a:ext uri="{FF2B5EF4-FFF2-40B4-BE49-F238E27FC236}">
              <a16:creationId xmlns:a16="http://schemas.microsoft.com/office/drawing/2014/main" id="{DE1305DB-BFBC-466E-A629-32AD32BB0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1</xdr:col>
      <xdr:colOff>737023</xdr:colOff>
      <xdr:row>0</xdr:row>
      <xdr:rowOff>333375</xdr:rowOff>
    </xdr:to>
    <xdr:sp macro="" textlink="" fLocksText="0">
      <xdr:nvSpPr>
        <xdr:cNvPr id="5124" name="AutoShape 50">
          <a:hlinkClick xmlns:r="http://schemas.openxmlformats.org/officeDocument/2006/relationships" r:id="rId4"/>
          <a:extLst>
            <a:ext uri="{FF2B5EF4-FFF2-40B4-BE49-F238E27FC236}">
              <a16:creationId xmlns:a16="http://schemas.microsoft.com/office/drawing/2014/main" id="{0BD85DF6-1FE9-4A59-9FEE-E6240D4D7DFE}"/>
            </a:ext>
          </a:extLst>
        </xdr:cNvPr>
        <xdr:cNvSpPr>
          <a:spLocks noChangeArrowheads="1"/>
        </xdr:cNvSpPr>
      </xdr:nvSpPr>
      <xdr:spPr bwMode="auto">
        <a:xfrm>
          <a:off x="0" y="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30480</xdr:colOff>
      <xdr:row>7</xdr:row>
      <xdr:rowOff>160020</xdr:rowOff>
    </xdr:from>
    <xdr:to>
      <xdr:col>12</xdr:col>
      <xdr:colOff>220980</xdr:colOff>
      <xdr:row>14</xdr:row>
      <xdr:rowOff>152400</xdr:rowOff>
    </xdr:to>
    <xdr:graphicFrame macro="">
      <xdr:nvGraphicFramePr>
        <xdr:cNvPr id="6704206" name="Chart 1">
          <a:extLst>
            <a:ext uri="{FF2B5EF4-FFF2-40B4-BE49-F238E27FC236}">
              <a16:creationId xmlns:a16="http://schemas.microsoft.com/office/drawing/2014/main" id="{3EDA00A3-6E67-4F7F-BEEA-23C687B5E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68580</xdr:colOff>
      <xdr:row>16</xdr:row>
      <xdr:rowOff>0</xdr:rowOff>
    </xdr:from>
    <xdr:to>
      <xdr:col>6</xdr:col>
      <xdr:colOff>0</xdr:colOff>
      <xdr:row>25</xdr:row>
      <xdr:rowOff>30480</xdr:rowOff>
    </xdr:to>
    <xdr:graphicFrame macro="">
      <xdr:nvGraphicFramePr>
        <xdr:cNvPr id="6704207" name="Chart 2">
          <a:extLst>
            <a:ext uri="{FF2B5EF4-FFF2-40B4-BE49-F238E27FC236}">
              <a16:creationId xmlns:a16="http://schemas.microsoft.com/office/drawing/2014/main" id="{96AADA04-A447-40B1-A897-EFBB74312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xdr:row>
      <xdr:rowOff>15240</xdr:rowOff>
    </xdr:from>
    <xdr:to>
      <xdr:col>6</xdr:col>
      <xdr:colOff>99060</xdr:colOff>
      <xdr:row>14</xdr:row>
      <xdr:rowOff>251460</xdr:rowOff>
    </xdr:to>
    <xdr:graphicFrame macro="">
      <xdr:nvGraphicFramePr>
        <xdr:cNvPr id="6704208" name="Chart 3">
          <a:extLst>
            <a:ext uri="{FF2B5EF4-FFF2-40B4-BE49-F238E27FC236}">
              <a16:creationId xmlns:a16="http://schemas.microsoft.com/office/drawing/2014/main" id="{F30C3888-5B26-4A47-B74F-E0B0A99AB2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1150620</xdr:colOff>
      <xdr:row>16</xdr:row>
      <xdr:rowOff>7620</xdr:rowOff>
    </xdr:from>
    <xdr:to>
      <xdr:col>13</xdr:col>
      <xdr:colOff>220980</xdr:colOff>
      <xdr:row>25</xdr:row>
      <xdr:rowOff>45720</xdr:rowOff>
    </xdr:to>
    <xdr:graphicFrame macro="">
      <xdr:nvGraphicFramePr>
        <xdr:cNvPr id="6704209" name="Chart 4">
          <a:extLst>
            <a:ext uri="{FF2B5EF4-FFF2-40B4-BE49-F238E27FC236}">
              <a16:creationId xmlns:a16="http://schemas.microsoft.com/office/drawing/2014/main" id="{F8892D62-3694-4E89-8DC1-040D55BCB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220980</xdr:colOff>
      <xdr:row>27</xdr:row>
      <xdr:rowOff>45720</xdr:rowOff>
    </xdr:from>
    <xdr:to>
      <xdr:col>6</xdr:col>
      <xdr:colOff>114300</xdr:colOff>
      <xdr:row>34</xdr:row>
      <xdr:rowOff>236220</xdr:rowOff>
    </xdr:to>
    <xdr:graphicFrame macro="">
      <xdr:nvGraphicFramePr>
        <xdr:cNvPr id="6704210" name="Chart 5">
          <a:extLst>
            <a:ext uri="{FF2B5EF4-FFF2-40B4-BE49-F238E27FC236}">
              <a16:creationId xmlns:a16="http://schemas.microsoft.com/office/drawing/2014/main" id="{A5500054-E4CB-41F8-9DA1-CA0DCB071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0</xdr:row>
      <xdr:rowOff>9525</xdr:rowOff>
    </xdr:from>
    <xdr:to>
      <xdr:col>1</xdr:col>
      <xdr:colOff>718468</xdr:colOff>
      <xdr:row>0</xdr:row>
      <xdr:rowOff>342900</xdr:rowOff>
    </xdr:to>
    <xdr:sp macro="" textlink="" fLocksText="0">
      <xdr:nvSpPr>
        <xdr:cNvPr id="6150" name="AutoShape 50">
          <a:hlinkClick xmlns:r="http://schemas.openxmlformats.org/officeDocument/2006/relationships" r:id="rId6"/>
          <a:extLst>
            <a:ext uri="{FF2B5EF4-FFF2-40B4-BE49-F238E27FC236}">
              <a16:creationId xmlns:a16="http://schemas.microsoft.com/office/drawing/2014/main" id="{96CCEE3B-F06F-44FA-BA97-4DFE40FB9F1D}"/>
            </a:ext>
          </a:extLst>
        </xdr:cNvPr>
        <xdr:cNvSpPr>
          <a:spLocks noChangeArrowheads="1"/>
        </xdr:cNvSpPr>
      </xdr:nvSpPr>
      <xdr:spPr bwMode="auto">
        <a:xfrm>
          <a:off x="0" y="9525"/>
          <a:ext cx="914400" cy="333375"/>
        </a:xfrm>
        <a:prstGeom prst="leftArrow">
          <a:avLst>
            <a:gd name="adj1" fmla="val 50000"/>
            <a:gd name="adj2" fmla="val 77295"/>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426720</xdr:colOff>
      <xdr:row>9</xdr:row>
      <xdr:rowOff>144780</xdr:rowOff>
    </xdr:from>
    <xdr:to>
      <xdr:col>12</xdr:col>
      <xdr:colOff>243840</xdr:colOff>
      <xdr:row>18</xdr:row>
      <xdr:rowOff>22860</xdr:rowOff>
    </xdr:to>
    <xdr:graphicFrame macro="">
      <xdr:nvGraphicFramePr>
        <xdr:cNvPr id="6710324" name="Chart 1">
          <a:extLst>
            <a:ext uri="{FF2B5EF4-FFF2-40B4-BE49-F238E27FC236}">
              <a16:creationId xmlns:a16="http://schemas.microsoft.com/office/drawing/2014/main" id="{8634876C-EA80-42A6-A3CF-176A3EF81F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693420</xdr:colOff>
      <xdr:row>9</xdr:row>
      <xdr:rowOff>198120</xdr:rowOff>
    </xdr:from>
    <xdr:to>
      <xdr:col>18</xdr:col>
      <xdr:colOff>60960</xdr:colOff>
      <xdr:row>18</xdr:row>
      <xdr:rowOff>60960</xdr:rowOff>
    </xdr:to>
    <xdr:graphicFrame macro="">
      <xdr:nvGraphicFramePr>
        <xdr:cNvPr id="6710325" name="Chart 2">
          <a:extLst>
            <a:ext uri="{FF2B5EF4-FFF2-40B4-BE49-F238E27FC236}">
              <a16:creationId xmlns:a16="http://schemas.microsoft.com/office/drawing/2014/main" id="{0703DC01-CBD0-4F7D-BD98-8721C6009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0</xdr:row>
      <xdr:rowOff>19050</xdr:rowOff>
    </xdr:from>
    <xdr:to>
      <xdr:col>1</xdr:col>
      <xdr:colOff>927603</xdr:colOff>
      <xdr:row>1</xdr:row>
      <xdr:rowOff>38793</xdr:rowOff>
    </xdr:to>
    <xdr:sp macro="" textlink="" fLocksText="0">
      <xdr:nvSpPr>
        <xdr:cNvPr id="7171" name="AutoShape 50">
          <a:hlinkClick xmlns:r="http://schemas.openxmlformats.org/officeDocument/2006/relationships" r:id="rId3"/>
          <a:extLst>
            <a:ext uri="{FF2B5EF4-FFF2-40B4-BE49-F238E27FC236}">
              <a16:creationId xmlns:a16="http://schemas.microsoft.com/office/drawing/2014/main" id="{CA41EABF-AD5C-4593-B3D7-3E681A63E5F0}"/>
            </a:ext>
          </a:extLst>
        </xdr:cNvPr>
        <xdr:cNvSpPr>
          <a:spLocks noChangeArrowheads="1"/>
        </xdr:cNvSpPr>
      </xdr:nvSpPr>
      <xdr:spPr bwMode="auto">
        <a:xfrm>
          <a:off x="28575" y="19050"/>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twoCellAnchor>
    <xdr:from>
      <xdr:col>1</xdr:col>
      <xdr:colOff>266700</xdr:colOff>
      <xdr:row>9</xdr:row>
      <xdr:rowOff>114300</xdr:rowOff>
    </xdr:from>
    <xdr:to>
      <xdr:col>5</xdr:col>
      <xdr:colOff>274320</xdr:colOff>
      <xdr:row>17</xdr:row>
      <xdr:rowOff>68580</xdr:rowOff>
    </xdr:to>
    <xdr:graphicFrame macro="">
      <xdr:nvGraphicFramePr>
        <xdr:cNvPr id="6710327" name="Chart 4">
          <a:extLst>
            <a:ext uri="{FF2B5EF4-FFF2-40B4-BE49-F238E27FC236}">
              <a16:creationId xmlns:a16="http://schemas.microsoft.com/office/drawing/2014/main" id="{5E0AADD8-F649-4152-B43E-84AC9A81D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47625</xdr:rowOff>
    </xdr:from>
    <xdr:to>
      <xdr:col>1</xdr:col>
      <xdr:colOff>952309</xdr:colOff>
      <xdr:row>0</xdr:row>
      <xdr:rowOff>381000</xdr:rowOff>
    </xdr:to>
    <xdr:sp macro="" textlink="" fLocksText="0">
      <xdr:nvSpPr>
        <xdr:cNvPr id="8193" name="AutoShape 50">
          <a:hlinkClick xmlns:r="http://schemas.openxmlformats.org/officeDocument/2006/relationships" r:id="rId1"/>
          <a:extLst>
            <a:ext uri="{FF2B5EF4-FFF2-40B4-BE49-F238E27FC236}">
              <a16:creationId xmlns:a16="http://schemas.microsoft.com/office/drawing/2014/main" id="{9B4E53BA-6C60-46AD-8DB4-7F2F7B181EA9}"/>
            </a:ext>
          </a:extLst>
        </xdr:cNvPr>
        <xdr:cNvSpPr>
          <a:spLocks noChangeArrowheads="1"/>
        </xdr:cNvSpPr>
      </xdr:nvSpPr>
      <xdr:spPr bwMode="auto">
        <a:xfrm>
          <a:off x="47625" y="47625"/>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xdr:col>
      <xdr:colOff>720910</xdr:colOff>
      <xdr:row>0</xdr:row>
      <xdr:rowOff>354373</xdr:rowOff>
    </xdr:to>
    <xdr:sp macro="" textlink="" fLocksText="0">
      <xdr:nvSpPr>
        <xdr:cNvPr id="9217" name="AutoShape 50">
          <a:hlinkClick xmlns:r="http://schemas.openxmlformats.org/officeDocument/2006/relationships" r:id="rId1"/>
          <a:extLst>
            <a:ext uri="{FF2B5EF4-FFF2-40B4-BE49-F238E27FC236}">
              <a16:creationId xmlns:a16="http://schemas.microsoft.com/office/drawing/2014/main" id="{6220F43B-0D43-4B14-B8BA-2BD2D58BFAEC}"/>
            </a:ext>
          </a:extLst>
        </xdr:cNvPr>
        <xdr:cNvSpPr>
          <a:spLocks noChangeArrowheads="1"/>
        </xdr:cNvSpPr>
      </xdr:nvSpPr>
      <xdr:spPr bwMode="auto">
        <a:xfrm>
          <a:off x="28575" y="28575"/>
          <a:ext cx="923925" cy="333375"/>
        </a:xfrm>
        <a:prstGeom prst="leftArrow">
          <a:avLst>
            <a:gd name="adj1" fmla="val 50000"/>
            <a:gd name="adj2" fmla="val 78100"/>
          </a:avLst>
        </a:prstGeom>
        <a:solidFill>
          <a:srgbClr val="FFFF99"/>
        </a:solidFill>
        <a:ln w="9360" cap="sq">
          <a:solidFill>
            <a:srgbClr val="000000"/>
          </a:solidFill>
          <a:miter lim="800000"/>
          <a:headEnd/>
          <a:tailEnd/>
        </a:ln>
        <a:effectLst/>
      </xdr:spPr>
      <xdr:txBody>
        <a:bodyPr vertOverflow="clip" wrap="square" lIns="18000" tIns="0" rIns="18000" bIns="0" anchor="ctr" upright="1"/>
        <a:lstStyle/>
        <a:p>
          <a:pPr algn="ctr" rtl="0">
            <a:defRPr sz="1000"/>
          </a:pPr>
          <a:r>
            <a:rPr lang="es-SV" sz="1000" b="0" i="0" u="none" strike="noStrike" baseline="0">
              <a:solidFill>
                <a:srgbClr val="000000"/>
              </a:solidFill>
              <a:latin typeface="Calibri"/>
            </a:rPr>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Administrator\My%20Documents\Downloads\Ficticia%20HIV%20Dashboard_ES%20-%20Set%20Up%20and%20Maintenance%20Gu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urillo/AppData/Local/Temp/Temp1_PU%20Plan%2028022019.zip/PU%20Plan%2028022019/SLV-H-PLAN_Progress%20Report_31Dec2018_v4_28_02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refreshError="1"/>
      <sheetData sheetId="1">
        <row r="6">
          <cell r="B6" t="str">
            <v>Subvención nº:</v>
          </cell>
          <cell r="C6" t="str">
            <v>FIC-910-G01-H</v>
          </cell>
        </row>
      </sheetData>
      <sheetData sheetId="2">
        <row r="3">
          <cell r="B3" t="str">
            <v>Tablero de mando:  Ficticia - VIH / SIDA</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Version history"/>
      <sheetName val="Coversheet Import-Export"/>
      <sheetName val="Admin Sheet"/>
      <sheetName val="Translations"/>
      <sheetName val="Impact Outcome Indicators_1A"/>
      <sheetName val="ImpactOutcome_Import-Export"/>
      <sheetName val="Disaggregation_1A"/>
      <sheetName val="Disagg.1A_import-export"/>
      <sheetName val="Coverage Indicators_1B"/>
      <sheetName val="Coverage Indicator_Import-Expor"/>
      <sheetName val="Disaggregation_1B"/>
      <sheetName val="Disaggregation1B_Import-Export"/>
      <sheetName val="WPTM_1C"/>
      <sheetName val="WPTM_1C  Import-Export"/>
      <sheetName val="PR Cash Reconciliation_2A,B,C,D"/>
      <sheetName val="Commitments_Obligations"/>
      <sheetName val="PR Cash Recon Import-Export"/>
      <sheetName val="SR_Cash Reconciliation_2E"/>
      <sheetName val="SR Cash Recon Import Export"/>
      <sheetName val="Budget Variance_2F"/>
      <sheetName val="Budget Variance Import-Export"/>
      <sheetName val="Procurement_3"/>
      <sheetName val="Grant Management_4"/>
      <sheetName val="Grant Management_4 imp-exp"/>
      <sheetName val="MitigationAction"/>
      <sheetName val="RiskData"/>
      <sheetName val="PR-LFA Evaluation_5"/>
      <sheetName val="LFA_Findings&amp;Recommendations_6"/>
      <sheetName val="LFA_Findings&amp;Recom export"/>
      <sheetName val="PR Expenditure_7A"/>
      <sheetName val="PR Expenditure_7A import-export"/>
      <sheetName val="LFA Expenditure_7B"/>
      <sheetName val="LFA Expenditure_7B imp-exp"/>
      <sheetName val="Cash Forecast_8A"/>
      <sheetName val="Cash Forecast_8A import-export"/>
      <sheetName val="Request and Recommendation_8B"/>
      <sheetName val="Reference Records"/>
      <sheetName val="PR Authorization_9A"/>
      <sheetName val="LFA Authorization_9B"/>
      <sheetName val="Financial Triggers_10"/>
      <sheetName val="Free Sheet 1"/>
      <sheetName val="Free Sheet 2"/>
      <sheetName val="Free Sheet 3"/>
      <sheetName val="apttusmeta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04">
          <cell r="K104">
            <v>2766507.11</v>
          </cell>
        </row>
        <row r="105">
          <cell r="K105">
            <v>423622.04</v>
          </cell>
        </row>
        <row r="106">
          <cell r="K106">
            <v>45256.12</v>
          </cell>
        </row>
        <row r="107">
          <cell r="K107">
            <v>553103.27</v>
          </cell>
        </row>
        <row r="108">
          <cell r="K108">
            <v>1178140.1000000001</v>
          </cell>
        </row>
        <row r="109">
          <cell r="K109">
            <v>28179.78</v>
          </cell>
        </row>
        <row r="110">
          <cell r="K110">
            <v>186400.0006</v>
          </cell>
        </row>
        <row r="111">
          <cell r="K111">
            <v>297760.15999999997</v>
          </cell>
        </row>
        <row r="112">
          <cell r="K112">
            <v>276088.40000000002</v>
          </cell>
        </row>
        <row r="113">
          <cell r="K113">
            <v>54000</v>
          </cell>
        </row>
        <row r="114">
          <cell r="K114">
            <v>363853.28</v>
          </cell>
        </row>
        <row r="115">
          <cell r="K115">
            <v>828569.16</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O4"/>
  <sheetViews>
    <sheetView showGridLines="0" zoomScale="80" zoomScaleNormal="80" workbookViewId="0">
      <selection activeCell="J4" sqref="J4"/>
    </sheetView>
  </sheetViews>
  <sheetFormatPr baseColWidth="10" defaultColWidth="9.109375" defaultRowHeight="14.4"/>
  <cols>
    <col min="1" max="1" width="1.109375" customWidth="1"/>
    <col min="2" max="10" width="11.44140625" customWidth="1"/>
    <col min="11" max="11" width="1.6640625" customWidth="1"/>
  </cols>
  <sheetData>
    <row r="1" spans="2:15" ht="25.5" customHeight="1"/>
    <row r="2" spans="2:15" ht="36.6">
      <c r="B2" s="439" t="str">
        <f>+'[1]Información de la subvención'!B3:J3</f>
        <v>Tablero de mando:  Ficticia - VIH / SIDA</v>
      </c>
      <c r="C2" s="439"/>
      <c r="D2" s="439"/>
      <c r="E2" s="439"/>
      <c r="F2" s="439"/>
      <c r="G2" s="439"/>
      <c r="H2" s="439"/>
      <c r="I2" s="439"/>
      <c r="J2" s="439"/>
      <c r="K2" s="439"/>
      <c r="L2" s="439"/>
      <c r="M2" s="1"/>
      <c r="N2" s="1"/>
      <c r="O2" s="1"/>
    </row>
    <row r="4" spans="2:15" ht="21">
      <c r="B4" s="440" t="str">
        <f>+'Introducción de datos'!G6&amp;"  "&amp;+'Introducción de datos'!G8&amp;",  "&amp;+'Introducción de datos'!I8</f>
        <v>VIH / SIDA  Seleccionar,  Seleccionar</v>
      </c>
      <c r="C4" s="440"/>
      <c r="D4" s="440"/>
      <c r="E4" s="440"/>
      <c r="F4" s="2"/>
      <c r="G4" s="2"/>
      <c r="H4" s="3" t="str">
        <f>+'[1]Introducción de datos'!B6&amp;" "&amp;+'[1]Introducción de datos'!C6</f>
        <v>Subvención nº: FIC-910-G01-H</v>
      </c>
      <c r="I4" s="3"/>
      <c r="J4" s="3"/>
      <c r="K4" s="2"/>
      <c r="L4" s="2"/>
    </row>
  </sheetData>
  <sheetProtection selectLockedCells="1" selectUnlockedCells="1"/>
  <mergeCells count="2">
    <mergeCell ref="B2:L2"/>
    <mergeCell ref="B4:E4"/>
  </mergeCells>
  <phoneticPr fontId="71"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48"/>
  <sheetViews>
    <sheetView showGridLines="0" topLeftCell="G6" zoomScale="80" zoomScaleNormal="80" workbookViewId="0">
      <selection activeCell="H9" sqref="H9:H21"/>
    </sheetView>
  </sheetViews>
  <sheetFormatPr baseColWidth="10" defaultColWidth="9.109375" defaultRowHeight="14.4"/>
  <cols>
    <col min="1" max="1" width="11.44140625" customWidth="1"/>
    <col min="2" max="2" width="16.109375" customWidth="1"/>
    <col min="3" max="3" width="14.6640625" customWidth="1"/>
    <col min="4" max="4" width="15.5546875" customWidth="1"/>
    <col min="5" max="6" width="11.44140625" customWidth="1"/>
    <col min="7" max="7" width="14.44140625" customWidth="1"/>
    <col min="8" max="8" width="35.5546875" customWidth="1"/>
    <col min="9" max="9" width="45.6640625" customWidth="1"/>
    <col min="10" max="10" width="33.5546875" customWidth="1"/>
    <col min="11" max="12" width="11.44140625" customWidth="1"/>
    <col min="13" max="13" width="28.5546875" customWidth="1"/>
    <col min="14" max="14" width="46.44140625" customWidth="1"/>
  </cols>
  <sheetData>
    <row r="2" spans="2:13" ht="25.5" customHeight="1"/>
    <row r="3" spans="2:13" ht="36.6">
      <c r="B3" s="475" t="str">
        <f>'Información de la subvención'!B3:J3</f>
        <v>Tablero de mando:  El Salvador - VIH / SIDA</v>
      </c>
      <c r="C3" s="475"/>
      <c r="D3" s="475"/>
      <c r="E3" s="475"/>
      <c r="F3" s="475"/>
      <c r="G3" s="475"/>
      <c r="H3" s="475"/>
      <c r="I3" s="218"/>
    </row>
    <row r="6" spans="2:13" ht="18">
      <c r="B6" s="719" t="s">
        <v>34</v>
      </c>
      <c r="C6" s="719"/>
      <c r="D6" s="719"/>
      <c r="E6" s="719"/>
      <c r="F6" s="719"/>
      <c r="G6" s="719"/>
      <c r="H6" s="719"/>
    </row>
    <row r="8" spans="2:13" ht="18">
      <c r="B8" s="326" t="s">
        <v>35</v>
      </c>
      <c r="C8" s="326" t="s">
        <v>36</v>
      </c>
      <c r="D8" s="326" t="s">
        <v>37</v>
      </c>
      <c r="E8" s="326" t="s">
        <v>38</v>
      </c>
      <c r="F8" s="326" t="s">
        <v>39</v>
      </c>
      <c r="G8" s="326" t="s">
        <v>40</v>
      </c>
      <c r="H8" s="326" t="s">
        <v>41</v>
      </c>
      <c r="I8" s="326" t="s">
        <v>42</v>
      </c>
      <c r="J8" s="326" t="s">
        <v>43</v>
      </c>
    </row>
    <row r="9" spans="2:13">
      <c r="B9" s="327" t="s">
        <v>44</v>
      </c>
      <c r="C9" s="327" t="s">
        <v>44</v>
      </c>
      <c r="D9" s="327" t="s">
        <v>44</v>
      </c>
      <c r="E9" s="327" t="s">
        <v>44</v>
      </c>
      <c r="F9" s="327" t="s">
        <v>44</v>
      </c>
      <c r="G9" s="327" t="s">
        <v>44</v>
      </c>
      <c r="H9" s="327" t="s">
        <v>44</v>
      </c>
      <c r="I9" s="328" t="s">
        <v>44</v>
      </c>
      <c r="J9" s="327" t="s">
        <v>44</v>
      </c>
    </row>
    <row r="10" spans="2:13">
      <c r="B10" s="329" t="s">
        <v>45</v>
      </c>
      <c r="C10" s="329" t="s">
        <v>203</v>
      </c>
      <c r="D10" s="329" t="s">
        <v>46</v>
      </c>
      <c r="E10" s="329" t="s">
        <v>47</v>
      </c>
      <c r="F10" s="329" t="s">
        <v>16</v>
      </c>
      <c r="G10" s="329" t="s">
        <v>188</v>
      </c>
      <c r="H10" s="330" t="s">
        <v>48</v>
      </c>
      <c r="I10" s="328" t="s">
        <v>261</v>
      </c>
      <c r="J10" s="327" t="s">
        <v>49</v>
      </c>
    </row>
    <row r="11" spans="2:13">
      <c r="B11" s="329" t="s">
        <v>50</v>
      </c>
      <c r="C11" s="329" t="s">
        <v>51</v>
      </c>
      <c r="D11" s="329" t="s">
        <v>52</v>
      </c>
      <c r="E11" s="329" t="s">
        <v>183</v>
      </c>
      <c r="F11" s="329" t="s">
        <v>17</v>
      </c>
      <c r="G11" s="329" t="s">
        <v>53</v>
      </c>
      <c r="H11" s="330" t="s">
        <v>54</v>
      </c>
      <c r="I11" s="328" t="s">
        <v>262</v>
      </c>
      <c r="J11" s="327" t="s">
        <v>55</v>
      </c>
    </row>
    <row r="12" spans="2:13">
      <c r="B12" s="329" t="s">
        <v>177</v>
      </c>
      <c r="D12" s="329" t="s">
        <v>56</v>
      </c>
      <c r="E12" s="329" t="s">
        <v>57</v>
      </c>
      <c r="F12" s="329" t="s">
        <v>18</v>
      </c>
      <c r="G12" s="329" t="s">
        <v>58</v>
      </c>
      <c r="H12" s="330" t="s">
        <v>59</v>
      </c>
      <c r="I12" s="328" t="s">
        <v>263</v>
      </c>
      <c r="J12" s="327" t="s">
        <v>60</v>
      </c>
      <c r="M12" s="331"/>
    </row>
    <row r="13" spans="2:13">
      <c r="B13" s="329" t="s">
        <v>61</v>
      </c>
      <c r="D13" s="329" t="s">
        <v>62</v>
      </c>
      <c r="E13" s="332"/>
      <c r="F13" s="329" t="s">
        <v>19</v>
      </c>
      <c r="G13" s="329" t="s">
        <v>63</v>
      </c>
      <c r="H13" s="330" t="s">
        <v>64</v>
      </c>
      <c r="I13" s="328" t="s">
        <v>264</v>
      </c>
      <c r="J13" s="327" t="s">
        <v>65</v>
      </c>
      <c r="M13" s="331"/>
    </row>
    <row r="14" spans="2:13">
      <c r="B14" s="329" t="s">
        <v>66</v>
      </c>
      <c r="D14" s="329" t="s">
        <v>67</v>
      </c>
      <c r="F14" s="329" t="s">
        <v>20</v>
      </c>
      <c r="G14" s="329" t="s">
        <v>68</v>
      </c>
      <c r="H14" s="330" t="s">
        <v>69</v>
      </c>
      <c r="I14" s="328" t="s">
        <v>70</v>
      </c>
      <c r="J14" s="327" t="s">
        <v>71</v>
      </c>
      <c r="M14" s="331"/>
    </row>
    <row r="15" spans="2:13">
      <c r="D15" s="329" t="s">
        <v>72</v>
      </c>
      <c r="F15" s="329" t="s">
        <v>21</v>
      </c>
      <c r="H15" s="330" t="s">
        <v>73</v>
      </c>
      <c r="I15" s="328" t="s">
        <v>74</v>
      </c>
      <c r="J15" s="327" t="s">
        <v>75</v>
      </c>
      <c r="M15" s="331"/>
    </row>
    <row r="16" spans="2:13">
      <c r="D16" s="329" t="s">
        <v>76</v>
      </c>
      <c r="F16" s="329" t="s">
        <v>22</v>
      </c>
      <c r="H16" s="330" t="s">
        <v>77</v>
      </c>
      <c r="I16" s="328" t="s">
        <v>78</v>
      </c>
      <c r="J16" s="327" t="s">
        <v>79</v>
      </c>
      <c r="M16" s="331"/>
    </row>
    <row r="17" spans="4:13">
      <c r="D17" s="329" t="s">
        <v>80</v>
      </c>
      <c r="F17" s="329" t="s">
        <v>23</v>
      </c>
      <c r="H17" s="330" t="s">
        <v>81</v>
      </c>
      <c r="I17" s="328" t="s">
        <v>82</v>
      </c>
      <c r="J17" s="327" t="s">
        <v>83</v>
      </c>
      <c r="M17" s="331"/>
    </row>
    <row r="18" spans="4:13">
      <c r="D18" s="329" t="s">
        <v>181</v>
      </c>
      <c r="F18" s="329" t="s">
        <v>207</v>
      </c>
      <c r="H18" s="330" t="s">
        <v>84</v>
      </c>
      <c r="I18" s="328" t="s">
        <v>85</v>
      </c>
      <c r="J18" s="327" t="s">
        <v>86</v>
      </c>
      <c r="M18" s="331"/>
    </row>
    <row r="19" spans="4:13">
      <c r="D19" s="329" t="s">
        <v>87</v>
      </c>
      <c r="F19" s="329" t="s">
        <v>208</v>
      </c>
      <c r="H19" s="330" t="s">
        <v>186</v>
      </c>
      <c r="I19" s="328" t="s">
        <v>88</v>
      </c>
      <c r="J19" s="327" t="s">
        <v>89</v>
      </c>
      <c r="M19" s="331"/>
    </row>
    <row r="20" spans="4:13">
      <c r="D20" s="333"/>
      <c r="F20" s="329" t="s">
        <v>209</v>
      </c>
      <c r="H20" s="330" t="s">
        <v>90</v>
      </c>
      <c r="I20" s="328" t="s">
        <v>91</v>
      </c>
      <c r="J20" s="327" t="s">
        <v>92</v>
      </c>
    </row>
    <row r="21" spans="4:13">
      <c r="D21" s="327"/>
      <c r="F21" s="329" t="s">
        <v>192</v>
      </c>
      <c r="H21" s="327"/>
      <c r="I21" s="328" t="s">
        <v>93</v>
      </c>
      <c r="J21" s="327" t="s">
        <v>94</v>
      </c>
    </row>
    <row r="22" spans="4:13">
      <c r="H22" s="327"/>
      <c r="I22" s="328" t="s">
        <v>95</v>
      </c>
      <c r="J22" s="327" t="s">
        <v>96</v>
      </c>
    </row>
    <row r="23" spans="4:13">
      <c r="I23" s="328" t="s">
        <v>97</v>
      </c>
      <c r="J23" s="327" t="s">
        <v>98</v>
      </c>
    </row>
    <row r="24" spans="4:13">
      <c r="I24" s="328" t="s">
        <v>99</v>
      </c>
      <c r="J24" s="327" t="s">
        <v>100</v>
      </c>
    </row>
    <row r="25" spans="4:13">
      <c r="I25" s="327"/>
      <c r="J25" s="327" t="s">
        <v>101</v>
      </c>
    </row>
    <row r="26" spans="4:13">
      <c r="I26" s="328" t="s">
        <v>102</v>
      </c>
      <c r="J26" s="327" t="s">
        <v>103</v>
      </c>
    </row>
    <row r="27" spans="4:13">
      <c r="I27" s="328" t="s">
        <v>104</v>
      </c>
      <c r="J27" s="327" t="s">
        <v>173</v>
      </c>
    </row>
    <row r="28" spans="4:13">
      <c r="I28" s="327" t="s">
        <v>105</v>
      </c>
      <c r="J28" s="327" t="s">
        <v>106</v>
      </c>
    </row>
    <row r="29" spans="4:13">
      <c r="I29" s="327" t="s">
        <v>107</v>
      </c>
      <c r="J29" s="327" t="s">
        <v>108</v>
      </c>
    </row>
    <row r="30" spans="4:13">
      <c r="I30" s="327" t="s">
        <v>109</v>
      </c>
      <c r="J30" s="327" t="s">
        <v>110</v>
      </c>
    </row>
    <row r="31" spans="4:13">
      <c r="J31" s="327" t="s">
        <v>111</v>
      </c>
    </row>
    <row r="32" spans="4:13">
      <c r="J32" s="327" t="s">
        <v>112</v>
      </c>
    </row>
    <row r="33" spans="10:10">
      <c r="J33" s="327" t="s">
        <v>113</v>
      </c>
    </row>
    <row r="34" spans="10:10">
      <c r="J34" s="327" t="s">
        <v>114</v>
      </c>
    </row>
    <row r="35" spans="10:10">
      <c r="J35" s="327" t="s">
        <v>115</v>
      </c>
    </row>
    <row r="36" spans="10:10">
      <c r="J36" s="327" t="s">
        <v>116</v>
      </c>
    </row>
    <row r="37" spans="10:10">
      <c r="J37" s="327" t="s">
        <v>117</v>
      </c>
    </row>
    <row r="38" spans="10:10">
      <c r="J38" s="327" t="s">
        <v>118</v>
      </c>
    </row>
    <row r="39" spans="10:10">
      <c r="J39" s="327" t="s">
        <v>119</v>
      </c>
    </row>
    <row r="40" spans="10:10">
      <c r="J40" s="327" t="s">
        <v>120</v>
      </c>
    </row>
    <row r="41" spans="10:10">
      <c r="J41" s="327" t="s">
        <v>121</v>
      </c>
    </row>
    <row r="42" spans="10:10">
      <c r="J42" s="327" t="s">
        <v>122</v>
      </c>
    </row>
    <row r="43" spans="10:10">
      <c r="J43" s="327" t="s">
        <v>123</v>
      </c>
    </row>
    <row r="44" spans="10:10">
      <c r="J44" s="327" t="s">
        <v>124</v>
      </c>
    </row>
    <row r="45" spans="10:10">
      <c r="J45" s="327" t="s">
        <v>125</v>
      </c>
    </row>
    <row r="46" spans="10:10">
      <c r="J46" s="327" t="s">
        <v>126</v>
      </c>
    </row>
    <row r="47" spans="10:10">
      <c r="J47" s="327" t="s">
        <v>127</v>
      </c>
    </row>
    <row r="48" spans="10:10">
      <c r="J48" s="327" t="s">
        <v>128</v>
      </c>
    </row>
  </sheetData>
  <sheetProtection selectLockedCells="1" selectUnlockedCells="1"/>
  <mergeCells count="2">
    <mergeCell ref="B3:H3"/>
    <mergeCell ref="B6:H6"/>
  </mergeCells>
  <phoneticPr fontId="71" type="noConversion"/>
  <dataValidations count="1">
    <dataValidation type="list" allowBlank="1" showErrorMessage="1" sqref="M28" xr:uid="{00000000-0002-0000-0900-000000000000}">
      <formula1>$J$10:$J$48</formula1>
      <formula2>0</formula2>
    </dataValidation>
  </dataValidations>
  <pageMargins left="0.7" right="0.7" top="0.75" bottom="0.75" header="0.51180555555555551" footer="0.3"/>
  <pageSetup firstPageNumber="0" orientation="landscape" horizontalDpi="300" verticalDpi="300"/>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B1:BH48"/>
  <sheetViews>
    <sheetView showGridLines="0" topLeftCell="E1" zoomScale="75" zoomScaleNormal="75" workbookViewId="0">
      <pane ySplit="2" topLeftCell="A3" activePane="bottomLeft" state="frozen"/>
      <selection activeCell="B1" sqref="B1"/>
      <selection pane="bottomLeft" activeCell="E11" sqref="E11:I11"/>
    </sheetView>
  </sheetViews>
  <sheetFormatPr baseColWidth="10" defaultColWidth="9.109375" defaultRowHeight="14.4"/>
  <cols>
    <col min="1" max="1" width="2.6640625" customWidth="1"/>
    <col min="2" max="2" width="21.44140625" customWidth="1"/>
    <col min="3" max="3" width="11.44140625" customWidth="1"/>
    <col min="4" max="4" width="11.109375" customWidth="1"/>
    <col min="5" max="5" width="16.44140625" customWidth="1"/>
    <col min="6" max="6" width="15.6640625" customWidth="1"/>
    <col min="7" max="7" width="37.33203125" customWidth="1"/>
    <col min="8" max="8" width="17.33203125" customWidth="1"/>
    <col min="9" max="9" width="71" customWidth="1"/>
    <col min="10" max="10" width="14.109375" customWidth="1"/>
    <col min="11" max="11" width="16" customWidth="1"/>
    <col min="12" max="12" width="13.109375" customWidth="1"/>
    <col min="13" max="13" width="49.44140625" customWidth="1"/>
    <col min="14" max="14" width="2.5546875" customWidth="1"/>
    <col min="15" max="15" width="3" customWidth="1"/>
    <col min="16" max="16" width="2.5546875" customWidth="1"/>
    <col min="17" max="17" width="16.109375" customWidth="1"/>
    <col min="18" max="18" width="13.6640625" customWidth="1"/>
    <col min="19" max="19" width="11.44140625" customWidth="1"/>
    <col min="20" max="20" width="14.88671875" customWidth="1"/>
    <col min="21" max="21" width="16" customWidth="1"/>
    <col min="22" max="22" width="0" hidden="1" customWidth="1"/>
    <col min="23" max="23" width="15.5546875" customWidth="1"/>
    <col min="24" max="24" width="11.44140625" customWidth="1"/>
    <col min="25" max="25" width="2.33203125" customWidth="1"/>
    <col min="26" max="26" width="1.109375" customWidth="1"/>
    <col min="27" max="27" width="3.33203125" customWidth="1"/>
    <col min="28" max="28" width="17" customWidth="1"/>
    <col min="29" max="29" width="15" customWidth="1"/>
    <col min="30" max="30" width="11.44140625" customWidth="1"/>
    <col min="31" max="31" width="13.5546875" customWidth="1"/>
    <col min="32" max="32" width="16.88671875" customWidth="1"/>
    <col min="33" max="33" width="11.44140625" customWidth="1"/>
    <col min="34" max="34" width="2" customWidth="1"/>
    <col min="35" max="35" width="3.33203125" customWidth="1"/>
    <col min="36" max="36" width="2.33203125" customWidth="1"/>
    <col min="37" max="37" width="40.6640625" customWidth="1"/>
    <col min="38" max="38" width="15.44140625" customWidth="1"/>
  </cols>
  <sheetData>
    <row r="1" spans="2:60" ht="34.5" customHeight="1"/>
    <row r="2" spans="2:60" ht="36" customHeight="1">
      <c r="B2" s="444" t="str">
        <f>+"Cuadro de mando:  "&amp;"  "&amp;+'Introducción de datos'!C4&amp;" - "&amp;'Introducción de datos'!G6</f>
        <v>Cuadro de mando:    El Salvador - VIH / SIDA</v>
      </c>
      <c r="C2" s="444"/>
      <c r="D2" s="444"/>
      <c r="E2" s="444"/>
      <c r="F2" s="444"/>
      <c r="G2" s="444"/>
      <c r="H2" s="444"/>
      <c r="I2" s="444"/>
      <c r="J2" s="444"/>
      <c r="K2" s="444"/>
      <c r="L2" s="444"/>
      <c r="M2" s="444"/>
    </row>
    <row r="3" spans="2:60" ht="15.75" customHeight="1">
      <c r="B3" s="4"/>
      <c r="C3" s="4"/>
      <c r="D3" s="4"/>
      <c r="E3" s="4"/>
      <c r="F3" s="4"/>
      <c r="G3" s="4"/>
      <c r="H3" s="4"/>
      <c r="I3" s="4"/>
      <c r="J3" s="4"/>
      <c r="K3" s="5"/>
      <c r="L3" s="5"/>
    </row>
    <row r="5" spans="2:60" ht="23.4">
      <c r="B5" s="445" t="s">
        <v>129</v>
      </c>
      <c r="C5" s="445"/>
      <c r="D5" s="445"/>
      <c r="E5" s="445"/>
      <c r="F5" s="445"/>
      <c r="G5" s="445"/>
      <c r="H5" s="445"/>
      <c r="I5" s="445"/>
      <c r="J5" s="445"/>
      <c r="K5" s="445"/>
      <c r="L5" s="445"/>
      <c r="M5" s="445"/>
      <c r="N5" s="445"/>
      <c r="O5" s="445"/>
    </row>
    <row r="7" spans="2:60" ht="21">
      <c r="B7" s="446" t="s">
        <v>130</v>
      </c>
      <c r="C7" s="446"/>
      <c r="D7" s="446"/>
      <c r="E7" s="446" t="s">
        <v>131</v>
      </c>
      <c r="F7" s="446"/>
      <c r="G7" s="446"/>
      <c r="H7" s="446"/>
      <c r="I7" s="446"/>
      <c r="J7" s="446" t="s">
        <v>132</v>
      </c>
      <c r="K7" s="446"/>
      <c r="L7" s="446"/>
      <c r="M7" s="446" t="s">
        <v>133</v>
      </c>
      <c r="N7" s="446"/>
      <c r="O7" s="446"/>
    </row>
    <row r="8" spans="2:60" ht="92.25" customHeight="1">
      <c r="B8" s="441" t="str">
        <f>+'Introducción de datos'!B27</f>
        <v>F1: Presupuesto y desembolsos del Fondo Mundial</v>
      </c>
      <c r="C8" s="441"/>
      <c r="D8" s="441"/>
      <c r="E8" s="442" t="s">
        <v>134</v>
      </c>
      <c r="F8" s="442"/>
      <c r="G8" s="442"/>
      <c r="H8" s="442"/>
      <c r="I8" s="442"/>
      <c r="J8" s="443" t="s">
        <v>135</v>
      </c>
      <c r="K8" s="443"/>
      <c r="L8" s="443"/>
      <c r="M8" s="443" t="s">
        <v>136</v>
      </c>
      <c r="N8" s="443"/>
      <c r="O8" s="443"/>
    </row>
    <row r="9" spans="2:60" ht="117.75" customHeight="1">
      <c r="B9" s="441" t="str">
        <f>+'Introducción de datos'!B36</f>
        <v>F2: Presupuesto y gastos reales por modulo de la subvención</v>
      </c>
      <c r="C9" s="441"/>
      <c r="D9" s="441"/>
      <c r="E9" s="448" t="s">
        <v>137</v>
      </c>
      <c r="F9" s="448"/>
      <c r="G9" s="448"/>
      <c r="H9" s="448"/>
      <c r="I9" s="448"/>
      <c r="J9" s="449" t="s">
        <v>138</v>
      </c>
      <c r="K9" s="449"/>
      <c r="L9" s="449"/>
      <c r="M9" s="449" t="s">
        <v>136</v>
      </c>
      <c r="N9" s="449"/>
      <c r="O9" s="449"/>
    </row>
    <row r="10" spans="2:60" ht="233.25" customHeight="1">
      <c r="B10" s="447" t="str">
        <f>+'Introducción de datos'!B49</f>
        <v>F3: Desembolsos y gastos</v>
      </c>
      <c r="C10" s="447"/>
      <c r="D10" s="447"/>
      <c r="E10" s="448" t="s">
        <v>139</v>
      </c>
      <c r="F10" s="448"/>
      <c r="G10" s="448"/>
      <c r="H10" s="448"/>
      <c r="I10" s="448"/>
      <c r="J10" s="449" t="s">
        <v>140</v>
      </c>
      <c r="K10" s="449"/>
      <c r="L10" s="449"/>
      <c r="M10" s="449" t="s">
        <v>141</v>
      </c>
      <c r="N10" s="449"/>
      <c r="O10" s="449"/>
    </row>
    <row r="11" spans="2:60" ht="279.75" customHeight="1">
      <c r="B11" s="447" t="str">
        <f>+'Introducción de datos'!B62</f>
        <v>F4: Último ciclo de información y desembolso del RP</v>
      </c>
      <c r="C11" s="447"/>
      <c r="D11" s="447"/>
      <c r="E11" s="448" t="s">
        <v>142</v>
      </c>
      <c r="F11" s="448"/>
      <c r="G11" s="448"/>
      <c r="H11" s="448"/>
      <c r="I11" s="448"/>
      <c r="J11" s="449" t="s">
        <v>143</v>
      </c>
      <c r="K11" s="449"/>
      <c r="L11" s="449"/>
      <c r="M11" s="449" t="s">
        <v>144</v>
      </c>
      <c r="N11" s="449"/>
      <c r="O11" s="449"/>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2:60">
      <c r="B12" s="452"/>
      <c r="C12" s="452"/>
      <c r="D12" s="452"/>
      <c r="E12" s="453"/>
      <c r="F12" s="453"/>
      <c r="G12" s="453"/>
      <c r="H12" s="453"/>
      <c r="I12" s="453"/>
      <c r="J12" s="453"/>
      <c r="K12" s="453"/>
      <c r="L12" s="453"/>
      <c r="M12" s="453"/>
      <c r="N12" s="453"/>
      <c r="O12" s="453"/>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row>
    <row r="13" spans="2:60">
      <c r="B13" s="450"/>
      <c r="C13" s="450"/>
      <c r="D13" s="450"/>
      <c r="E13" s="451"/>
      <c r="F13" s="451"/>
      <c r="G13" s="451"/>
      <c r="H13" s="451"/>
      <c r="I13" s="451"/>
      <c r="J13" s="451"/>
      <c r="K13" s="451"/>
      <c r="L13" s="451"/>
      <c r="M13" s="451"/>
      <c r="N13" s="451"/>
      <c r="O13" s="451"/>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2:60">
      <c r="B14" s="450"/>
      <c r="C14" s="450"/>
      <c r="D14" s="450"/>
      <c r="E14" s="451"/>
      <c r="F14" s="451"/>
      <c r="G14" s="451"/>
      <c r="H14" s="451"/>
      <c r="I14" s="451"/>
      <c r="J14" s="451"/>
      <c r="K14" s="451"/>
      <c r="L14" s="451"/>
      <c r="M14" s="451"/>
      <c r="N14" s="451"/>
      <c r="O14" s="451"/>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2:60">
      <c r="B15" s="450"/>
      <c r="C15" s="450"/>
      <c r="D15" s="450"/>
      <c r="E15" s="451"/>
      <c r="F15" s="451"/>
      <c r="G15" s="451"/>
      <c r="H15" s="451"/>
      <c r="I15" s="451"/>
      <c r="J15" s="451"/>
      <c r="K15" s="451"/>
      <c r="L15" s="451"/>
      <c r="M15" s="451"/>
      <c r="N15" s="451"/>
      <c r="O15" s="451"/>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row>
    <row r="16" spans="2:60" ht="23.4">
      <c r="B16" s="445" t="s">
        <v>145</v>
      </c>
      <c r="C16" s="445"/>
      <c r="D16" s="445"/>
      <c r="E16" s="445"/>
      <c r="F16" s="445"/>
      <c r="G16" s="445"/>
      <c r="H16" s="445"/>
      <c r="I16" s="445"/>
      <c r="J16" s="445"/>
      <c r="K16" s="445"/>
      <c r="L16" s="445"/>
      <c r="M16" s="445"/>
      <c r="N16" s="445"/>
      <c r="O16" s="445"/>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2:60">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row>
    <row r="18" spans="2:60" ht="21">
      <c r="B18" s="454" t="s">
        <v>130</v>
      </c>
      <c r="C18" s="454"/>
      <c r="D18" s="454"/>
      <c r="E18" s="454" t="s">
        <v>131</v>
      </c>
      <c r="F18" s="454"/>
      <c r="G18" s="454"/>
      <c r="H18" s="454"/>
      <c r="I18" s="454"/>
      <c r="J18" s="454" t="s">
        <v>132</v>
      </c>
      <c r="K18" s="454"/>
      <c r="L18" s="454"/>
      <c r="M18" s="454" t="s">
        <v>146</v>
      </c>
      <c r="N18" s="454"/>
      <c r="O18" s="454"/>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2:60" ht="149.25" customHeight="1">
      <c r="B19" s="441" t="str">
        <f>+'Introducción de datos'!B73</f>
        <v>M1: Estado de las condiciones precedentes y acciones con fecha límite</v>
      </c>
      <c r="C19" s="441"/>
      <c r="D19" s="441"/>
      <c r="E19" s="448" t="s">
        <v>147</v>
      </c>
      <c r="F19" s="448"/>
      <c r="G19" s="448"/>
      <c r="H19" s="448"/>
      <c r="I19" s="448"/>
      <c r="J19" s="449" t="s">
        <v>148</v>
      </c>
      <c r="K19" s="449"/>
      <c r="L19" s="449"/>
      <c r="M19" s="449" t="s">
        <v>149</v>
      </c>
      <c r="N19" s="449"/>
      <c r="O19" s="449"/>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row>
    <row r="20" spans="2:60" ht="102.75" customHeight="1">
      <c r="B20" s="441" t="str">
        <f>+'Introducción de datos'!B80</f>
        <v>M2: Estado de los principales puestos directivos del RP</v>
      </c>
      <c r="C20" s="441"/>
      <c r="D20" s="441"/>
      <c r="E20" s="448" t="s">
        <v>150</v>
      </c>
      <c r="F20" s="448"/>
      <c r="G20" s="448"/>
      <c r="H20" s="448"/>
      <c r="I20" s="448"/>
      <c r="J20" s="449" t="s">
        <v>151</v>
      </c>
      <c r="K20" s="449"/>
      <c r="L20" s="449"/>
      <c r="M20" s="449" t="s">
        <v>152</v>
      </c>
      <c r="N20" s="449"/>
      <c r="O20" s="449"/>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2:60" ht="137.25" customHeight="1">
      <c r="B21" s="441" t="str">
        <f>+'Introducción de datos'!B85</f>
        <v xml:space="preserve">M3: Acuerdos contractuales (subreceptores) </v>
      </c>
      <c r="C21" s="441"/>
      <c r="D21" s="441"/>
      <c r="E21" s="455" t="s">
        <v>153</v>
      </c>
      <c r="F21" s="455"/>
      <c r="G21" s="455"/>
      <c r="H21" s="455"/>
      <c r="I21" s="455"/>
      <c r="J21" s="449" t="s">
        <v>154</v>
      </c>
      <c r="K21" s="449"/>
      <c r="L21" s="449"/>
      <c r="M21" s="449" t="s">
        <v>155</v>
      </c>
      <c r="N21" s="449"/>
      <c r="O21" s="449"/>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2:60" ht="74.25" customHeight="1">
      <c r="B22" s="441" t="str">
        <f>+'Introducción de datos'!B90</f>
        <v>M4: Número de informes completos recibidos a tiempo</v>
      </c>
      <c r="C22" s="441"/>
      <c r="D22" s="441"/>
      <c r="E22" s="455" t="s">
        <v>156</v>
      </c>
      <c r="F22" s="455"/>
      <c r="G22" s="455"/>
      <c r="H22" s="455"/>
      <c r="I22" s="455"/>
      <c r="J22" s="449" t="s">
        <v>157</v>
      </c>
      <c r="K22" s="449"/>
      <c r="L22" s="449"/>
      <c r="M22" s="449" t="s">
        <v>158</v>
      </c>
      <c r="N22" s="449"/>
      <c r="O22" s="449"/>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2:60" ht="207.75" customHeight="1">
      <c r="B23" s="447" t="str">
        <f>+'Introducción de datos'!B97</f>
        <v>M5: Presupuesto y compra de productos y equipo sanitario, medicamentos y productos farmacéuticos</v>
      </c>
      <c r="C23" s="447"/>
      <c r="D23" s="447"/>
      <c r="E23" s="456" t="s">
        <v>159</v>
      </c>
      <c r="F23" s="456"/>
      <c r="G23" s="456"/>
      <c r="H23" s="456"/>
      <c r="I23" s="456"/>
      <c r="J23" s="449" t="s">
        <v>160</v>
      </c>
      <c r="K23" s="449"/>
      <c r="L23" s="449"/>
      <c r="M23" s="449" t="s">
        <v>161</v>
      </c>
      <c r="N23" s="449"/>
      <c r="O23" s="449"/>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2:60" ht="114.75" customHeight="1">
      <c r="B24" s="447"/>
      <c r="C24" s="447"/>
      <c r="D24" s="447"/>
      <c r="E24" s="457" t="s">
        <v>162</v>
      </c>
      <c r="F24" s="457"/>
      <c r="G24" s="457"/>
      <c r="H24" s="457"/>
      <c r="I24" s="457"/>
      <c r="J24" s="449"/>
      <c r="K24" s="449"/>
      <c r="L24" s="449"/>
      <c r="M24" s="449"/>
      <c r="N24" s="449"/>
      <c r="O24" s="449"/>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row>
    <row r="25" spans="2:60" ht="206.25" customHeight="1">
      <c r="B25" s="441" t="str">
        <f>+'Introducción de datos'!B110</f>
        <v>M6: Diferencia entre existencias actuales y existencias de seguridad</v>
      </c>
      <c r="C25" s="441"/>
      <c r="D25" s="441"/>
      <c r="E25" s="460" t="s">
        <v>163</v>
      </c>
      <c r="F25" s="460"/>
      <c r="G25" s="460"/>
      <c r="H25" s="460"/>
      <c r="I25" s="460"/>
      <c r="J25" s="461" t="s">
        <v>164</v>
      </c>
      <c r="K25" s="461"/>
      <c r="L25" s="461"/>
      <c r="M25" s="462" t="s">
        <v>165</v>
      </c>
      <c r="N25" s="462"/>
      <c r="O25" s="462"/>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2:60">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row>
    <row r="27" spans="2:60">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2:60">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2:60" ht="18">
      <c r="B29" s="8"/>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2:60" ht="23.4">
      <c r="B30" s="445" t="s">
        <v>166</v>
      </c>
      <c r="C30" s="445"/>
      <c r="D30" s="445"/>
      <c r="E30" s="445"/>
      <c r="F30" s="445"/>
      <c r="G30" s="445"/>
      <c r="H30" s="445"/>
      <c r="I30" s="445"/>
      <c r="J30" s="445"/>
      <c r="K30" s="445"/>
      <c r="L30" s="445"/>
      <c r="M30" s="445"/>
      <c r="N30" s="445"/>
      <c r="O30" s="445"/>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2:60">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2:60" ht="28.5" customHeight="1">
      <c r="B32" s="458" t="s">
        <v>167</v>
      </c>
      <c r="C32" s="458"/>
      <c r="D32" s="458"/>
      <c r="E32" s="459" t="s">
        <v>168</v>
      </c>
      <c r="F32" s="459"/>
      <c r="G32" s="459"/>
      <c r="H32" s="459"/>
      <c r="I32" s="459"/>
      <c r="J32" s="459" t="s">
        <v>132</v>
      </c>
      <c r="K32" s="459"/>
      <c r="L32" s="459"/>
      <c r="M32" s="459" t="s">
        <v>146</v>
      </c>
      <c r="N32" s="459"/>
      <c r="O32" s="459"/>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2:60" ht="47.25" customHeight="1">
      <c r="B33" s="463"/>
      <c r="C33" s="463"/>
      <c r="D33" s="463"/>
      <c r="E33" s="465"/>
      <c r="F33" s="465"/>
      <c r="G33" s="465"/>
      <c r="H33" s="465"/>
      <c r="I33" s="465"/>
      <c r="J33" s="464"/>
      <c r="K33" s="464"/>
      <c r="L33" s="464"/>
      <c r="M33" s="464"/>
      <c r="N33" s="464"/>
      <c r="O33" s="464"/>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2:60" ht="59.25" customHeight="1">
      <c r="B34" s="463"/>
      <c r="C34" s="463"/>
      <c r="D34" s="463"/>
      <c r="E34" s="465"/>
      <c r="F34" s="465"/>
      <c r="G34" s="465"/>
      <c r="H34" s="465"/>
      <c r="I34" s="465"/>
      <c r="J34" s="464"/>
      <c r="K34" s="464"/>
      <c r="L34" s="464"/>
      <c r="M34" s="464"/>
      <c r="N34" s="464"/>
      <c r="O34" s="464"/>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2:60" ht="57.75" customHeight="1">
      <c r="B35" s="463"/>
      <c r="C35" s="463"/>
      <c r="D35" s="463"/>
      <c r="E35" s="464"/>
      <c r="F35" s="464"/>
      <c r="G35" s="464"/>
      <c r="H35" s="464"/>
      <c r="I35" s="464"/>
      <c r="J35" s="464"/>
      <c r="K35" s="464"/>
      <c r="L35" s="464"/>
      <c r="M35" s="464"/>
      <c r="N35" s="464"/>
      <c r="O35" s="464"/>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2:60" ht="9.75" customHeight="1">
      <c r="B36" s="467"/>
      <c r="C36" s="467"/>
      <c r="D36" s="467"/>
      <c r="E36" s="9"/>
      <c r="F36" s="10"/>
      <c r="G36" s="10"/>
      <c r="H36" s="10"/>
      <c r="I36" s="11"/>
      <c r="J36" s="12"/>
      <c r="K36" s="13"/>
      <c r="L36" s="14"/>
      <c r="M36" s="12"/>
      <c r="N36" s="13"/>
      <c r="O36" s="14"/>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row>
    <row r="37" spans="2:60" ht="46.5" customHeight="1">
      <c r="B37" s="463"/>
      <c r="C37" s="463"/>
      <c r="D37" s="463"/>
      <c r="E37" s="464"/>
      <c r="F37" s="464"/>
      <c r="G37" s="464"/>
      <c r="H37" s="464"/>
      <c r="I37" s="464"/>
      <c r="J37" s="15"/>
      <c r="K37" s="16"/>
      <c r="L37" s="17"/>
      <c r="M37" s="15"/>
      <c r="N37" s="16"/>
      <c r="O37" s="17"/>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2:60" ht="69" customHeight="1">
      <c r="B38" s="463"/>
      <c r="C38" s="463"/>
      <c r="D38" s="463"/>
      <c r="E38" s="465"/>
      <c r="F38" s="465"/>
      <c r="G38" s="465"/>
      <c r="H38" s="465"/>
      <c r="I38" s="465"/>
      <c r="J38" s="464"/>
      <c r="K38" s="464"/>
      <c r="L38" s="464"/>
      <c r="M38" s="464"/>
      <c r="N38" s="464"/>
      <c r="O38" s="464"/>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row>
    <row r="39" spans="2:60" ht="64.5" customHeight="1">
      <c r="B39" s="466"/>
      <c r="C39" s="466"/>
      <c r="D39" s="466"/>
      <c r="E39" s="464"/>
      <c r="F39" s="464"/>
      <c r="G39" s="464"/>
      <c r="H39" s="464"/>
      <c r="I39" s="464"/>
      <c r="J39" s="15"/>
      <c r="K39" s="16"/>
      <c r="L39" s="17"/>
      <c r="M39" s="15"/>
      <c r="N39" s="16"/>
      <c r="O39" s="17"/>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row>
    <row r="40" spans="2:60" ht="45" customHeight="1">
      <c r="B40" s="468"/>
      <c r="C40" s="468"/>
      <c r="D40" s="468"/>
      <c r="E40" s="464"/>
      <c r="F40" s="464"/>
      <c r="G40" s="464"/>
      <c r="H40" s="464"/>
      <c r="I40" s="464"/>
      <c r="J40" s="464"/>
      <c r="K40" s="464"/>
      <c r="L40" s="464"/>
      <c r="M40" s="464"/>
      <c r="N40" s="464"/>
      <c r="O40" s="464"/>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row>
    <row r="41" spans="2:60" ht="62.25" customHeight="1">
      <c r="B41" s="466"/>
      <c r="C41" s="466"/>
      <c r="D41" s="466"/>
      <c r="E41" s="465"/>
      <c r="F41" s="465"/>
      <c r="G41" s="465"/>
      <c r="H41" s="465"/>
      <c r="I41" s="465"/>
      <c r="J41" s="464"/>
      <c r="K41" s="464"/>
      <c r="L41" s="464"/>
      <c r="M41" s="464"/>
      <c r="N41" s="464"/>
      <c r="O41" s="464"/>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60" ht="84" customHeight="1">
      <c r="B42" s="466"/>
      <c r="C42" s="466"/>
      <c r="D42" s="466"/>
      <c r="E42" s="464"/>
      <c r="F42" s="464"/>
      <c r="G42" s="464"/>
      <c r="H42" s="464"/>
      <c r="I42" s="464"/>
      <c r="J42" s="15"/>
      <c r="K42" s="16"/>
      <c r="L42" s="17"/>
      <c r="M42" s="15"/>
      <c r="N42" s="16"/>
      <c r="O42" s="17"/>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2:60" ht="45" customHeight="1">
      <c r="B43" s="466"/>
      <c r="C43" s="466"/>
      <c r="D43" s="466"/>
      <c r="E43" s="465"/>
      <c r="F43" s="465"/>
      <c r="G43" s="465"/>
      <c r="H43" s="465"/>
      <c r="I43" s="465"/>
      <c r="J43" s="464"/>
      <c r="K43" s="464"/>
      <c r="L43" s="464"/>
      <c r="M43" s="15"/>
      <c r="N43" s="16"/>
      <c r="O43" s="17"/>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row>
    <row r="44" spans="2:60" ht="64.5" customHeight="1">
      <c r="B44" s="468"/>
      <c r="C44" s="468"/>
      <c r="D44" s="468"/>
      <c r="E44" s="465"/>
      <c r="F44" s="465"/>
      <c r="G44" s="465"/>
      <c r="H44" s="465"/>
      <c r="I44" s="465"/>
      <c r="J44" s="464"/>
      <c r="K44" s="464"/>
      <c r="L44" s="464"/>
      <c r="M44" s="15"/>
      <c r="N44" s="16"/>
      <c r="O44" s="17"/>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row>
    <row r="45" spans="2:60" ht="49.5" customHeight="1">
      <c r="B45" s="468"/>
      <c r="C45" s="468"/>
      <c r="D45" s="468"/>
      <c r="E45" s="465"/>
      <c r="F45" s="465"/>
      <c r="G45" s="465"/>
      <c r="H45" s="465"/>
      <c r="I45" s="465"/>
      <c r="J45" s="464"/>
      <c r="K45" s="464"/>
      <c r="L45" s="464"/>
      <c r="M45" s="15"/>
      <c r="N45" s="16"/>
      <c r="O45" s="17"/>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row>
    <row r="46" spans="2:60" ht="30" customHeight="1">
      <c r="B46" s="471"/>
      <c r="C46" s="471"/>
      <c r="D46" s="471"/>
      <c r="E46" s="18"/>
      <c r="F46" s="19"/>
      <c r="G46" s="19"/>
      <c r="H46" s="19"/>
      <c r="I46" s="20"/>
      <c r="J46" s="15"/>
      <c r="K46" s="16"/>
      <c r="L46" s="17"/>
      <c r="M46" s="15"/>
      <c r="N46" s="16"/>
      <c r="O46" s="17"/>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row>
    <row r="47" spans="2:60" ht="33.75" customHeight="1">
      <c r="B47" s="21"/>
      <c r="C47" s="22"/>
      <c r="D47" s="22"/>
      <c r="E47" s="23"/>
      <c r="F47" s="24"/>
      <c r="G47" s="24"/>
      <c r="H47" s="24"/>
      <c r="I47" s="24"/>
      <c r="J47" s="23"/>
      <c r="K47" s="23"/>
      <c r="L47" s="25"/>
      <c r="M47" s="26"/>
      <c r="N47" s="23"/>
      <c r="O47" s="25"/>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row>
    <row r="48" spans="2:60" ht="15.75" customHeight="1">
      <c r="B48" s="469" t="s">
        <v>169</v>
      </c>
      <c r="C48" s="469"/>
      <c r="D48" s="469"/>
      <c r="E48" s="469"/>
      <c r="F48" s="469"/>
      <c r="G48" s="469"/>
      <c r="H48" s="469"/>
      <c r="I48" s="469"/>
      <c r="J48" s="469"/>
      <c r="K48" s="469"/>
      <c r="L48" s="469"/>
      <c r="M48" s="470" t="s">
        <v>170</v>
      </c>
      <c r="N48" s="470"/>
      <c r="O48" s="470"/>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sheetData>
  <sheetProtection password="CFC9" sheet="1" objects="1" scenarios="1"/>
  <mergeCells count="116">
    <mergeCell ref="B48:L48"/>
    <mergeCell ref="M48:O48"/>
    <mergeCell ref="B45:D45"/>
    <mergeCell ref="E45:I45"/>
    <mergeCell ref="J45:L45"/>
    <mergeCell ref="B46:D46"/>
    <mergeCell ref="J43:L43"/>
    <mergeCell ref="B44:D44"/>
    <mergeCell ref="E44:I44"/>
    <mergeCell ref="J44:L44"/>
    <mergeCell ref="B42:D42"/>
    <mergeCell ref="E42:I42"/>
    <mergeCell ref="B43:D43"/>
    <mergeCell ref="E43:I43"/>
    <mergeCell ref="B41:D41"/>
    <mergeCell ref="E41:I41"/>
    <mergeCell ref="J41:L41"/>
    <mergeCell ref="M41:O41"/>
    <mergeCell ref="B40:D40"/>
    <mergeCell ref="E40:I40"/>
    <mergeCell ref="J40:L40"/>
    <mergeCell ref="M40:O40"/>
    <mergeCell ref="J38:L38"/>
    <mergeCell ref="M38:O38"/>
    <mergeCell ref="B39:D39"/>
    <mergeCell ref="E39:I39"/>
    <mergeCell ref="B36:D36"/>
    <mergeCell ref="B37:D37"/>
    <mergeCell ref="E37:I37"/>
    <mergeCell ref="B38:D38"/>
    <mergeCell ref="E38:I38"/>
    <mergeCell ref="B35:D35"/>
    <mergeCell ref="E35:I35"/>
    <mergeCell ref="J35:L35"/>
    <mergeCell ref="M35:O35"/>
    <mergeCell ref="B34:D34"/>
    <mergeCell ref="E34:I34"/>
    <mergeCell ref="J34:L34"/>
    <mergeCell ref="M34:O34"/>
    <mergeCell ref="B33:D33"/>
    <mergeCell ref="E33:I33"/>
    <mergeCell ref="J33:L33"/>
    <mergeCell ref="M33:O33"/>
    <mergeCell ref="B30:O30"/>
    <mergeCell ref="B32:D32"/>
    <mergeCell ref="E32:I32"/>
    <mergeCell ref="J32:L32"/>
    <mergeCell ref="M32:O32"/>
    <mergeCell ref="B25:D25"/>
    <mergeCell ref="E25:I25"/>
    <mergeCell ref="J25:L25"/>
    <mergeCell ref="M25:O25"/>
    <mergeCell ref="B23:D24"/>
    <mergeCell ref="E23:I23"/>
    <mergeCell ref="J23:L24"/>
    <mergeCell ref="M23:O24"/>
    <mergeCell ref="E24:I24"/>
    <mergeCell ref="B22:D22"/>
    <mergeCell ref="E22:I22"/>
    <mergeCell ref="J22:L22"/>
    <mergeCell ref="M22:O22"/>
    <mergeCell ref="B21:D21"/>
    <mergeCell ref="E21:I21"/>
    <mergeCell ref="J21:L21"/>
    <mergeCell ref="M21:O21"/>
    <mergeCell ref="B20:D20"/>
    <mergeCell ref="E20:I20"/>
    <mergeCell ref="J20:L20"/>
    <mergeCell ref="M20:O20"/>
    <mergeCell ref="B19:D19"/>
    <mergeCell ref="E19:I19"/>
    <mergeCell ref="J19:L19"/>
    <mergeCell ref="M19:O19"/>
    <mergeCell ref="B16:O16"/>
    <mergeCell ref="B18:D18"/>
    <mergeCell ref="E18:I18"/>
    <mergeCell ref="J18:L18"/>
    <mergeCell ref="M18:O18"/>
    <mergeCell ref="B15:D15"/>
    <mergeCell ref="E15:I15"/>
    <mergeCell ref="J15:L15"/>
    <mergeCell ref="M15:O15"/>
    <mergeCell ref="B14:D14"/>
    <mergeCell ref="E14:I14"/>
    <mergeCell ref="J14:L14"/>
    <mergeCell ref="M14:O14"/>
    <mergeCell ref="B13:D13"/>
    <mergeCell ref="E13:I13"/>
    <mergeCell ref="J13:L13"/>
    <mergeCell ref="M13:O13"/>
    <mergeCell ref="B12:D12"/>
    <mergeCell ref="E12:I12"/>
    <mergeCell ref="J12:L12"/>
    <mergeCell ref="M12:O12"/>
    <mergeCell ref="B11:D11"/>
    <mergeCell ref="E11:I11"/>
    <mergeCell ref="J11:L11"/>
    <mergeCell ref="M11:O11"/>
    <mergeCell ref="B10:D10"/>
    <mergeCell ref="E10:I10"/>
    <mergeCell ref="J10:L10"/>
    <mergeCell ref="M10:O10"/>
    <mergeCell ref="B9:D9"/>
    <mergeCell ref="E9:I9"/>
    <mergeCell ref="J9:L9"/>
    <mergeCell ref="M9:O9"/>
    <mergeCell ref="B8:D8"/>
    <mergeCell ref="E8:I8"/>
    <mergeCell ref="J8:L8"/>
    <mergeCell ref="M8:O8"/>
    <mergeCell ref="B2:M2"/>
    <mergeCell ref="B5:O5"/>
    <mergeCell ref="B7:D7"/>
    <mergeCell ref="E7:I7"/>
    <mergeCell ref="J7:L7"/>
    <mergeCell ref="M7:O7"/>
  </mergeCells>
  <phoneticPr fontId="71"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pageSetUpPr fitToPage="1"/>
  </sheetPr>
  <dimension ref="A1:X13"/>
  <sheetViews>
    <sheetView showGridLines="0" zoomScale="70" zoomScaleNormal="70" zoomScaleSheetLayoutView="100" workbookViewId="0">
      <selection activeCell="G13" sqref="A3:J13"/>
    </sheetView>
  </sheetViews>
  <sheetFormatPr baseColWidth="10" defaultColWidth="9.109375" defaultRowHeight="14.4"/>
  <cols>
    <col min="1" max="1" width="21.109375" customWidth="1"/>
    <col min="2" max="2" width="12.5546875" customWidth="1"/>
    <col min="3" max="3" width="20.5546875" customWidth="1"/>
    <col min="4" max="4" width="15.33203125" customWidth="1"/>
    <col min="5" max="5" width="11.6640625" customWidth="1"/>
    <col min="6" max="6" width="18.6640625" customWidth="1"/>
    <col min="7" max="7" width="17" customWidth="1"/>
    <col min="8" max="8" width="18.44140625" customWidth="1"/>
    <col min="9" max="9" width="9.44140625" customWidth="1"/>
    <col min="10" max="10" width="13" customWidth="1"/>
    <col min="11" max="11" width="11.44140625" customWidth="1"/>
    <col min="12" max="12" width="8.109375" customWidth="1"/>
    <col min="13" max="13" width="9.6640625" customWidth="1"/>
    <col min="14" max="14" width="8.5546875" customWidth="1"/>
    <col min="15" max="15" width="7.109375" customWidth="1"/>
  </cols>
  <sheetData>
    <row r="1" spans="1:24" ht="21" customHeight="1">
      <c r="G1" s="31"/>
    </row>
    <row r="2" spans="1:24" ht="25.5" customHeight="1"/>
    <row r="3" spans="1:24" ht="36.6">
      <c r="B3" s="475" t="str">
        <f>+"Tablero de mando: "&amp;" "&amp;+'Introducción de datos'!C4&amp;" - "&amp;+'Introducción de datos'!G6</f>
        <v>Tablero de mando:  El Salvador - VIH / SIDA</v>
      </c>
      <c r="C3" s="475"/>
      <c r="D3" s="475"/>
      <c r="E3" s="475"/>
      <c r="F3" s="475"/>
      <c r="G3" s="475"/>
      <c r="H3" s="475"/>
      <c r="I3" s="475"/>
      <c r="J3" s="475"/>
      <c r="K3" s="190"/>
      <c r="L3" s="190"/>
      <c r="M3" s="190"/>
      <c r="N3" s="191"/>
      <c r="O3" s="191"/>
      <c r="P3" s="191"/>
      <c r="Q3" s="191"/>
      <c r="R3" s="191"/>
      <c r="S3" s="191"/>
      <c r="T3" s="191"/>
    </row>
    <row r="4" spans="1:24" ht="15" customHeight="1">
      <c r="L4" s="191"/>
      <c r="M4" s="191"/>
      <c r="N4" s="191"/>
      <c r="O4" s="191"/>
      <c r="P4" s="191"/>
      <c r="Q4" s="191"/>
      <c r="R4" s="191"/>
      <c r="S4" s="191"/>
      <c r="T4" s="191"/>
    </row>
    <row r="5" spans="1:24">
      <c r="L5" s="191"/>
      <c r="M5" s="191"/>
      <c r="N5" s="191"/>
      <c r="O5" s="191"/>
      <c r="P5" s="191"/>
      <c r="Q5" s="191"/>
      <c r="R5" s="191"/>
      <c r="S5" s="191"/>
      <c r="T5" s="191"/>
    </row>
    <row r="6" spans="1:24" ht="32.25" customHeight="1">
      <c r="A6" s="192" t="s">
        <v>172</v>
      </c>
      <c r="B6" s="476" t="str">
        <f>+'Introducción de datos'!C4</f>
        <v>El Salvador</v>
      </c>
      <c r="C6" s="476"/>
      <c r="D6" s="477" t="s">
        <v>174</v>
      </c>
      <c r="E6" s="477"/>
      <c r="F6" s="478" t="str">
        <f>+'Introducción de datos'!G4</f>
        <v>INNOVANDO SERVICIOS, REDUCIENDO RIESGOS, RENOVANDO VIDAS EN EL SALVADOR</v>
      </c>
      <c r="G6" s="478"/>
      <c r="H6" s="478"/>
      <c r="I6" s="478"/>
      <c r="J6" s="478"/>
      <c r="K6" s="193"/>
      <c r="L6" s="194"/>
      <c r="M6" s="193"/>
      <c r="N6" s="193"/>
      <c r="O6" s="193"/>
      <c r="P6" s="195"/>
      <c r="Q6" s="196"/>
      <c r="R6" s="196"/>
      <c r="S6" s="196"/>
      <c r="T6" s="196"/>
      <c r="U6" s="196"/>
    </row>
    <row r="7" spans="1:24" ht="8.25" customHeight="1">
      <c r="B7" s="197"/>
      <c r="C7" s="198"/>
      <c r="D7" s="198"/>
      <c r="E7" s="199"/>
      <c r="F7" s="199"/>
      <c r="G7" s="198"/>
      <c r="H7" s="198"/>
      <c r="K7" s="193"/>
      <c r="L7" s="193"/>
      <c r="M7" s="193"/>
      <c r="N7" s="193"/>
      <c r="O7" s="193"/>
      <c r="P7" s="195"/>
      <c r="Q7" s="196"/>
      <c r="R7" s="196"/>
      <c r="S7" s="196"/>
      <c r="T7" s="196"/>
      <c r="U7" s="196"/>
    </row>
    <row r="8" spans="1:24" ht="3.75" customHeight="1">
      <c r="C8" s="200"/>
      <c r="D8" s="200"/>
      <c r="E8" s="200"/>
      <c r="F8" s="200"/>
      <c r="G8" s="200"/>
      <c r="H8" s="200"/>
      <c r="I8" s="200"/>
      <c r="J8" s="200"/>
      <c r="K8" s="193"/>
      <c r="L8" s="193"/>
      <c r="M8" s="193"/>
      <c r="N8" s="193"/>
      <c r="O8" s="201"/>
      <c r="P8" s="195"/>
      <c r="Q8" s="201"/>
      <c r="R8" s="202"/>
      <c r="S8" s="196"/>
      <c r="T8" s="196"/>
      <c r="U8" s="196"/>
    </row>
    <row r="9" spans="1:24" ht="25.5" customHeight="1">
      <c r="A9" s="203" t="s">
        <v>176</v>
      </c>
      <c r="B9" s="204" t="str">
        <f>+'Introducción de datos'!G6</f>
        <v>VIH / SIDA</v>
      </c>
      <c r="C9" s="205" t="s">
        <v>175</v>
      </c>
      <c r="D9" s="206" t="str">
        <f>+'Introducción de datos'!C6</f>
        <v>SLV-H-PLAN</v>
      </c>
      <c r="E9" s="472" t="s">
        <v>275</v>
      </c>
      <c r="F9" s="472"/>
      <c r="G9" s="207">
        <f>+'Introducción de datos'!C10</f>
        <v>43101</v>
      </c>
      <c r="H9" s="203" t="s">
        <v>276</v>
      </c>
      <c r="I9" s="473">
        <f>+'Introducción de datos'!I6</f>
        <v>7001479.4199999999</v>
      </c>
      <c r="J9" s="473"/>
      <c r="K9" s="193"/>
      <c r="L9" s="193"/>
      <c r="M9" s="193"/>
      <c r="N9" s="193"/>
      <c r="O9" s="201"/>
      <c r="P9" s="195"/>
      <c r="Q9" s="201"/>
      <c r="R9" s="202"/>
      <c r="S9" s="196"/>
      <c r="T9" s="208"/>
      <c r="U9" s="208"/>
      <c r="V9" s="200"/>
      <c r="W9" s="200"/>
      <c r="X9" s="200"/>
    </row>
    <row r="10" spans="1:24" ht="25.5" customHeight="1">
      <c r="A10" s="203" t="s">
        <v>180</v>
      </c>
      <c r="B10" s="209" t="str">
        <f>IF(ISBLANK('Introducción de datos'!G8),"",'Introducción de datos'!G8)</f>
        <v>Seleccionar</v>
      </c>
      <c r="C10" s="205" t="s">
        <v>182</v>
      </c>
      <c r="D10" s="210" t="str">
        <f>+'Introducción de datos'!I8</f>
        <v>Seleccionar</v>
      </c>
      <c r="E10" s="472" t="s">
        <v>277</v>
      </c>
      <c r="F10" s="472"/>
      <c r="G10" s="474" t="str">
        <f>+'Introducción de datos'!C8</f>
        <v>PLAN  INTERNACIONAL</v>
      </c>
      <c r="H10" s="474"/>
      <c r="I10" s="474"/>
      <c r="J10" s="474"/>
      <c r="K10" s="196"/>
      <c r="L10" s="196"/>
      <c r="M10" s="193"/>
      <c r="N10" s="196"/>
      <c r="O10" s="201"/>
      <c r="P10" s="195"/>
      <c r="Q10" s="208"/>
      <c r="R10" s="202"/>
      <c r="S10" s="196"/>
      <c r="T10" s="208"/>
      <c r="U10" s="208"/>
    </row>
    <row r="11" spans="1:24" ht="25.5" customHeight="1">
      <c r="A11" s="203" t="s">
        <v>278</v>
      </c>
      <c r="B11" s="211" t="str">
        <f>'Introducción de datos'!C16</f>
        <v>P4</v>
      </c>
      <c r="C11" s="205" t="s">
        <v>279</v>
      </c>
      <c r="D11" s="212">
        <f>+'Introducción de datos'!E16</f>
        <v>43101</v>
      </c>
      <c r="E11" s="472" t="s">
        <v>280</v>
      </c>
      <c r="F11" s="472"/>
      <c r="G11" s="212">
        <f>+'Introducción de datos'!G16</f>
        <v>43465</v>
      </c>
      <c r="H11" s="203" t="s">
        <v>281</v>
      </c>
      <c r="I11" s="480" t="str">
        <f>+'Introducción de datos'!C12</f>
        <v>A2</v>
      </c>
      <c r="J11" s="480"/>
      <c r="K11" s="213"/>
      <c r="L11" s="196"/>
      <c r="M11" s="193"/>
      <c r="N11" s="196"/>
      <c r="O11" s="196"/>
      <c r="P11" s="195"/>
      <c r="Q11" s="208"/>
      <c r="R11" s="202"/>
      <c r="S11" s="196"/>
      <c r="T11" s="214"/>
      <c r="U11" s="208"/>
    </row>
    <row r="12" spans="1:24" ht="25.5" customHeight="1">
      <c r="A12" s="203" t="s">
        <v>185</v>
      </c>
      <c r="B12" s="474" t="str">
        <f>+'Introducción de datos'!G10</f>
        <v>GRUPO JACOBS</v>
      </c>
      <c r="C12" s="474"/>
      <c r="D12" s="474"/>
      <c r="E12" s="472" t="s">
        <v>189</v>
      </c>
      <c r="F12" s="472"/>
      <c r="G12" s="474" t="str">
        <f>+'Introducción de datos'!G12</f>
        <v>Jaime Briz De Felipe</v>
      </c>
      <c r="H12" s="474"/>
      <c r="I12" s="474"/>
      <c r="J12" s="474"/>
      <c r="K12" s="196"/>
      <c r="L12" s="196"/>
      <c r="M12" s="193"/>
      <c r="N12" s="196"/>
      <c r="O12" s="196"/>
      <c r="P12" s="195"/>
      <c r="Q12" s="208"/>
      <c r="R12" s="202"/>
      <c r="S12" s="196"/>
      <c r="T12" s="208"/>
      <c r="U12" s="215"/>
      <c r="V12" s="208"/>
      <c r="W12" s="214"/>
      <c r="X12" s="208"/>
    </row>
    <row r="13" spans="1:24" ht="25.5" customHeight="1">
      <c r="A13" s="203" t="s">
        <v>196</v>
      </c>
      <c r="B13" s="474" t="str">
        <f>+'Introducción de datos'!D18</f>
        <v xml:space="preserve">UCP/PLAN </v>
      </c>
      <c r="C13" s="474"/>
      <c r="D13" s="474"/>
      <c r="E13" s="472" t="s">
        <v>282</v>
      </c>
      <c r="F13" s="472"/>
      <c r="G13" s="479">
        <f>'Introducción de datos'!J16</f>
        <v>43544</v>
      </c>
      <c r="H13" s="479"/>
      <c r="I13" s="479"/>
      <c r="J13" s="479"/>
      <c r="K13" s="196"/>
      <c r="L13" s="216"/>
      <c r="M13" s="216"/>
      <c r="N13" s="216"/>
      <c r="O13" s="196"/>
      <c r="P13" s="216"/>
      <c r="Q13" s="216"/>
      <c r="R13" s="202"/>
      <c r="S13" s="196"/>
      <c r="T13" s="216"/>
      <c r="U13" s="217"/>
    </row>
  </sheetData>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phoneticPr fontId="71" type="noConversion"/>
  <conditionalFormatting sqref="I11:J11">
    <cfRule type="cellIs" dxfId="41" priority="1" stopIfTrue="1" operator="equal">
      <formula>"C"</formula>
    </cfRule>
    <cfRule type="cellIs" dxfId="40" priority="2" stopIfTrue="1" operator="equal">
      <formula>"B2"</formula>
    </cfRule>
    <cfRule type="cellIs" dxfId="39" priority="3" stopIfTrue="1" operator="equal">
      <formula>"B1"</formula>
    </cfRule>
  </conditionalFormatting>
  <dataValidations count="2">
    <dataValidation type="date" operator="greaterThan" allowBlank="1" showErrorMessage="1" error="the date can´t be earlier than the start date" sqref="G11" xr:uid="{00000000-0002-0000-0200-000000000000}">
      <formula1>D11</formula1>
      <formula2>0</formula2>
    </dataValidation>
    <dataValidation type="list" allowBlank="1" showErrorMessage="1" sqref="G7" xr:uid="{00000000-0002-0000-0200-000001000000}">
      <formula1>$K$8:$K$9</formula1>
      <formula2>0</formula2>
    </dataValidation>
  </dataValidation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pageSetUpPr fitToPage="1"/>
  </sheetPr>
  <dimension ref="A1:AC173"/>
  <sheetViews>
    <sheetView showGridLines="0" tabSelected="1" zoomScale="94" zoomScaleNormal="102" workbookViewId="0">
      <selection activeCell="B170" sqref="B170:D171"/>
    </sheetView>
  </sheetViews>
  <sheetFormatPr baseColWidth="10" defaultColWidth="9.109375" defaultRowHeight="14.4"/>
  <cols>
    <col min="1" max="1" width="2.6640625" customWidth="1"/>
    <col min="2" max="2" width="58.109375" customWidth="1"/>
    <col min="3" max="3" width="23" customWidth="1"/>
    <col min="4" max="4" width="19.109375" customWidth="1"/>
    <col min="5" max="5" width="16.44140625" customWidth="1"/>
    <col min="6" max="6" width="17.44140625" customWidth="1"/>
    <col min="7" max="7" width="16.44140625" customWidth="1"/>
    <col min="8" max="9" width="17.5546875" customWidth="1"/>
    <col min="10" max="10" width="16.88671875" customWidth="1"/>
    <col min="11" max="11" width="18.5546875" customWidth="1"/>
    <col min="12" max="12" width="15.33203125" customWidth="1"/>
    <col min="13" max="13" width="20.5546875" customWidth="1"/>
    <col min="14" max="14" width="14.33203125" customWidth="1"/>
    <col min="15" max="15" width="16.109375" customWidth="1"/>
    <col min="16" max="16" width="13.6640625" customWidth="1"/>
    <col min="17" max="17" width="13.44140625" customWidth="1"/>
    <col min="18" max="18" width="11.44140625" customWidth="1"/>
    <col min="19" max="19" width="2.33203125" customWidth="1"/>
    <col min="20" max="20" width="1.109375" customWidth="1"/>
    <col min="21" max="21" width="3.33203125" customWidth="1"/>
    <col min="22" max="22" width="17" customWidth="1"/>
    <col min="23" max="23" width="15" customWidth="1"/>
    <col min="24" max="24" width="11.44140625" customWidth="1"/>
    <col min="25" max="25" width="13.5546875" customWidth="1"/>
    <col min="26" max="26" width="16.88671875" customWidth="1"/>
    <col min="27" max="27" width="11.44140625" customWidth="1"/>
    <col min="28" max="28" width="2" customWidth="1"/>
    <col min="29" max="29" width="3.33203125" customWidth="1"/>
    <col min="30" max="30" width="2.33203125" customWidth="1"/>
    <col min="31" max="31" width="40.6640625" customWidth="1"/>
    <col min="32" max="32" width="15.44140625" customWidth="1"/>
  </cols>
  <sheetData>
    <row r="1" spans="2:13" ht="29.25" customHeight="1"/>
    <row r="2" spans="2:13" ht="15.75" customHeight="1">
      <c r="B2" s="484" t="s">
        <v>171</v>
      </c>
      <c r="C2" s="484"/>
      <c r="D2" s="484"/>
      <c r="E2" s="484"/>
      <c r="F2" s="484"/>
      <c r="G2" s="484"/>
      <c r="H2" s="484"/>
      <c r="I2" s="484"/>
      <c r="J2" s="484"/>
      <c r="K2" s="27"/>
      <c r="L2" s="27"/>
      <c r="M2" s="27"/>
    </row>
    <row r="3" spans="2:13" ht="4.5" customHeight="1"/>
    <row r="4" spans="2:13" ht="28.5" customHeight="1">
      <c r="B4" s="28" t="s">
        <v>172</v>
      </c>
      <c r="C4" s="486" t="s">
        <v>173</v>
      </c>
      <c r="D4" s="486"/>
      <c r="E4" s="487" t="s">
        <v>174</v>
      </c>
      <c r="F4" s="487"/>
      <c r="G4" s="488" t="s">
        <v>311</v>
      </c>
      <c r="H4" s="488"/>
      <c r="I4" s="488"/>
      <c r="J4" s="488"/>
    </row>
    <row r="5" spans="2:13" ht="3" customHeight="1">
      <c r="B5" s="30"/>
      <c r="E5" s="31"/>
      <c r="F5" s="31"/>
    </row>
    <row r="6" spans="2:13">
      <c r="B6" s="28" t="s">
        <v>175</v>
      </c>
      <c r="C6" s="491" t="s">
        <v>309</v>
      </c>
      <c r="D6" s="491"/>
      <c r="E6" s="487" t="s">
        <v>176</v>
      </c>
      <c r="F6" s="487"/>
      <c r="G6" s="29" t="s">
        <v>45</v>
      </c>
      <c r="H6" s="32" t="s">
        <v>178</v>
      </c>
      <c r="I6" s="492">
        <v>7001479.4199999999</v>
      </c>
      <c r="J6" s="492"/>
    </row>
    <row r="7" spans="2:13" ht="3" customHeight="1">
      <c r="B7" s="30"/>
      <c r="E7" s="31"/>
      <c r="F7" s="31"/>
      <c r="H7" s="30"/>
    </row>
    <row r="8" spans="2:13">
      <c r="B8" s="28" t="s">
        <v>179</v>
      </c>
      <c r="C8" s="491" t="s">
        <v>310</v>
      </c>
      <c r="D8" s="491"/>
      <c r="E8" s="31"/>
      <c r="F8" s="28" t="s">
        <v>180</v>
      </c>
      <c r="G8" s="29" t="s">
        <v>44</v>
      </c>
      <c r="H8" s="28" t="s">
        <v>182</v>
      </c>
      <c r="I8" s="486" t="s">
        <v>44</v>
      </c>
      <c r="J8" s="486"/>
    </row>
    <row r="9" spans="2:13" ht="3" customHeight="1">
      <c r="B9" s="31"/>
      <c r="C9" s="33">
        <v>39825</v>
      </c>
      <c r="E9" s="31"/>
      <c r="F9" s="31"/>
    </row>
    <row r="10" spans="2:13">
      <c r="B10" s="28" t="s">
        <v>184</v>
      </c>
      <c r="C10" s="489">
        <v>43101</v>
      </c>
      <c r="D10" s="489"/>
      <c r="E10" s="490" t="s">
        <v>185</v>
      </c>
      <c r="F10" s="490"/>
      <c r="G10" s="486" t="s">
        <v>312</v>
      </c>
      <c r="H10" s="486"/>
      <c r="I10" s="486"/>
      <c r="J10" s="486"/>
    </row>
    <row r="11" spans="2:13" ht="5.25" customHeight="1"/>
    <row r="12" spans="2:13" ht="15" customHeight="1">
      <c r="B12" s="28" t="s">
        <v>187</v>
      </c>
      <c r="C12" s="493" t="s">
        <v>53</v>
      </c>
      <c r="D12" s="493"/>
      <c r="E12" s="494" t="s">
        <v>189</v>
      </c>
      <c r="F12" s="494"/>
      <c r="G12" s="495" t="s">
        <v>355</v>
      </c>
      <c r="H12" s="495"/>
      <c r="I12" s="495"/>
      <c r="J12" s="495"/>
    </row>
    <row r="13" spans="2:13" ht="5.25" customHeight="1"/>
    <row r="14" spans="2:13" ht="15.75" customHeight="1">
      <c r="B14" s="484" t="s">
        <v>190</v>
      </c>
      <c r="C14" s="484"/>
      <c r="D14" s="484"/>
      <c r="E14" s="484"/>
      <c r="F14" s="484"/>
      <c r="G14" s="484"/>
      <c r="H14" s="484"/>
      <c r="I14" s="484"/>
      <c r="J14" s="484"/>
    </row>
    <row r="15" spans="2:13" ht="3" customHeight="1"/>
    <row r="16" spans="2:13">
      <c r="B16" s="28" t="s">
        <v>191</v>
      </c>
      <c r="C16" s="29" t="s">
        <v>19</v>
      </c>
      <c r="D16" s="28" t="s">
        <v>193</v>
      </c>
      <c r="E16" s="34">
        <v>43101</v>
      </c>
      <c r="F16" s="35" t="s">
        <v>194</v>
      </c>
      <c r="G16" s="34">
        <v>43465</v>
      </c>
      <c r="H16" s="481" t="s">
        <v>195</v>
      </c>
      <c r="I16" s="481"/>
      <c r="J16" s="34">
        <v>43544</v>
      </c>
    </row>
    <row r="17" spans="2:29" ht="3" customHeight="1"/>
    <row r="18" spans="2:29">
      <c r="B18" s="482" t="s">
        <v>196</v>
      </c>
      <c r="C18" s="482"/>
      <c r="D18" s="483" t="s">
        <v>313</v>
      </c>
      <c r="E18" s="483"/>
      <c r="F18" s="483"/>
    </row>
    <row r="19" spans="2:29" ht="3" customHeight="1"/>
    <row r="20" spans="2:29" ht="5.25" customHeight="1"/>
    <row r="21" spans="2:29" ht="15.75" customHeight="1">
      <c r="B21" s="484" t="s">
        <v>197</v>
      </c>
      <c r="C21" s="484"/>
      <c r="D21" s="484"/>
      <c r="E21" s="484"/>
      <c r="F21" s="484"/>
      <c r="G21" s="484"/>
      <c r="H21" s="484"/>
      <c r="I21" s="484"/>
      <c r="J21" s="484"/>
    </row>
    <row r="22" spans="2:29">
      <c r="B22" s="36" t="s">
        <v>198</v>
      </c>
    </row>
    <row r="23" spans="2:29" ht="3" customHeight="1"/>
    <row r="24" spans="2:29" ht="15" thickBot="1">
      <c r="B24" s="28" t="s">
        <v>199</v>
      </c>
      <c r="C24" s="37"/>
      <c r="D24" s="487">
        <v>-265613.27</v>
      </c>
      <c r="E24" s="487"/>
      <c r="F24" s="38"/>
      <c r="G24" s="487" t="s">
        <v>200</v>
      </c>
      <c r="H24" s="487"/>
      <c r="I24" s="496"/>
      <c r="J24" s="496"/>
    </row>
    <row r="25" spans="2:29" ht="18.600000000000001" thickBot="1">
      <c r="B25" s="39" t="s">
        <v>199</v>
      </c>
      <c r="C25" s="40"/>
      <c r="D25" s="40"/>
      <c r="E25" s="40"/>
      <c r="F25" s="40"/>
      <c r="G25" s="40"/>
      <c r="H25" s="41"/>
      <c r="I25" s="41"/>
      <c r="J25" s="41" t="s">
        <v>201</v>
      </c>
      <c r="K25" s="41"/>
      <c r="L25" s="40"/>
      <c r="M25" s="40"/>
      <c r="N25" s="42"/>
      <c r="AC25" s="43"/>
    </row>
    <row r="26" spans="2:29">
      <c r="B26" s="508" t="s">
        <v>202</v>
      </c>
      <c r="C26" s="508"/>
      <c r="D26" s="44" t="s">
        <v>203</v>
      </c>
      <c r="E26" s="45"/>
      <c r="F26" s="45"/>
      <c r="G26" s="45"/>
      <c r="H26" s="45"/>
      <c r="I26" s="45"/>
      <c r="J26" s="46"/>
      <c r="K26" s="45"/>
      <c r="L26" s="45"/>
      <c r="M26" s="45"/>
      <c r="N26" s="47"/>
      <c r="AC26" s="43"/>
    </row>
    <row r="27" spans="2:29" ht="18">
      <c r="B27" s="48" t="s">
        <v>204</v>
      </c>
      <c r="C27" s="45"/>
      <c r="D27" s="45"/>
      <c r="E27" s="45"/>
      <c r="F27" s="45"/>
      <c r="G27" s="45"/>
      <c r="H27" s="45"/>
      <c r="I27" s="45"/>
      <c r="J27" s="46"/>
      <c r="K27" s="45"/>
      <c r="L27" s="45"/>
      <c r="M27" s="45"/>
      <c r="N27" s="47"/>
      <c r="AC27" s="43"/>
    </row>
    <row r="28" spans="2:29" ht="15" thickBot="1"/>
    <row r="29" spans="2:29">
      <c r="B29" s="509" t="s">
        <v>205</v>
      </c>
      <c r="C29" s="509"/>
      <c r="D29" s="509"/>
      <c r="E29" s="509"/>
      <c r="F29" s="509"/>
      <c r="G29" s="509"/>
      <c r="H29" s="509"/>
      <c r="I29" s="509"/>
      <c r="J29" s="509"/>
      <c r="K29" s="509"/>
      <c r="L29" s="509"/>
      <c r="M29" s="509"/>
      <c r="N29" s="509"/>
      <c r="O29" s="49"/>
      <c r="P29" s="50">
        <f>+C33</f>
        <v>2859658.47</v>
      </c>
      <c r="Q29" s="51"/>
    </row>
    <row r="30" spans="2:29" ht="45" customHeight="1">
      <c r="B30" s="52" t="s">
        <v>206</v>
      </c>
      <c r="C30" s="53" t="s">
        <v>16</v>
      </c>
      <c r="D30" s="53" t="s">
        <v>17</v>
      </c>
      <c r="E30" s="53" t="s">
        <v>18</v>
      </c>
      <c r="F30" s="53" t="s">
        <v>19</v>
      </c>
      <c r="G30" s="53" t="s">
        <v>20</v>
      </c>
      <c r="H30" s="53" t="s">
        <v>21</v>
      </c>
      <c r="I30" s="53" t="s">
        <v>22</v>
      </c>
      <c r="J30" s="53" t="s">
        <v>23</v>
      </c>
      <c r="K30" s="53" t="s">
        <v>207</v>
      </c>
      <c r="L30" s="53" t="s">
        <v>208</v>
      </c>
      <c r="M30" s="53" t="s">
        <v>209</v>
      </c>
      <c r="N30" s="53" t="s">
        <v>192</v>
      </c>
      <c r="O30" s="49"/>
      <c r="P30" s="50">
        <f>+D33</f>
        <v>4235392.8600000003</v>
      </c>
      <c r="Q30" s="51"/>
    </row>
    <row r="31" spans="2:29" ht="14.25" customHeight="1">
      <c r="B31" s="54" t="str">
        <f>CONCATENATE("Presupuesto (en ",'Introducción de datos'!$D$26,")")</f>
        <v>Presupuesto (en $)</v>
      </c>
      <c r="C31" s="334">
        <v>2859658.47</v>
      </c>
      <c r="D31" s="335">
        <v>1375734.39</v>
      </c>
      <c r="E31" s="335">
        <v>1438471.81</v>
      </c>
      <c r="F31" s="335">
        <v>1327614.75</v>
      </c>
      <c r="G31" s="335"/>
      <c r="H31" s="335"/>
      <c r="I31" s="335"/>
      <c r="J31" s="335"/>
      <c r="K31" s="55"/>
      <c r="L31" s="55"/>
      <c r="M31" s="55"/>
      <c r="N31" s="55"/>
      <c r="O31" s="49"/>
      <c r="P31" s="50">
        <f>+E33</f>
        <v>5673864.6699999999</v>
      </c>
      <c r="Q31" s="51"/>
    </row>
    <row r="32" spans="2:29" ht="14.25" customHeight="1">
      <c r="B32" s="56" t="str">
        <f>CONCATENATE("Desembolsos por el Fondo Mundial (en ",$D$26,")")</f>
        <v>Desembolsos por el Fondo Mundial (en $)</v>
      </c>
      <c r="C32" s="334">
        <v>3562573</v>
      </c>
      <c r="D32" s="334">
        <v>672819</v>
      </c>
      <c r="E32" s="334">
        <v>1438272</v>
      </c>
      <c r="F32" s="334">
        <v>587447.69999999995</v>
      </c>
      <c r="G32" s="334"/>
      <c r="H32" s="334"/>
      <c r="I32" s="335"/>
      <c r="J32" s="335"/>
      <c r="K32" s="55"/>
      <c r="L32" s="55"/>
      <c r="M32" s="55"/>
      <c r="N32" s="55"/>
      <c r="O32" s="49"/>
      <c r="P32" s="50">
        <f>+F33</f>
        <v>7001479.4199999999</v>
      </c>
      <c r="Q32" s="51"/>
    </row>
    <row r="33" spans="2:17" ht="14.25" customHeight="1">
      <c r="B33" s="57" t="s">
        <v>210</v>
      </c>
      <c r="C33" s="432">
        <f>+C31</f>
        <v>2859658.47</v>
      </c>
      <c r="D33" s="432">
        <f>IF(AND(D31=0,D32=0),0,+C33+D31)</f>
        <v>4235392.8600000003</v>
      </c>
      <c r="E33" s="432">
        <f t="shared" ref="E33:N33" si="0">IF(AND(E31=0,E32=0),0,+D33+E31)</f>
        <v>5673864.6699999999</v>
      </c>
      <c r="F33" s="432">
        <f t="shared" si="0"/>
        <v>7001479.4199999999</v>
      </c>
      <c r="G33" s="58">
        <f t="shared" si="0"/>
        <v>0</v>
      </c>
      <c r="H33" s="58">
        <f t="shared" si="0"/>
        <v>0</v>
      </c>
      <c r="I33" s="58">
        <f t="shared" si="0"/>
        <v>0</v>
      </c>
      <c r="J33" s="337">
        <f t="shared" si="0"/>
        <v>0</v>
      </c>
      <c r="K33" s="58">
        <f t="shared" si="0"/>
        <v>0</v>
      </c>
      <c r="L33" s="58">
        <f t="shared" si="0"/>
        <v>0</v>
      </c>
      <c r="M33" s="58">
        <f t="shared" si="0"/>
        <v>0</v>
      </c>
      <c r="N33" s="58">
        <f t="shared" si="0"/>
        <v>0</v>
      </c>
      <c r="O33" s="49"/>
      <c r="P33" s="50">
        <f>+G33</f>
        <v>0</v>
      </c>
      <c r="Q33" s="51"/>
    </row>
    <row r="34" spans="2:17" ht="15" customHeight="1" thickBot="1">
      <c r="B34" s="59" t="s">
        <v>211</v>
      </c>
      <c r="C34" s="60">
        <f>+C32</f>
        <v>3562573</v>
      </c>
      <c r="D34" s="60">
        <f>IF(AND(D31=0,D32=0),0,+C34+D32)</f>
        <v>4235392</v>
      </c>
      <c r="E34" s="60">
        <f t="shared" ref="E34:N34" si="1">IF(AND(E31=0,E32=0),0,+D34+E32)</f>
        <v>5673664</v>
      </c>
      <c r="F34" s="60">
        <f t="shared" si="1"/>
        <v>6261111.7000000002</v>
      </c>
      <c r="G34" s="60">
        <f t="shared" si="1"/>
        <v>0</v>
      </c>
      <c r="H34" s="60">
        <f t="shared" si="1"/>
        <v>0</v>
      </c>
      <c r="I34" s="60">
        <f t="shared" si="1"/>
        <v>0</v>
      </c>
      <c r="J34" s="60">
        <f t="shared" si="1"/>
        <v>0</v>
      </c>
      <c r="K34" s="60">
        <f t="shared" si="1"/>
        <v>0</v>
      </c>
      <c r="L34" s="60">
        <f t="shared" si="1"/>
        <v>0</v>
      </c>
      <c r="M34" s="60">
        <f t="shared" si="1"/>
        <v>0</v>
      </c>
      <c r="N34" s="60">
        <f t="shared" si="1"/>
        <v>0</v>
      </c>
      <c r="O34" s="49"/>
      <c r="P34" s="50">
        <f>+H33</f>
        <v>0</v>
      </c>
      <c r="Q34" s="51"/>
    </row>
    <row r="35" spans="2:17">
      <c r="C35" s="61">
        <f>+IF(AND(C30=$C$16,C33&lt;&gt;0),C34/C33,0)</f>
        <v>0</v>
      </c>
      <c r="D35" s="61">
        <f t="shared" ref="D35:N35" si="2">+IF(AND(D30=$C$16,D33&lt;&gt;0),D34/D33,0)</f>
        <v>0</v>
      </c>
      <c r="E35" s="61">
        <f t="shared" si="2"/>
        <v>0</v>
      </c>
      <c r="F35" s="61">
        <f t="shared" si="2"/>
        <v>0.89425553149737036</v>
      </c>
      <c r="G35" s="61">
        <f t="shared" si="2"/>
        <v>0</v>
      </c>
      <c r="H35" s="61">
        <f t="shared" si="2"/>
        <v>0</v>
      </c>
      <c r="I35" s="61">
        <f t="shared" si="2"/>
        <v>0</v>
      </c>
      <c r="J35" s="61">
        <f t="shared" si="2"/>
        <v>0</v>
      </c>
      <c r="K35" s="61">
        <f t="shared" si="2"/>
        <v>0</v>
      </c>
      <c r="L35" s="61">
        <f t="shared" si="2"/>
        <v>0</v>
      </c>
      <c r="M35" s="61">
        <f t="shared" si="2"/>
        <v>0</v>
      </c>
      <c r="N35" s="61">
        <f t="shared" si="2"/>
        <v>0</v>
      </c>
      <c r="O35" s="49"/>
      <c r="P35" s="50">
        <f>+I33</f>
        <v>0</v>
      </c>
      <c r="Q35" s="51"/>
    </row>
    <row r="36" spans="2:17" ht="18">
      <c r="B36" s="48" t="s">
        <v>342</v>
      </c>
      <c r="E36" s="62"/>
      <c r="G36" s="63"/>
      <c r="H36" s="362"/>
      <c r="N36" s="64"/>
    </row>
    <row r="37" spans="2:17" ht="15" thickBot="1">
      <c r="N37" s="65"/>
    </row>
    <row r="38" spans="2:17" ht="30" customHeight="1">
      <c r="B38" s="66" t="s">
        <v>341</v>
      </c>
      <c r="C38" s="67" t="str">
        <f>CONCATENATE("Presupuesto acumulado (en ",'Introducción de datos'!$D$26,")")</f>
        <v>Presupuesto acumulado (en $)</v>
      </c>
      <c r="D38" s="68" t="str">
        <f>CONCATENATE("Gastos acumulados (en ",'Introducción de datos'!$D$26,")")</f>
        <v>Gastos acumulados (en $)</v>
      </c>
      <c r="E38" s="69"/>
      <c r="F38" s="70"/>
      <c r="J38" s="71"/>
      <c r="K38" s="71"/>
    </row>
    <row r="39" spans="2:17" ht="14.25" customHeight="1">
      <c r="B39" s="72" t="s">
        <v>343</v>
      </c>
      <c r="C39" s="73">
        <f>SUM('[2]PR Expenditure_7A'!$K$112:$K$113)</f>
        <v>330088.40000000002</v>
      </c>
      <c r="D39" s="74">
        <v>322300.78000000003</v>
      </c>
      <c r="E39" s="437"/>
      <c r="F39" s="75"/>
      <c r="G39" s="76"/>
      <c r="J39" s="7"/>
      <c r="K39" s="7"/>
    </row>
    <row r="40" spans="2:17" ht="14.25" customHeight="1">
      <c r="B40" s="72" t="s">
        <v>344</v>
      </c>
      <c r="C40" s="73">
        <f>SUM('[2]PR Expenditure_7A'!$K$104:$K$106)</f>
        <v>3235385.27</v>
      </c>
      <c r="D40" s="74">
        <v>3020550.72</v>
      </c>
      <c r="E40" s="437"/>
      <c r="F40" s="75"/>
      <c r="G40" s="76"/>
      <c r="K40" s="7"/>
    </row>
    <row r="41" spans="2:17">
      <c r="B41" s="77" t="s">
        <v>345</v>
      </c>
      <c r="C41" s="73">
        <f>SUM('[2]PR Expenditure_7A'!$K$107:$K$110)</f>
        <v>1945823.1506000001</v>
      </c>
      <c r="D41" s="74">
        <f>1592604.03+38287.89</f>
        <v>1630891.92</v>
      </c>
      <c r="E41" s="437"/>
      <c r="F41" s="78"/>
      <c r="K41" s="7"/>
    </row>
    <row r="42" spans="2:17" ht="15" customHeight="1">
      <c r="B42" s="72" t="s">
        <v>346</v>
      </c>
      <c r="C42" s="73">
        <f>SUM('[2]PR Expenditure_7A'!$K$114:$K$115)</f>
        <v>1192422.44</v>
      </c>
      <c r="D42" s="74">
        <v>1004937.29</v>
      </c>
      <c r="E42" s="437"/>
      <c r="F42" s="79"/>
    </row>
    <row r="43" spans="2:17">
      <c r="B43" s="72" t="s">
        <v>347</v>
      </c>
      <c r="C43" s="73">
        <f>SUM('[2]PR Expenditure_7A'!$K$111)</f>
        <v>297760.15999999997</v>
      </c>
      <c r="D43" s="74">
        <v>289501.32</v>
      </c>
      <c r="E43" s="437"/>
      <c r="F43" s="78"/>
    </row>
    <row r="44" spans="2:17">
      <c r="B44" s="72"/>
      <c r="C44" s="80"/>
      <c r="D44" s="81"/>
      <c r="F44" s="82"/>
    </row>
    <row r="45" spans="2:17">
      <c r="B45" s="83"/>
      <c r="C45" s="80"/>
      <c r="D45" s="81"/>
      <c r="F45" s="78"/>
    </row>
    <row r="46" spans="2:17" ht="15" thickBot="1">
      <c r="B46" s="84"/>
      <c r="C46" s="80"/>
      <c r="D46" s="81"/>
    </row>
    <row r="47" spans="2:17" ht="15" thickBot="1">
      <c r="B47" s="85" t="s">
        <v>212</v>
      </c>
      <c r="C47" s="336">
        <f>SUM(C39:C43)</f>
        <v>7001479.4206000008</v>
      </c>
      <c r="D47" s="424">
        <f>SUM(D39:D43)</f>
        <v>6268182.0300000003</v>
      </c>
      <c r="E47" s="86"/>
      <c r="F47" s="510" t="str">
        <f ca="1">+IF((ROUND(C47,0)=ROUND(OFFSET(B33,0,RIGHT('Introducción de datos'!$C$16,LEN('Introducción de datos'!$C$16)-1),1,1),0)),"OK: Datos corresponden","Atención: Datos no corresponden")</f>
        <v>OK: Datos corresponden</v>
      </c>
      <c r="G47" s="510"/>
      <c r="H47" s="510"/>
      <c r="I47" s="510"/>
      <c r="J47" s="86"/>
      <c r="K47" s="86"/>
      <c r="L47" s="86"/>
      <c r="M47" s="87"/>
      <c r="N47" s="49"/>
    </row>
    <row r="48" spans="2:17">
      <c r="C48" s="86"/>
      <c r="D48" s="86"/>
      <c r="E48" s="88"/>
      <c r="F48" s="86"/>
      <c r="G48" s="86"/>
      <c r="H48" s="86"/>
      <c r="I48" s="86"/>
      <c r="J48" s="86"/>
      <c r="K48" s="86"/>
      <c r="L48" s="86"/>
      <c r="M48" s="86"/>
      <c r="N48" s="86"/>
      <c r="O48" s="49"/>
      <c r="P48" s="50"/>
      <c r="Q48" s="51"/>
    </row>
    <row r="49" spans="2:17" ht="18">
      <c r="B49" s="48" t="s">
        <v>213</v>
      </c>
      <c r="O49" s="49"/>
      <c r="P49" s="50">
        <f>+J33</f>
        <v>0</v>
      </c>
      <c r="Q49" s="51"/>
    </row>
    <row r="50" spans="2:17" ht="15" thickBot="1">
      <c r="O50" s="49"/>
      <c r="P50" s="50">
        <f>+K33</f>
        <v>0</v>
      </c>
      <c r="Q50" s="51"/>
    </row>
    <row r="51" spans="2:17" ht="46.5" customHeight="1">
      <c r="B51" s="388"/>
      <c r="C51" s="389" t="s">
        <v>214</v>
      </c>
      <c r="D51" s="389" t="s">
        <v>215</v>
      </c>
      <c r="E51" s="390" t="str">
        <f>CONCATENATE("Total gastado y desembolso (en ",D26,")")</f>
        <v>Total gastado y desembolso (en $)</v>
      </c>
      <c r="G51" s="89"/>
      <c r="H51" s="70"/>
      <c r="I51" s="90"/>
      <c r="J51" s="90"/>
      <c r="K51" s="90"/>
      <c r="L51" s="90"/>
      <c r="M51" s="91"/>
      <c r="N51" s="91"/>
      <c r="O51" s="50">
        <f>+M33</f>
        <v>0</v>
      </c>
      <c r="P51" s="51"/>
    </row>
    <row r="52" spans="2:17">
      <c r="B52" s="391" t="s">
        <v>216</v>
      </c>
      <c r="C52" s="386">
        <v>4235392</v>
      </c>
      <c r="D52" s="386">
        <v>2025719.7</v>
      </c>
      <c r="E52" s="418">
        <f>+D52+C52</f>
        <v>6261111.7000000002</v>
      </c>
      <c r="F52" s="416"/>
      <c r="G52" s="92"/>
      <c r="H52" s="93"/>
      <c r="I52" s="398"/>
      <c r="J52" s="95"/>
      <c r="K52" s="95"/>
      <c r="L52" s="96"/>
      <c r="M52" s="96"/>
      <c r="N52" s="96"/>
      <c r="O52" s="51"/>
      <c r="P52" s="51"/>
    </row>
    <row r="53" spans="2:17">
      <c r="B53" s="391" t="s">
        <v>352</v>
      </c>
      <c r="C53" s="386">
        <v>1362621.12</v>
      </c>
      <c r="D53" s="387">
        <f>1914311.31+38287.89</f>
        <v>1952599.2</v>
      </c>
      <c r="E53" s="418">
        <f t="shared" ref="E53:E58" si="3">+D53+C53</f>
        <v>3315220.3200000003</v>
      </c>
      <c r="F53" s="362"/>
      <c r="G53" s="425"/>
      <c r="H53" s="93"/>
      <c r="I53" s="94"/>
      <c r="J53" s="95"/>
      <c r="K53" s="95"/>
      <c r="L53" s="96"/>
      <c r="M53" s="97"/>
      <c r="N53" s="97"/>
      <c r="O53" s="51"/>
      <c r="P53" s="51"/>
    </row>
    <row r="54" spans="2:17">
      <c r="B54" s="391" t="s">
        <v>217</v>
      </c>
      <c r="C54" s="386">
        <v>1500365.56</v>
      </c>
      <c r="D54" s="387">
        <v>1471705.77</v>
      </c>
      <c r="E54" s="418">
        <f t="shared" si="3"/>
        <v>2972071.33</v>
      </c>
      <c r="F54" s="420"/>
      <c r="G54" s="426"/>
      <c r="H54" s="93"/>
      <c r="I54" s="94"/>
      <c r="J54" s="95"/>
      <c r="K54" s="95"/>
      <c r="L54" s="96"/>
      <c r="M54" s="96"/>
      <c r="N54" s="96"/>
    </row>
    <row r="55" spans="2:17">
      <c r="B55" s="391" t="s">
        <v>218</v>
      </c>
      <c r="C55" s="386">
        <v>1418994.82</v>
      </c>
      <c r="D55" s="387">
        <v>1533966.89</v>
      </c>
      <c r="E55" s="418">
        <f t="shared" si="3"/>
        <v>2952961.71</v>
      </c>
      <c r="G55" s="426"/>
      <c r="H55" s="93"/>
      <c r="I55" s="94"/>
      <c r="J55" s="95"/>
      <c r="K55" s="95"/>
      <c r="L55" s="96"/>
      <c r="M55" s="96"/>
      <c r="N55" s="96"/>
    </row>
    <row r="56" spans="2:17">
      <c r="B56" s="403" t="s">
        <v>356</v>
      </c>
      <c r="C56" s="404"/>
      <c r="D56" s="405">
        <v>198655.68</v>
      </c>
      <c r="E56" s="418">
        <f t="shared" si="3"/>
        <v>198655.68</v>
      </c>
      <c r="G56" s="426"/>
      <c r="H56" s="93"/>
      <c r="I56" s="94"/>
      <c r="J56" s="95"/>
      <c r="K56" s="95"/>
      <c r="L56" s="96"/>
      <c r="M56" s="96"/>
      <c r="N56" s="96"/>
    </row>
    <row r="57" spans="2:17">
      <c r="B57" s="403" t="s">
        <v>358</v>
      </c>
      <c r="C57" s="404"/>
      <c r="D57" s="405">
        <v>326842.96000000002</v>
      </c>
      <c r="E57" s="418">
        <f t="shared" si="3"/>
        <v>326842.96000000002</v>
      </c>
      <c r="F57" s="420"/>
      <c r="G57" s="428"/>
      <c r="H57" s="93"/>
      <c r="I57" s="94"/>
      <c r="J57" s="95"/>
      <c r="K57" s="95"/>
      <c r="L57" s="96"/>
      <c r="M57" s="96"/>
      <c r="N57" s="96"/>
    </row>
    <row r="58" spans="2:17" ht="15" thickBot="1">
      <c r="B58" s="392" t="s">
        <v>333</v>
      </c>
      <c r="C58" s="393"/>
      <c r="D58" s="394">
        <f>328044.54+19691.59</f>
        <v>347736.13</v>
      </c>
      <c r="E58" s="419">
        <f t="shared" si="3"/>
        <v>347736.13</v>
      </c>
      <c r="F58" s="362"/>
      <c r="G58" s="428"/>
      <c r="H58" s="98"/>
      <c r="I58" s="99"/>
      <c r="J58" s="99"/>
      <c r="K58" s="99"/>
      <c r="L58" s="96"/>
      <c r="M58" s="97"/>
      <c r="N58" s="97"/>
    </row>
    <row r="59" spans="2:17" ht="5.25" customHeight="1">
      <c r="B59" s="385"/>
    </row>
    <row r="60" spans="2:17" ht="27.6" customHeight="1">
      <c r="B60" s="721" t="s">
        <v>378</v>
      </c>
      <c r="C60" s="721"/>
      <c r="D60" s="721"/>
      <c r="E60" s="721"/>
      <c r="F60" s="420"/>
    </row>
    <row r="61" spans="2:17">
      <c r="B61" s="429" t="s">
        <v>380</v>
      </c>
      <c r="C61" s="417"/>
      <c r="D61" s="720"/>
      <c r="E61" s="427"/>
      <c r="F61" s="420"/>
    </row>
    <row r="62" spans="2:17" ht="18">
      <c r="B62" s="48" t="s">
        <v>219</v>
      </c>
      <c r="C62" s="416"/>
      <c r="D62" s="415"/>
      <c r="E62" s="416"/>
      <c r="F62" s="420"/>
    </row>
    <row r="63" spans="2:17" ht="15" thickBot="1">
      <c r="C63" s="416"/>
      <c r="D63" s="415"/>
      <c r="E63" s="416"/>
    </row>
    <row r="64" spans="2:17" ht="14.25" customHeight="1">
      <c r="B64" s="511" t="s">
        <v>220</v>
      </c>
      <c r="C64" s="511"/>
      <c r="D64" s="511"/>
    </row>
    <row r="65" spans="2:17">
      <c r="B65" s="100"/>
      <c r="C65" s="101" t="s">
        <v>221</v>
      </c>
      <c r="D65" s="102" t="s">
        <v>222</v>
      </c>
    </row>
    <row r="66" spans="2:17">
      <c r="B66" s="103" t="s">
        <v>332</v>
      </c>
      <c r="C66" s="104">
        <v>60</v>
      </c>
      <c r="D66" s="105">
        <v>61</v>
      </c>
    </row>
    <row r="67" spans="2:17">
      <c r="B67" s="106" t="s">
        <v>223</v>
      </c>
      <c r="C67" s="104">
        <v>45</v>
      </c>
      <c r="D67" s="105">
        <v>30</v>
      </c>
      <c r="H67" s="93"/>
      <c r="I67" s="93"/>
    </row>
    <row r="68" spans="2:17" ht="15" thickBot="1">
      <c r="B68" s="107" t="s">
        <v>224</v>
      </c>
      <c r="C68" s="108">
        <v>15</v>
      </c>
      <c r="D68" s="109">
        <v>15</v>
      </c>
      <c r="H68" s="93"/>
      <c r="I68" s="93"/>
    </row>
    <row r="69" spans="2:17">
      <c r="B69" s="395" t="s">
        <v>357</v>
      </c>
    </row>
    <row r="70" spans="2:17" ht="15" thickBot="1">
      <c r="L70" s="110"/>
    </row>
    <row r="71" spans="2:17" ht="18.600000000000001" thickBot="1">
      <c r="B71" s="111" t="s">
        <v>225</v>
      </c>
      <c r="C71" s="112"/>
      <c r="D71" s="112"/>
      <c r="E71" s="112"/>
      <c r="F71" s="112"/>
      <c r="G71" s="112"/>
      <c r="H71" s="113" t="s">
        <v>226</v>
      </c>
      <c r="I71" s="112"/>
      <c r="J71" s="114"/>
      <c r="K71" s="114"/>
      <c r="L71" s="115"/>
      <c r="M71" s="116"/>
      <c r="N71" s="117"/>
      <c r="Q71" s="43"/>
    </row>
    <row r="72" spans="2:17" ht="18">
      <c r="B72" s="118"/>
      <c r="C72" s="119"/>
      <c r="D72" s="119"/>
      <c r="E72" s="119"/>
      <c r="F72" s="119"/>
      <c r="G72" s="119"/>
      <c r="H72" s="119"/>
      <c r="I72" s="119"/>
      <c r="J72" s="119"/>
      <c r="K72" s="120"/>
      <c r="L72" s="120"/>
      <c r="M72" s="119"/>
      <c r="N72" s="117"/>
      <c r="Q72" s="43"/>
    </row>
    <row r="73" spans="2:17" ht="18">
      <c r="B73" s="118" t="s">
        <v>227</v>
      </c>
      <c r="C73" s="119"/>
      <c r="D73" s="119"/>
      <c r="E73" s="119"/>
      <c r="F73" s="119"/>
      <c r="G73" s="119"/>
      <c r="H73" s="119"/>
      <c r="I73" s="119"/>
      <c r="J73" s="119"/>
      <c r="K73" s="120"/>
      <c r="L73" s="120"/>
      <c r="M73" s="119"/>
      <c r="N73" s="117"/>
      <c r="Q73" s="43"/>
    </row>
    <row r="74" spans="2:17" ht="15" thickBot="1">
      <c r="C74" s="121"/>
      <c r="D74" s="121"/>
      <c r="E74" s="121"/>
      <c r="F74" s="121"/>
      <c r="G74" s="121"/>
      <c r="I74" s="121"/>
    </row>
    <row r="75" spans="2:17" ht="43.2">
      <c r="B75" s="485"/>
      <c r="C75" s="485"/>
      <c r="D75" s="122" t="s">
        <v>228</v>
      </c>
      <c r="E75" s="123" t="s">
        <v>229</v>
      </c>
      <c r="F75" s="123" t="s">
        <v>230</v>
      </c>
      <c r="G75" s="124" t="s">
        <v>212</v>
      </c>
      <c r="H75" s="7"/>
      <c r="I75" s="125"/>
    </row>
    <row r="76" spans="2:17">
      <c r="B76" s="506" t="s">
        <v>231</v>
      </c>
      <c r="C76" s="506"/>
      <c r="D76" s="127"/>
      <c r="E76" s="127">
        <v>0</v>
      </c>
      <c r="F76" s="127">
        <v>0</v>
      </c>
      <c r="G76" s="128">
        <f>SUM(D76:F76)</f>
        <v>0</v>
      </c>
      <c r="H76" s="78"/>
      <c r="I76" s="129"/>
      <c r="J76" s="129"/>
    </row>
    <row r="77" spans="2:17" ht="15" thickBot="1">
      <c r="B77" s="507" t="s">
        <v>232</v>
      </c>
      <c r="C77" s="507"/>
      <c r="D77" s="131"/>
      <c r="E77" s="131">
        <v>0</v>
      </c>
      <c r="F77" s="131">
        <v>0</v>
      </c>
      <c r="G77" s="132">
        <f>SUM(D77:F77)</f>
        <v>0</v>
      </c>
      <c r="H77" s="78"/>
    </row>
    <row r="80" spans="2:17" ht="18">
      <c r="B80" s="118" t="s">
        <v>233</v>
      </c>
    </row>
    <row r="81" spans="2:9" ht="15" thickBot="1"/>
    <row r="82" spans="2:9">
      <c r="B82" s="133"/>
      <c r="C82" s="134" t="s">
        <v>234</v>
      </c>
      <c r="D82" s="134" t="s">
        <v>235</v>
      </c>
      <c r="E82" s="135" t="s">
        <v>236</v>
      </c>
      <c r="I82" s="125"/>
    </row>
    <row r="83" spans="2:9" ht="15" thickBot="1">
      <c r="B83" s="130" t="s">
        <v>237</v>
      </c>
      <c r="C83" s="136">
        <v>6</v>
      </c>
      <c r="D83" s="136">
        <v>6</v>
      </c>
      <c r="E83" s="137">
        <f>+C83-D83</f>
        <v>0</v>
      </c>
      <c r="F83" s="30"/>
      <c r="G83" s="138"/>
      <c r="I83" s="129"/>
    </row>
    <row r="85" spans="2:9" ht="18">
      <c r="B85" s="118" t="s">
        <v>238</v>
      </c>
    </row>
    <row r="86" spans="2:9" ht="15" thickBot="1"/>
    <row r="87" spans="2:9" ht="28.8">
      <c r="B87" s="133"/>
      <c r="C87" s="134" t="s">
        <v>239</v>
      </c>
      <c r="D87" s="134" t="s">
        <v>240</v>
      </c>
      <c r="E87" s="134" t="s">
        <v>241</v>
      </c>
      <c r="F87" s="134" t="s">
        <v>242</v>
      </c>
      <c r="G87" s="139" t="s">
        <v>243</v>
      </c>
      <c r="H87" s="363"/>
      <c r="I87" s="125"/>
    </row>
    <row r="88" spans="2:9" ht="15" thickBot="1">
      <c r="B88" s="130" t="s">
        <v>244</v>
      </c>
      <c r="C88" s="136">
        <v>8</v>
      </c>
      <c r="D88" s="136">
        <v>8</v>
      </c>
      <c r="E88" s="136">
        <v>8</v>
      </c>
      <c r="F88" s="136">
        <v>8</v>
      </c>
      <c r="G88" s="140">
        <v>8</v>
      </c>
      <c r="H88" s="141"/>
      <c r="I88" s="78"/>
    </row>
    <row r="90" spans="2:9" ht="18">
      <c r="B90" s="118" t="s">
        <v>245</v>
      </c>
    </row>
    <row r="91" spans="2:9" ht="15" thickBot="1"/>
    <row r="92" spans="2:9">
      <c r="B92" s="133"/>
      <c r="C92" s="142" t="s">
        <v>246</v>
      </c>
      <c r="D92" s="142" t="s">
        <v>247</v>
      </c>
      <c r="E92" s="143" t="s">
        <v>248</v>
      </c>
    </row>
    <row r="93" spans="2:9">
      <c r="B93" s="126" t="s">
        <v>249</v>
      </c>
      <c r="C93" s="127">
        <v>0</v>
      </c>
      <c r="D93" s="144">
        <v>0</v>
      </c>
      <c r="E93" s="145">
        <f>C93-D93</f>
        <v>0</v>
      </c>
    </row>
    <row r="94" spans="2:9" ht="15" thickBot="1">
      <c r="B94" s="130" t="s">
        <v>314</v>
      </c>
      <c r="C94" s="131">
        <v>16</v>
      </c>
      <c r="D94" s="146">
        <v>16</v>
      </c>
      <c r="E94" s="145">
        <f>C94-D94</f>
        <v>0</v>
      </c>
    </row>
    <row r="95" spans="2:9">
      <c r="B95" t="s">
        <v>348</v>
      </c>
    </row>
    <row r="97" spans="2:14" ht="18">
      <c r="B97" s="118" t="s">
        <v>250</v>
      </c>
    </row>
    <row r="98" spans="2:14" ht="15" thickBot="1"/>
    <row r="99" spans="2:14">
      <c r="B99" s="147"/>
      <c r="C99" s="148" t="s">
        <v>16</v>
      </c>
      <c r="D99" s="148" t="s">
        <v>17</v>
      </c>
      <c r="E99" s="148" t="s">
        <v>18</v>
      </c>
      <c r="F99" s="148" t="s">
        <v>19</v>
      </c>
      <c r="G99" s="148" t="s">
        <v>20</v>
      </c>
      <c r="H99" s="148" t="s">
        <v>21</v>
      </c>
      <c r="I99" s="148" t="s">
        <v>22</v>
      </c>
      <c r="J99" s="148" t="s">
        <v>23</v>
      </c>
      <c r="K99" s="148" t="s">
        <v>207</v>
      </c>
      <c r="L99" s="148" t="s">
        <v>208</v>
      </c>
      <c r="M99" s="148" t="s">
        <v>209</v>
      </c>
      <c r="N99" s="149" t="s">
        <v>192</v>
      </c>
    </row>
    <row r="100" spans="2:14" ht="15" customHeight="1">
      <c r="B100" s="150" t="s">
        <v>251</v>
      </c>
      <c r="C100" s="151">
        <v>928047.13</v>
      </c>
      <c r="D100" s="151">
        <v>0</v>
      </c>
      <c r="E100" s="151">
        <v>31826.77</v>
      </c>
      <c r="F100" s="151">
        <v>0</v>
      </c>
      <c r="G100" s="151"/>
      <c r="H100" s="151"/>
      <c r="I100" s="151"/>
      <c r="J100" s="151"/>
      <c r="K100" s="152"/>
      <c r="L100" s="152"/>
      <c r="M100" s="152"/>
      <c r="N100" s="152"/>
    </row>
    <row r="101" spans="2:14" ht="15" customHeight="1">
      <c r="B101" s="150" t="s">
        <v>252</v>
      </c>
      <c r="C101" s="151">
        <v>0</v>
      </c>
      <c r="D101" s="151">
        <v>321963.14</v>
      </c>
      <c r="E101" s="151">
        <v>0</v>
      </c>
      <c r="F101" s="151">
        <v>0</v>
      </c>
      <c r="G101" s="151"/>
      <c r="H101" s="151"/>
      <c r="I101" s="151"/>
      <c r="J101" s="151"/>
      <c r="K101" s="152"/>
      <c r="L101" s="152"/>
      <c r="M101" s="152"/>
      <c r="N101" s="152"/>
    </row>
    <row r="102" spans="2:14" ht="15" customHeight="1">
      <c r="B102" s="150" t="s">
        <v>253</v>
      </c>
      <c r="C102" s="151">
        <v>33385.26</v>
      </c>
      <c r="D102" s="151">
        <v>224955.9</v>
      </c>
      <c r="E102" s="151">
        <f>444008.7+17785.14</f>
        <v>461793.84</v>
      </c>
      <c r="F102" s="151">
        <v>20502.75</v>
      </c>
      <c r="G102" s="151">
        <v>0</v>
      </c>
      <c r="H102" s="151"/>
      <c r="I102" s="151"/>
      <c r="J102" s="151"/>
      <c r="K102" s="152"/>
      <c r="L102" s="152"/>
      <c r="M102" s="152"/>
      <c r="N102" s="152"/>
    </row>
    <row r="103" spans="2:14" ht="15" customHeight="1">
      <c r="B103" s="153" t="s">
        <v>254</v>
      </c>
      <c r="C103" s="154">
        <f>+C100</f>
        <v>928047.13</v>
      </c>
      <c r="D103" s="154">
        <f>+C103+D100</f>
        <v>928047.13</v>
      </c>
      <c r="E103" s="154">
        <f t="shared" ref="E103:L103" si="4">+D103+E100</f>
        <v>959873.9</v>
      </c>
      <c r="F103" s="154">
        <f t="shared" si="4"/>
        <v>959873.9</v>
      </c>
      <c r="G103" s="154">
        <f t="shared" si="4"/>
        <v>959873.9</v>
      </c>
      <c r="H103" s="154">
        <f t="shared" si="4"/>
        <v>959873.9</v>
      </c>
      <c r="I103" s="154">
        <f t="shared" si="4"/>
        <v>959873.9</v>
      </c>
      <c r="J103" s="154">
        <f t="shared" si="4"/>
        <v>959873.9</v>
      </c>
      <c r="K103" s="154">
        <f t="shared" si="4"/>
        <v>959873.9</v>
      </c>
      <c r="L103" s="154">
        <f t="shared" si="4"/>
        <v>959873.9</v>
      </c>
      <c r="M103" s="155">
        <f t="shared" ref="M103:N105" si="5">+L103+M100</f>
        <v>959873.9</v>
      </c>
      <c r="N103" s="155">
        <f t="shared" si="5"/>
        <v>959873.9</v>
      </c>
    </row>
    <row r="104" spans="2:14" ht="15" customHeight="1">
      <c r="B104" s="153" t="s">
        <v>255</v>
      </c>
      <c r="C104" s="154">
        <f>+C101</f>
        <v>0</v>
      </c>
      <c r="D104" s="154">
        <f t="shared" ref="D104:L104" si="6">+C104+D101</f>
        <v>321963.14</v>
      </c>
      <c r="E104" s="154">
        <f>+D104+E101</f>
        <v>321963.14</v>
      </c>
      <c r="F104" s="154">
        <f t="shared" si="6"/>
        <v>321963.14</v>
      </c>
      <c r="G104" s="154">
        <f t="shared" si="6"/>
        <v>321963.14</v>
      </c>
      <c r="H104" s="154">
        <f t="shared" si="6"/>
        <v>321963.14</v>
      </c>
      <c r="I104" s="154">
        <f t="shared" si="6"/>
        <v>321963.14</v>
      </c>
      <c r="J104" s="154">
        <f t="shared" si="6"/>
        <v>321963.14</v>
      </c>
      <c r="K104" s="154">
        <f t="shared" si="6"/>
        <v>321963.14</v>
      </c>
      <c r="L104" s="154">
        <f t="shared" si="6"/>
        <v>321963.14</v>
      </c>
      <c r="M104" s="155">
        <f t="shared" si="5"/>
        <v>321963.14</v>
      </c>
      <c r="N104" s="155">
        <f t="shared" si="5"/>
        <v>321963.14</v>
      </c>
    </row>
    <row r="105" spans="2:14">
      <c r="B105" s="156" t="s">
        <v>256</v>
      </c>
      <c r="C105" s="157">
        <f>+C102</f>
        <v>33385.26</v>
      </c>
      <c r="D105" s="154">
        <f t="shared" ref="D105:L105" si="7">+C105+D102</f>
        <v>258341.16</v>
      </c>
      <c r="E105" s="154">
        <f t="shared" si="7"/>
        <v>720135</v>
      </c>
      <c r="F105" s="154">
        <f t="shared" si="7"/>
        <v>740637.75</v>
      </c>
      <c r="G105" s="154">
        <f t="shared" si="7"/>
        <v>740637.75</v>
      </c>
      <c r="H105" s="154">
        <f t="shared" si="7"/>
        <v>740637.75</v>
      </c>
      <c r="I105" s="154">
        <f t="shared" si="7"/>
        <v>740637.75</v>
      </c>
      <c r="J105" s="154">
        <f t="shared" si="7"/>
        <v>740637.75</v>
      </c>
      <c r="K105" s="154">
        <f t="shared" si="7"/>
        <v>740637.75</v>
      </c>
      <c r="L105" s="154">
        <f t="shared" si="7"/>
        <v>740637.75</v>
      </c>
      <c r="M105" s="155">
        <f t="shared" si="5"/>
        <v>740637.75</v>
      </c>
      <c r="N105" s="155">
        <f t="shared" si="5"/>
        <v>740637.75</v>
      </c>
    </row>
    <row r="106" spans="2:14" ht="11.25" customHeight="1">
      <c r="E106" s="364"/>
      <c r="J106" s="158"/>
      <c r="K106" s="159"/>
      <c r="M106" s="160"/>
    </row>
    <row r="107" spans="2:14">
      <c r="B107" s="430"/>
      <c r="J107" s="158"/>
      <c r="K107" s="159"/>
      <c r="M107" s="160"/>
    </row>
    <row r="108" spans="2:14">
      <c r="B108" t="s">
        <v>349</v>
      </c>
      <c r="J108" s="158"/>
      <c r="K108" s="160"/>
      <c r="M108" s="160"/>
    </row>
    <row r="110" spans="2:14" ht="18">
      <c r="B110" s="118" t="s">
        <v>257</v>
      </c>
    </row>
    <row r="111" spans="2:14" ht="15" thickBot="1"/>
    <row r="112" spans="2:14" ht="121.95" customHeight="1">
      <c r="B112" s="371" t="s">
        <v>258</v>
      </c>
      <c r="C112" s="372" t="s">
        <v>259</v>
      </c>
      <c r="D112" s="373" t="s">
        <v>334</v>
      </c>
      <c r="E112" s="373" t="s">
        <v>340</v>
      </c>
      <c r="F112" s="374" t="s">
        <v>335</v>
      </c>
      <c r="G112" s="372" t="s">
        <v>365</v>
      </c>
      <c r="H112" s="396" t="s">
        <v>321</v>
      </c>
      <c r="I112" s="374" t="s">
        <v>336</v>
      </c>
      <c r="J112" s="396" t="s">
        <v>322</v>
      </c>
      <c r="K112" s="397" t="s">
        <v>260</v>
      </c>
    </row>
    <row r="113" spans="2:17" ht="29.4" customHeight="1" thickBot="1">
      <c r="B113" s="555" t="s">
        <v>45</v>
      </c>
      <c r="C113" s="368" t="s">
        <v>324</v>
      </c>
      <c r="D113" s="366">
        <v>0</v>
      </c>
      <c r="E113" s="366">
        <v>96</v>
      </c>
      <c r="F113" s="413">
        <v>18023</v>
      </c>
      <c r="G113" s="406">
        <f>E113*F113</f>
        <v>1730208</v>
      </c>
      <c r="H113" s="568">
        <v>8365083</v>
      </c>
      <c r="I113" s="571">
        <f>IF(AND((G113+G114+G115)&gt;0,H113&gt;0),H113/(G113+G114+G115),"")*6</f>
        <v>11.102530263440809</v>
      </c>
      <c r="J113" s="574">
        <v>5</v>
      </c>
      <c r="K113" s="577">
        <f>IF(AND(I113&gt;0,J113&gt;0),I113-J113,"")</f>
        <v>6.1025302634408085</v>
      </c>
      <c r="L113" s="451"/>
      <c r="M113" s="451"/>
    </row>
    <row r="114" spans="2:17" ht="29.4" thickBot="1">
      <c r="B114" s="555"/>
      <c r="C114" s="368" t="s">
        <v>325</v>
      </c>
      <c r="D114" s="366">
        <v>0</v>
      </c>
      <c r="E114" s="366">
        <v>266</v>
      </c>
      <c r="F114" s="413">
        <v>9622</v>
      </c>
      <c r="G114" s="406">
        <f>E114*F114</f>
        <v>2559452</v>
      </c>
      <c r="H114" s="569"/>
      <c r="I114" s="572" t="e">
        <f>IF(AND(G114&gt;0,H114&gt;0),H114/G114,"")*12</f>
        <v>#VALUE!</v>
      </c>
      <c r="J114" s="575"/>
      <c r="K114" s="578"/>
      <c r="L114" s="451"/>
      <c r="M114" s="451"/>
    </row>
    <row r="115" spans="2:17" ht="31.95" customHeight="1" thickBot="1">
      <c r="B115" s="555"/>
      <c r="C115" s="368" t="s">
        <v>326</v>
      </c>
      <c r="D115" s="366">
        <v>0</v>
      </c>
      <c r="E115" s="366">
        <v>144</v>
      </c>
      <c r="F115" s="413">
        <v>1604</v>
      </c>
      <c r="G115" s="406">
        <f>E115*F115</f>
        <v>230976</v>
      </c>
      <c r="H115" s="570"/>
      <c r="I115" s="573" t="e">
        <f>IF(AND(G115&gt;0,H115&gt;0),H115/G115,"")*12</f>
        <v>#VALUE!</v>
      </c>
      <c r="J115" s="576"/>
      <c r="K115" s="579"/>
      <c r="L115" s="451"/>
      <c r="M115" s="451"/>
    </row>
    <row r="116" spans="2:17" ht="29.4" thickBot="1">
      <c r="B116" s="555"/>
      <c r="C116" s="368" t="s">
        <v>320</v>
      </c>
      <c r="D116" s="400">
        <v>0</v>
      </c>
      <c r="E116" s="366">
        <v>9</v>
      </c>
      <c r="F116" s="413">
        <v>9632</v>
      </c>
      <c r="G116" s="406">
        <f>E116*F116</f>
        <v>86688</v>
      </c>
      <c r="H116" s="407">
        <v>13739</v>
      </c>
      <c r="I116" s="408">
        <f>IF(AND(G116&gt;0,H116&gt;0),H116/G116,"")*12</f>
        <v>1.9018549280177186</v>
      </c>
      <c r="J116" s="409">
        <v>5</v>
      </c>
      <c r="K116" s="410">
        <f>IF(AND(I116&gt;0,J116&gt;0),I116-J116,"")</f>
        <v>-3.0981450719822812</v>
      </c>
    </row>
    <row r="117" spans="2:17" ht="29.4" thickBot="1">
      <c r="B117" s="555"/>
      <c r="C117" s="368" t="s">
        <v>366</v>
      </c>
      <c r="D117" s="366">
        <v>0</v>
      </c>
      <c r="E117" s="366">
        <v>1</v>
      </c>
      <c r="F117" s="413">
        <v>13179</v>
      </c>
      <c r="G117" s="411">
        <f>IF(AND(E117&gt;0,F117&gt;0),(F117*E117),"")</f>
        <v>13179</v>
      </c>
      <c r="H117" s="407">
        <v>1711</v>
      </c>
      <c r="I117" s="434">
        <f>IF(AND(G117&gt;0,H117&gt;0),H117/G117,"")*12</f>
        <v>1.557933075347143</v>
      </c>
      <c r="J117" s="438">
        <v>5</v>
      </c>
      <c r="K117" s="410">
        <f>IF(AND(I117&gt;0,J117&gt;0),I117-J117,"")</f>
        <v>-3.442066924652857</v>
      </c>
    </row>
    <row r="118" spans="2:17" ht="15" thickBot="1">
      <c r="B118" s="555"/>
      <c r="C118" s="369" t="s">
        <v>327</v>
      </c>
      <c r="D118" s="366">
        <v>0</v>
      </c>
      <c r="E118" s="366">
        <v>7</v>
      </c>
      <c r="F118" s="413">
        <v>18023</v>
      </c>
      <c r="G118" s="406">
        <f>E118*F118</f>
        <v>126161</v>
      </c>
      <c r="H118" s="563">
        <v>218823</v>
      </c>
      <c r="I118" s="560">
        <f>IF(AND((G118+G119+G120)&gt;0,H118&gt;0),H118/(G118+G119+G120),"")*6</f>
        <v>5.7788527137242127</v>
      </c>
      <c r="J118" s="552">
        <v>5</v>
      </c>
      <c r="K118" s="557">
        <f>IF(AND(I118&gt;0,J118&gt;0),I118-J118,"")</f>
        <v>0.77885271372421272</v>
      </c>
    </row>
    <row r="119" spans="2:17" ht="21" customHeight="1" thickBot="1">
      <c r="B119" s="555"/>
      <c r="C119" s="369" t="s">
        <v>328</v>
      </c>
      <c r="D119" s="366">
        <v>0</v>
      </c>
      <c r="E119" s="367">
        <v>8</v>
      </c>
      <c r="F119" s="413">
        <v>9622</v>
      </c>
      <c r="G119" s="406">
        <f>E119*F119</f>
        <v>76976</v>
      </c>
      <c r="H119" s="564"/>
      <c r="I119" s="561"/>
      <c r="J119" s="553"/>
      <c r="K119" s="558"/>
      <c r="M119" s="365"/>
    </row>
    <row r="120" spans="2:17" ht="31.2" customHeight="1" thickBot="1">
      <c r="B120" s="555"/>
      <c r="C120" s="369" t="s">
        <v>329</v>
      </c>
      <c r="D120" s="366">
        <v>0</v>
      </c>
      <c r="E120" s="367">
        <v>15</v>
      </c>
      <c r="F120" s="413">
        <v>1604</v>
      </c>
      <c r="G120" s="406">
        <f>E120*F120</f>
        <v>24060</v>
      </c>
      <c r="H120" s="565"/>
      <c r="I120" s="562"/>
      <c r="J120" s="554"/>
      <c r="K120" s="559"/>
      <c r="M120" s="365"/>
    </row>
    <row r="121" spans="2:17" ht="29.4" thickBot="1">
      <c r="B121" s="555"/>
      <c r="C121" s="370" t="s">
        <v>330</v>
      </c>
      <c r="D121" s="366">
        <v>0</v>
      </c>
      <c r="E121" s="367">
        <v>26</v>
      </c>
      <c r="F121" s="413">
        <v>18023</v>
      </c>
      <c r="G121" s="406">
        <f>E121*F121</f>
        <v>468598</v>
      </c>
      <c r="H121" s="546">
        <v>1428556</v>
      </c>
      <c r="I121" s="548">
        <f>IF(AND((G118+G119)&gt;0,H118&gt;0),H118/(G118+G119),"")*6</f>
        <v>6.4633129365895918</v>
      </c>
      <c r="J121" s="550">
        <v>5</v>
      </c>
      <c r="K121" s="566">
        <f>IF(AND(I121&gt;0,J121&gt;0),I121-J121,"")</f>
        <v>1.4633129365895918</v>
      </c>
    </row>
    <row r="122" spans="2:17" ht="15" thickBot="1">
      <c r="B122" s="555"/>
      <c r="C122" s="370" t="s">
        <v>331</v>
      </c>
      <c r="D122" s="366">
        <v>0</v>
      </c>
      <c r="E122" s="367">
        <v>26</v>
      </c>
      <c r="F122" s="413">
        <v>9622</v>
      </c>
      <c r="G122" s="406">
        <f>E122*F122</f>
        <v>250172</v>
      </c>
      <c r="H122" s="547"/>
      <c r="I122" s="549"/>
      <c r="J122" s="551"/>
      <c r="K122" s="567"/>
    </row>
    <row r="123" spans="2:17" ht="15" thickBot="1">
      <c r="B123" s="556"/>
      <c r="C123" s="375"/>
      <c r="D123" s="376"/>
      <c r="E123" s="376"/>
      <c r="F123" s="414"/>
      <c r="G123" s="412"/>
      <c r="H123" s="421"/>
      <c r="I123" s="422"/>
      <c r="J123" s="423"/>
      <c r="K123" s="431"/>
    </row>
    <row r="124" spans="2:17" ht="4.5" customHeight="1">
      <c r="B124" s="402"/>
      <c r="C124" s="402"/>
    </row>
    <row r="125" spans="2:17" ht="59.4" customHeight="1">
      <c r="B125" s="722" t="s">
        <v>379</v>
      </c>
      <c r="C125" s="722"/>
      <c r="D125" s="722"/>
      <c r="E125" s="722"/>
      <c r="F125" s="722"/>
      <c r="G125" s="722"/>
    </row>
    <row r="126" spans="2:17" ht="18.600000000000001" thickBot="1">
      <c r="B126" s="161" t="s">
        <v>265</v>
      </c>
      <c r="C126" s="162"/>
      <c r="D126" s="162"/>
      <c r="E126" s="163"/>
      <c r="F126" s="163"/>
      <c r="G126" s="163"/>
      <c r="H126" s="164"/>
      <c r="I126" s="165"/>
      <c r="J126" s="166"/>
      <c r="K126" s="167" t="s">
        <v>266</v>
      </c>
      <c r="L126" s="163"/>
      <c r="M126" s="166"/>
      <c r="N126" s="166"/>
    </row>
    <row r="127" spans="2:17" ht="15" thickBot="1"/>
    <row r="128" spans="2:17" ht="26.4">
      <c r="B128" s="520" t="s">
        <v>267</v>
      </c>
      <c r="C128" s="520"/>
      <c r="D128" s="520"/>
      <c r="E128" s="168" t="s">
        <v>268</v>
      </c>
      <c r="F128" s="169" t="s">
        <v>269</v>
      </c>
      <c r="G128" s="170"/>
      <c r="H128" s="171" t="s">
        <v>16</v>
      </c>
      <c r="I128" s="171" t="s">
        <v>17</v>
      </c>
      <c r="J128" s="171" t="s">
        <v>18</v>
      </c>
      <c r="K128" s="171" t="s">
        <v>19</v>
      </c>
      <c r="L128" s="171" t="s">
        <v>20</v>
      </c>
      <c r="M128" s="171" t="s">
        <v>21</v>
      </c>
      <c r="N128" s="171" t="s">
        <v>22</v>
      </c>
      <c r="O128" s="171" t="s">
        <v>23</v>
      </c>
      <c r="P128" s="171" t="s">
        <v>207</v>
      </c>
      <c r="Q128" s="171" t="s">
        <v>208</v>
      </c>
    </row>
    <row r="129" spans="1:17">
      <c r="B129" s="172"/>
      <c r="C129" s="173"/>
      <c r="D129" s="173"/>
      <c r="E129" s="174"/>
      <c r="F129" s="175"/>
      <c r="G129" s="176"/>
      <c r="H129" s="338"/>
      <c r="I129" s="338"/>
      <c r="J129" s="338"/>
      <c r="K129" s="338"/>
      <c r="L129" s="338"/>
      <c r="M129" s="338"/>
      <c r="N129" s="338"/>
      <c r="O129" s="338"/>
      <c r="P129" s="338"/>
      <c r="Q129" s="339"/>
    </row>
    <row r="130" spans="1:17" ht="15" customHeight="1">
      <c r="A130" s="497" t="s">
        <v>270</v>
      </c>
      <c r="B130" s="498" t="s">
        <v>315</v>
      </c>
      <c r="C130" s="499"/>
      <c r="D130" s="500"/>
      <c r="E130" s="504" t="s">
        <v>318</v>
      </c>
      <c r="F130" s="512" t="s">
        <v>271</v>
      </c>
      <c r="G130" s="347" t="s">
        <v>272</v>
      </c>
      <c r="H130" s="177"/>
      <c r="I130" s="177">
        <v>18118</v>
      </c>
      <c r="J130" s="177"/>
      <c r="K130" s="177">
        <v>18123</v>
      </c>
      <c r="L130" s="178"/>
      <c r="M130" s="340"/>
      <c r="N130" s="349"/>
      <c r="O130" s="349"/>
      <c r="P130" s="342"/>
      <c r="Q130" s="342"/>
    </row>
    <row r="131" spans="1:17">
      <c r="A131" s="497"/>
      <c r="B131" s="501"/>
      <c r="C131" s="502"/>
      <c r="D131" s="503"/>
      <c r="E131" s="505"/>
      <c r="F131" s="513"/>
      <c r="G131" s="347" t="s">
        <v>273</v>
      </c>
      <c r="H131" s="177"/>
      <c r="I131" s="177">
        <v>18230</v>
      </c>
      <c r="J131" s="177"/>
      <c r="K131" s="177">
        <v>18023</v>
      </c>
      <c r="L131" s="177"/>
      <c r="M131" s="340"/>
      <c r="N131" s="349"/>
      <c r="O131" s="349"/>
      <c r="P131" s="342"/>
      <c r="Q131" s="342"/>
    </row>
    <row r="132" spans="1:17" ht="15" customHeight="1">
      <c r="A132" s="497"/>
      <c r="B132" s="514" t="s">
        <v>316</v>
      </c>
      <c r="C132" s="515"/>
      <c r="D132" s="516"/>
      <c r="E132" s="504" t="s">
        <v>318</v>
      </c>
      <c r="F132" s="512" t="s">
        <v>271</v>
      </c>
      <c r="G132" s="348" t="s">
        <v>272</v>
      </c>
      <c r="H132" s="177"/>
      <c r="I132" s="177">
        <v>9714</v>
      </c>
      <c r="J132" s="177"/>
      <c r="K132" s="177">
        <v>9712</v>
      </c>
      <c r="L132" s="177"/>
      <c r="M132" s="340"/>
      <c r="N132" s="350"/>
      <c r="O132" s="350"/>
      <c r="P132" s="343"/>
      <c r="Q132" s="343"/>
    </row>
    <row r="133" spans="1:17">
      <c r="A133" s="497"/>
      <c r="B133" s="517"/>
      <c r="C133" s="518"/>
      <c r="D133" s="519"/>
      <c r="E133" s="505"/>
      <c r="F133" s="513"/>
      <c r="G133" s="348" t="s">
        <v>273</v>
      </c>
      <c r="H133" s="177"/>
      <c r="I133" s="177">
        <v>9766</v>
      </c>
      <c r="J133" s="177"/>
      <c r="K133" s="177">
        <v>9622</v>
      </c>
      <c r="L133" s="177"/>
      <c r="M133" s="340"/>
      <c r="N133" s="350"/>
      <c r="O133" s="350"/>
      <c r="P133" s="343"/>
      <c r="Q133" s="343"/>
    </row>
    <row r="134" spans="1:17" ht="15" customHeight="1">
      <c r="A134" s="497"/>
      <c r="B134" s="498" t="s">
        <v>317</v>
      </c>
      <c r="C134" s="499"/>
      <c r="D134" s="500"/>
      <c r="E134" s="504" t="s">
        <v>318</v>
      </c>
      <c r="F134" s="512" t="s">
        <v>271</v>
      </c>
      <c r="G134" s="347" t="s">
        <v>272</v>
      </c>
      <c r="H134" s="177"/>
      <c r="I134" s="177">
        <v>1615</v>
      </c>
      <c r="J134" s="177"/>
      <c r="K134" s="177">
        <v>1609</v>
      </c>
      <c r="L134" s="177"/>
      <c r="M134" s="340"/>
      <c r="N134" s="349"/>
      <c r="O134" s="349"/>
      <c r="P134" s="342"/>
      <c r="Q134" s="342"/>
    </row>
    <row r="135" spans="1:17">
      <c r="A135" s="497"/>
      <c r="B135" s="501"/>
      <c r="C135" s="502"/>
      <c r="D135" s="503"/>
      <c r="E135" s="505"/>
      <c r="F135" s="513"/>
      <c r="G135" s="347" t="s">
        <v>273</v>
      </c>
      <c r="H135" s="177"/>
      <c r="I135" s="177">
        <v>1631</v>
      </c>
      <c r="J135" s="177"/>
      <c r="K135" s="177">
        <v>1604</v>
      </c>
      <c r="L135" s="177"/>
      <c r="M135" s="345"/>
      <c r="N135" s="349"/>
      <c r="O135" s="349"/>
      <c r="P135" s="342"/>
      <c r="Q135" s="342"/>
    </row>
    <row r="136" spans="1:17" ht="15" customHeight="1">
      <c r="B136" s="514" t="s">
        <v>353</v>
      </c>
      <c r="C136" s="515"/>
      <c r="D136" s="516"/>
      <c r="E136" s="504" t="s">
        <v>319</v>
      </c>
      <c r="F136" s="512" t="s">
        <v>271</v>
      </c>
      <c r="G136" s="348" t="s">
        <v>272</v>
      </c>
      <c r="H136" s="177"/>
      <c r="I136" s="177">
        <v>7572</v>
      </c>
      <c r="J136" s="177"/>
      <c r="K136" s="177">
        <v>8117</v>
      </c>
      <c r="L136" s="177"/>
      <c r="M136" s="340"/>
      <c r="N136" s="349"/>
      <c r="O136" s="349"/>
      <c r="P136" s="343"/>
      <c r="Q136" s="343"/>
    </row>
    <row r="137" spans="1:17">
      <c r="B137" s="517"/>
      <c r="C137" s="518"/>
      <c r="D137" s="519"/>
      <c r="E137" s="505"/>
      <c r="F137" s="513"/>
      <c r="G137" s="348" t="s">
        <v>273</v>
      </c>
      <c r="H137" s="177"/>
      <c r="I137" s="177">
        <v>7603</v>
      </c>
      <c r="J137" s="177"/>
      <c r="K137" s="177">
        <v>8102</v>
      </c>
      <c r="L137" s="177"/>
      <c r="M137" s="345"/>
      <c r="N137" s="349"/>
      <c r="O137" s="349"/>
      <c r="P137" s="343"/>
      <c r="Q137" s="343"/>
    </row>
    <row r="138" spans="1:17" ht="15" customHeight="1">
      <c r="B138" s="521" t="s">
        <v>338</v>
      </c>
      <c r="C138" s="522"/>
      <c r="D138" s="523"/>
      <c r="E138" s="504" t="s">
        <v>319</v>
      </c>
      <c r="F138" s="512" t="s">
        <v>271</v>
      </c>
      <c r="G138" s="347" t="s">
        <v>272</v>
      </c>
      <c r="H138" s="177"/>
      <c r="I138" s="177">
        <v>4080</v>
      </c>
      <c r="J138" s="177"/>
      <c r="K138" s="177">
        <v>4370</v>
      </c>
      <c r="L138" s="177"/>
      <c r="M138" s="340"/>
      <c r="N138" s="349"/>
      <c r="O138" s="349"/>
      <c r="P138" s="342"/>
      <c r="Q138" s="342"/>
    </row>
    <row r="139" spans="1:17">
      <c r="B139" s="524"/>
      <c r="C139" s="525"/>
      <c r="D139" s="526"/>
      <c r="E139" s="505"/>
      <c r="F139" s="513"/>
      <c r="G139" s="347" t="s">
        <v>273</v>
      </c>
      <c r="H139" s="177"/>
      <c r="I139" s="177">
        <v>4107</v>
      </c>
      <c r="J139" s="177"/>
      <c r="K139" s="177">
        <v>4369</v>
      </c>
      <c r="L139" s="177"/>
      <c r="M139" s="345"/>
      <c r="N139" s="349"/>
      <c r="O139" s="349"/>
      <c r="P139" s="342"/>
      <c r="Q139" s="342"/>
    </row>
    <row r="140" spans="1:17" ht="15" customHeight="1">
      <c r="B140" s="521" t="s">
        <v>339</v>
      </c>
      <c r="C140" s="522"/>
      <c r="D140" s="523"/>
      <c r="E140" s="504" t="s">
        <v>319</v>
      </c>
      <c r="F140" s="512" t="s">
        <v>271</v>
      </c>
      <c r="G140" s="348" t="s">
        <v>272</v>
      </c>
      <c r="H140" s="177"/>
      <c r="I140" s="177">
        <v>678</v>
      </c>
      <c r="J140" s="177"/>
      <c r="K140" s="177">
        <v>676</v>
      </c>
      <c r="L140" s="177"/>
      <c r="M140" s="340"/>
      <c r="N140" s="351"/>
      <c r="O140" s="351"/>
      <c r="P140" s="344"/>
      <c r="Q140" s="344"/>
    </row>
    <row r="141" spans="1:17">
      <c r="B141" s="524"/>
      <c r="C141" s="525"/>
      <c r="D141" s="526"/>
      <c r="E141" s="505"/>
      <c r="F141" s="513"/>
      <c r="G141" s="348" t="s">
        <v>273</v>
      </c>
      <c r="H141" s="177"/>
      <c r="I141" s="177">
        <v>676</v>
      </c>
      <c r="J141" s="177"/>
      <c r="K141" s="177">
        <v>708</v>
      </c>
      <c r="L141" s="177"/>
      <c r="M141" s="340"/>
      <c r="N141" s="351"/>
      <c r="O141" s="351"/>
      <c r="P141" s="344"/>
      <c r="Q141" s="344"/>
    </row>
    <row r="142" spans="1:17" ht="14.25" customHeight="1">
      <c r="B142" s="498"/>
      <c r="C142" s="499"/>
      <c r="D142" s="500"/>
      <c r="E142" s="504"/>
      <c r="F142" s="512" t="s">
        <v>271</v>
      </c>
      <c r="G142" s="347" t="s">
        <v>272</v>
      </c>
      <c r="H142" s="177"/>
      <c r="I142" s="177"/>
      <c r="J142" s="177"/>
      <c r="K142" s="341"/>
      <c r="L142" s="177"/>
      <c r="M142" s="340"/>
      <c r="N142" s="350"/>
      <c r="O142" s="350"/>
      <c r="P142" s="342"/>
      <c r="Q142" s="342"/>
    </row>
    <row r="143" spans="1:17">
      <c r="B143" s="501"/>
      <c r="C143" s="502"/>
      <c r="D143" s="503"/>
      <c r="E143" s="505"/>
      <c r="F143" s="513"/>
      <c r="G143" s="347" t="s">
        <v>273</v>
      </c>
      <c r="H143" s="177"/>
      <c r="I143" s="177"/>
      <c r="J143" s="177"/>
      <c r="K143" s="341"/>
      <c r="L143" s="177"/>
      <c r="M143" s="340"/>
      <c r="N143" s="350"/>
      <c r="O143" s="350"/>
      <c r="P143" s="342"/>
      <c r="Q143" s="342"/>
    </row>
    <row r="144" spans="1:17" ht="14.25" customHeight="1">
      <c r="B144" s="498"/>
      <c r="C144" s="499"/>
      <c r="D144" s="500"/>
      <c r="E144" s="504"/>
      <c r="F144" s="512" t="s">
        <v>271</v>
      </c>
      <c r="G144" s="348" t="s">
        <v>272</v>
      </c>
      <c r="H144" s="177"/>
      <c r="I144" s="177"/>
      <c r="J144" s="177"/>
      <c r="K144" s="341"/>
      <c r="L144" s="177"/>
      <c r="M144" s="340"/>
      <c r="N144" s="349"/>
      <c r="O144" s="349"/>
      <c r="P144" s="344"/>
      <c r="Q144" s="344"/>
    </row>
    <row r="145" spans="2:17">
      <c r="B145" s="501"/>
      <c r="C145" s="502"/>
      <c r="D145" s="503"/>
      <c r="E145" s="505"/>
      <c r="F145" s="513"/>
      <c r="G145" s="348" t="s">
        <v>273</v>
      </c>
      <c r="H145" s="177"/>
      <c r="I145" s="177"/>
      <c r="J145" s="177"/>
      <c r="K145" s="341"/>
      <c r="L145" s="177"/>
      <c r="M145" s="345"/>
      <c r="N145" s="349"/>
      <c r="O145" s="349"/>
      <c r="P145" s="344"/>
      <c r="Q145" s="344"/>
    </row>
    <row r="146" spans="2:17" ht="14.25" customHeight="1">
      <c r="B146" s="498"/>
      <c r="C146" s="499"/>
      <c r="D146" s="500"/>
      <c r="E146" s="504"/>
      <c r="F146" s="512" t="s">
        <v>271</v>
      </c>
      <c r="G146" s="347" t="s">
        <v>272</v>
      </c>
      <c r="H146" s="177"/>
      <c r="I146" s="177"/>
      <c r="J146" s="177"/>
      <c r="K146" s="341"/>
      <c r="L146" s="178"/>
      <c r="M146" s="340"/>
      <c r="N146" s="349"/>
      <c r="O146" s="349"/>
      <c r="P146" s="342"/>
      <c r="Q146" s="342"/>
    </row>
    <row r="147" spans="2:17">
      <c r="B147" s="501"/>
      <c r="C147" s="502"/>
      <c r="D147" s="503"/>
      <c r="E147" s="505"/>
      <c r="F147" s="513"/>
      <c r="G147" s="347" t="s">
        <v>273</v>
      </c>
      <c r="H147" s="177"/>
      <c r="I147" s="177"/>
      <c r="J147" s="177"/>
      <c r="K147" s="341"/>
      <c r="L147" s="178"/>
      <c r="M147" s="345"/>
      <c r="N147" s="349"/>
      <c r="O147" s="349"/>
      <c r="P147" s="342"/>
      <c r="Q147" s="342"/>
    </row>
    <row r="148" spans="2:17" ht="14.25" customHeight="1">
      <c r="B148" s="533"/>
      <c r="C148" s="534"/>
      <c r="D148" s="535"/>
      <c r="E148" s="504"/>
      <c r="F148" s="512" t="s">
        <v>271</v>
      </c>
      <c r="G148" s="348" t="s">
        <v>272</v>
      </c>
      <c r="H148" s="177"/>
      <c r="I148" s="177"/>
      <c r="J148" s="177"/>
      <c r="K148" s="341"/>
      <c r="L148" s="177"/>
      <c r="M148" s="340"/>
      <c r="N148" s="351"/>
      <c r="O148" s="351"/>
      <c r="P148" s="344"/>
      <c r="Q148" s="344"/>
    </row>
    <row r="149" spans="2:17">
      <c r="B149" s="536"/>
      <c r="C149" s="537"/>
      <c r="D149" s="538"/>
      <c r="E149" s="505"/>
      <c r="F149" s="513"/>
      <c r="G149" s="348" t="s">
        <v>273</v>
      </c>
      <c r="H149" s="177"/>
      <c r="I149" s="177"/>
      <c r="J149" s="177"/>
      <c r="K149" s="341"/>
      <c r="L149" s="177"/>
      <c r="M149" s="345"/>
      <c r="N149" s="351"/>
      <c r="O149" s="351"/>
      <c r="P149" s="344"/>
      <c r="Q149" s="344"/>
    </row>
    <row r="150" spans="2:17" ht="15" customHeight="1">
      <c r="B150" s="527"/>
      <c r="C150" s="528"/>
      <c r="D150" s="529"/>
      <c r="E150" s="504"/>
      <c r="F150" s="512" t="s">
        <v>271</v>
      </c>
      <c r="G150" s="347" t="s">
        <v>272</v>
      </c>
      <c r="H150" s="177"/>
      <c r="I150" s="177"/>
      <c r="J150" s="177"/>
      <c r="K150" s="341"/>
      <c r="L150" s="177"/>
      <c r="M150" s="340"/>
      <c r="N150" s="351"/>
      <c r="O150" s="351"/>
      <c r="P150" s="344"/>
      <c r="Q150" s="344"/>
    </row>
    <row r="151" spans="2:17">
      <c r="B151" s="530"/>
      <c r="C151" s="531"/>
      <c r="D151" s="532"/>
      <c r="E151" s="505"/>
      <c r="F151" s="513"/>
      <c r="G151" s="347" t="s">
        <v>273</v>
      </c>
      <c r="H151" s="177"/>
      <c r="I151" s="177"/>
      <c r="J151" s="177"/>
      <c r="K151" s="341"/>
      <c r="L151" s="177"/>
      <c r="M151" s="345"/>
      <c r="N151" s="351"/>
      <c r="O151" s="351"/>
      <c r="P151" s="344"/>
      <c r="Q151" s="344"/>
    </row>
    <row r="152" spans="2:17" ht="15" customHeight="1">
      <c r="B152" s="514"/>
      <c r="C152" s="515"/>
      <c r="D152" s="516"/>
      <c r="E152" s="504"/>
      <c r="F152" s="512" t="s">
        <v>271</v>
      </c>
      <c r="G152" s="348" t="s">
        <v>272</v>
      </c>
      <c r="H152" s="177"/>
      <c r="I152" s="177"/>
      <c r="J152" s="177"/>
      <c r="K152" s="341"/>
      <c r="L152" s="177"/>
      <c r="M152" s="340"/>
      <c r="N152" s="351"/>
      <c r="O152" s="351"/>
      <c r="P152" s="344"/>
      <c r="Q152" s="344"/>
    </row>
    <row r="153" spans="2:17">
      <c r="B153" s="517"/>
      <c r="C153" s="518"/>
      <c r="D153" s="519"/>
      <c r="E153" s="505"/>
      <c r="F153" s="513"/>
      <c r="G153" s="348" t="s">
        <v>273</v>
      </c>
      <c r="H153" s="177"/>
      <c r="I153" s="177"/>
      <c r="J153" s="177"/>
      <c r="K153" s="341"/>
      <c r="L153" s="177"/>
      <c r="M153" s="340"/>
      <c r="N153" s="349"/>
      <c r="O153" s="349"/>
      <c r="P153" s="344"/>
      <c r="Q153" s="344"/>
    </row>
    <row r="154" spans="2:17" ht="15" customHeight="1">
      <c r="B154" s="527"/>
      <c r="C154" s="528"/>
      <c r="D154" s="529"/>
      <c r="E154" s="504"/>
      <c r="F154" s="512" t="s">
        <v>271</v>
      </c>
      <c r="G154" s="347" t="s">
        <v>272</v>
      </c>
      <c r="H154" s="177"/>
      <c r="I154" s="177"/>
      <c r="J154" s="177"/>
      <c r="K154" s="341"/>
      <c r="L154" s="177"/>
      <c r="M154" s="340"/>
      <c r="N154" s="349"/>
      <c r="O154" s="349"/>
      <c r="P154" s="344"/>
      <c r="Q154" s="344"/>
    </row>
    <row r="155" spans="2:17">
      <c r="B155" s="530"/>
      <c r="C155" s="531"/>
      <c r="D155" s="532"/>
      <c r="E155" s="505"/>
      <c r="F155" s="513"/>
      <c r="G155" s="347" t="s">
        <v>273</v>
      </c>
      <c r="H155" s="177"/>
      <c r="I155" s="177"/>
      <c r="J155" s="177"/>
      <c r="K155" s="341"/>
      <c r="L155" s="177"/>
      <c r="M155" s="345"/>
      <c r="N155" s="349"/>
      <c r="O155" s="349"/>
      <c r="P155" s="344"/>
      <c r="Q155" s="344"/>
    </row>
    <row r="156" spans="2:17" ht="15" customHeight="1">
      <c r="B156" s="514"/>
      <c r="C156" s="515"/>
      <c r="D156" s="516"/>
      <c r="E156" s="504"/>
      <c r="F156" s="512" t="s">
        <v>271</v>
      </c>
      <c r="G156" s="348" t="s">
        <v>272</v>
      </c>
      <c r="H156" s="177"/>
      <c r="I156" s="177"/>
      <c r="J156" s="177"/>
      <c r="K156" s="341"/>
      <c r="L156" s="177"/>
      <c r="M156" s="340"/>
      <c r="N156" s="351"/>
      <c r="O156" s="351"/>
      <c r="P156" s="344"/>
      <c r="Q156" s="344"/>
    </row>
    <row r="157" spans="2:17">
      <c r="B157" s="517"/>
      <c r="C157" s="518"/>
      <c r="D157" s="519"/>
      <c r="E157" s="505"/>
      <c r="F157" s="513"/>
      <c r="G157" s="348" t="s">
        <v>273</v>
      </c>
      <c r="H157" s="177"/>
      <c r="I157" s="177"/>
      <c r="J157" s="177"/>
      <c r="K157" s="341"/>
      <c r="L157" s="177"/>
      <c r="M157" s="345"/>
      <c r="N157" s="351"/>
      <c r="O157" s="351"/>
      <c r="P157" s="344"/>
      <c r="Q157" s="344"/>
    </row>
    <row r="158" spans="2:17" ht="15" customHeight="1">
      <c r="B158" s="527"/>
      <c r="C158" s="528"/>
      <c r="D158" s="529"/>
      <c r="E158" s="504"/>
      <c r="F158" s="512" t="s">
        <v>271</v>
      </c>
      <c r="G158" s="347" t="s">
        <v>272</v>
      </c>
      <c r="H158" s="177"/>
      <c r="I158" s="177"/>
      <c r="J158" s="177"/>
      <c r="K158" s="341"/>
      <c r="L158" s="177"/>
      <c r="M158" s="346"/>
      <c r="N158" s="350"/>
      <c r="O158" s="350"/>
      <c r="P158" s="344"/>
      <c r="Q158" s="344"/>
    </row>
    <row r="159" spans="2:17">
      <c r="B159" s="530"/>
      <c r="C159" s="531"/>
      <c r="D159" s="532"/>
      <c r="E159" s="505"/>
      <c r="F159" s="513"/>
      <c r="G159" s="347" t="s">
        <v>273</v>
      </c>
      <c r="H159" s="177"/>
      <c r="I159" s="177"/>
      <c r="J159" s="177"/>
      <c r="K159" s="341"/>
      <c r="L159" s="177"/>
      <c r="M159" s="346"/>
      <c r="N159" s="350"/>
      <c r="O159" s="350"/>
      <c r="P159" s="344"/>
      <c r="Q159" s="344"/>
    </row>
    <row r="160" spans="2:17" ht="15" customHeight="1">
      <c r="B160" s="514"/>
      <c r="C160" s="515"/>
      <c r="D160" s="516"/>
      <c r="E160" s="504"/>
      <c r="F160" s="512" t="s">
        <v>271</v>
      </c>
      <c r="G160" s="348" t="s">
        <v>272</v>
      </c>
      <c r="H160" s="177"/>
      <c r="I160" s="177"/>
      <c r="J160" s="177"/>
      <c r="K160" s="341"/>
      <c r="L160" s="177"/>
      <c r="M160" s="346"/>
      <c r="N160" s="351"/>
      <c r="O160" s="351"/>
      <c r="P160" s="344"/>
      <c r="Q160" s="344"/>
    </row>
    <row r="161" spans="2:17">
      <c r="B161" s="517"/>
      <c r="C161" s="518"/>
      <c r="D161" s="519"/>
      <c r="E161" s="505"/>
      <c r="F161" s="513"/>
      <c r="G161" s="348" t="s">
        <v>273</v>
      </c>
      <c r="H161" s="177"/>
      <c r="I161" s="177"/>
      <c r="J161" s="177"/>
      <c r="K161" s="341"/>
      <c r="L161" s="177"/>
      <c r="M161" s="346"/>
      <c r="N161" s="351"/>
      <c r="O161" s="351"/>
      <c r="P161" s="344"/>
      <c r="Q161" s="344"/>
    </row>
    <row r="163" spans="2:17">
      <c r="B163" t="s">
        <v>350</v>
      </c>
    </row>
    <row r="164" spans="2:17">
      <c r="B164" t="s">
        <v>383</v>
      </c>
    </row>
    <row r="165" spans="2:17" ht="14.25" customHeight="1">
      <c r="B165" t="s">
        <v>384</v>
      </c>
    </row>
    <row r="166" spans="2:17" ht="16.2" thickBot="1">
      <c r="B166" s="179" t="s">
        <v>351</v>
      </c>
    </row>
    <row r="167" spans="2:17" ht="26.4">
      <c r="B167" s="62" t="s">
        <v>274</v>
      </c>
      <c r="E167" s="180" t="s">
        <v>268</v>
      </c>
      <c r="F167" s="181" t="s">
        <v>269</v>
      </c>
      <c r="G167" s="170"/>
      <c r="H167" s="171" t="str">
        <f t="shared" ref="H167:N167" si="8">C30</f>
        <v>P1</v>
      </c>
      <c r="I167" s="171" t="str">
        <f t="shared" si="8"/>
        <v>P2</v>
      </c>
      <c r="J167" s="171" t="str">
        <f t="shared" si="8"/>
        <v>P3</v>
      </c>
      <c r="K167" s="171" t="str">
        <f t="shared" si="8"/>
        <v>P4</v>
      </c>
      <c r="L167" s="171" t="str">
        <f t="shared" si="8"/>
        <v>P5</v>
      </c>
      <c r="M167" s="171" t="str">
        <f t="shared" si="8"/>
        <v>P6</v>
      </c>
      <c r="N167" s="171" t="str">
        <f t="shared" si="8"/>
        <v>P7</v>
      </c>
      <c r="O167" s="171" t="str">
        <f>L30</f>
        <v>P10</v>
      </c>
      <c r="P167" s="171" t="str">
        <f>M30</f>
        <v>P11</v>
      </c>
      <c r="Q167" s="171" t="str">
        <f>N30</f>
        <v>P12</v>
      </c>
    </row>
    <row r="168" spans="2:17" ht="14.25" customHeight="1" thickBot="1">
      <c r="B168" s="542" t="str">
        <f>IF(ISBLANK(B130),"",(B130))</f>
        <v>% Y Número de personas HSH alcanzadas con el paquete básico de prevención de VIH</v>
      </c>
      <c r="C168" s="542"/>
      <c r="D168" s="542"/>
      <c r="E168" s="540" t="str">
        <f>IF(ISBLANK(E130),"",(E130))</f>
        <v>TOP TEN</v>
      </c>
      <c r="F168" s="541" t="str">
        <f>IF(ISBLANK(F130),"",(F130))</f>
        <v>Yes</v>
      </c>
      <c r="G168" s="182" t="s">
        <v>272</v>
      </c>
      <c r="H168" s="183">
        <f t="shared" ref="H168:H173" si="9">H130</f>
        <v>0</v>
      </c>
      <c r="I168" s="183">
        <f t="shared" ref="I168:I173" si="10">+I130</f>
        <v>18118</v>
      </c>
      <c r="J168" s="183">
        <f t="shared" ref="J168:J173" si="11">J136</f>
        <v>0</v>
      </c>
      <c r="K168" s="183">
        <f t="shared" ref="K168:K173" si="12">+K130</f>
        <v>18123</v>
      </c>
      <c r="L168" s="183">
        <f t="shared" ref="L168:L173" si="13">L136</f>
        <v>0</v>
      </c>
      <c r="M168" s="183">
        <f t="shared" ref="M168:M173" si="14">+M130</f>
        <v>0</v>
      </c>
      <c r="N168" s="184">
        <f t="shared" ref="N168:Q173" si="15">N130</f>
        <v>0</v>
      </c>
      <c r="O168" s="184">
        <f t="shared" si="15"/>
        <v>0</v>
      </c>
      <c r="P168" s="184">
        <f t="shared" si="15"/>
        <v>0</v>
      </c>
      <c r="Q168" s="184">
        <f t="shared" si="15"/>
        <v>0</v>
      </c>
    </row>
    <row r="169" spans="2:17" ht="15" thickBot="1">
      <c r="B169" s="542"/>
      <c r="C169" s="542"/>
      <c r="D169" s="542"/>
      <c r="E169" s="540"/>
      <c r="F169" s="541"/>
      <c r="G169" s="185" t="s">
        <v>273</v>
      </c>
      <c r="H169" s="183">
        <f t="shared" si="9"/>
        <v>0</v>
      </c>
      <c r="I169" s="183">
        <f t="shared" si="10"/>
        <v>18230</v>
      </c>
      <c r="J169" s="183">
        <f t="shared" si="11"/>
        <v>0</v>
      </c>
      <c r="K169" s="183">
        <f t="shared" si="12"/>
        <v>18023</v>
      </c>
      <c r="L169" s="183">
        <f t="shared" si="13"/>
        <v>0</v>
      </c>
      <c r="M169" s="183">
        <f t="shared" si="14"/>
        <v>0</v>
      </c>
      <c r="N169" s="184">
        <f t="shared" si="15"/>
        <v>0</v>
      </c>
      <c r="O169" s="184">
        <f t="shared" si="15"/>
        <v>0</v>
      </c>
      <c r="P169" s="184">
        <f t="shared" si="15"/>
        <v>0</v>
      </c>
      <c r="Q169" s="184">
        <f t="shared" si="15"/>
        <v>0</v>
      </c>
    </row>
    <row r="170" spans="2:17" ht="15" thickBot="1">
      <c r="B170" s="543" t="str">
        <f>IF(ISBLANK(B132),"",(B132))</f>
        <v>% Y Número de personas TS alcanzadas con el paquete básico de prevención de VIH</v>
      </c>
      <c r="C170" s="543"/>
      <c r="D170" s="543"/>
      <c r="E170" s="544" t="str">
        <f>IF(ISBLANK(E132),"",(E132))</f>
        <v>TOP TEN</v>
      </c>
      <c r="F170" s="545" t="str">
        <f>IF(ISBLANK(F132),"",(F132))</f>
        <v>Yes</v>
      </c>
      <c r="G170" s="186" t="s">
        <v>272</v>
      </c>
      <c r="H170" s="183">
        <f t="shared" si="9"/>
        <v>0</v>
      </c>
      <c r="I170" s="183">
        <f t="shared" si="10"/>
        <v>9714</v>
      </c>
      <c r="J170" s="183">
        <f t="shared" si="11"/>
        <v>0</v>
      </c>
      <c r="K170" s="183">
        <f t="shared" si="12"/>
        <v>9712</v>
      </c>
      <c r="L170" s="183">
        <f t="shared" si="13"/>
        <v>0</v>
      </c>
      <c r="M170" s="183">
        <f t="shared" si="14"/>
        <v>0</v>
      </c>
      <c r="N170" s="187">
        <f t="shared" si="15"/>
        <v>0</v>
      </c>
      <c r="O170" s="187">
        <f t="shared" si="15"/>
        <v>0</v>
      </c>
      <c r="P170" s="187">
        <f t="shared" si="15"/>
        <v>0</v>
      </c>
      <c r="Q170" s="187">
        <f t="shared" si="15"/>
        <v>0</v>
      </c>
    </row>
    <row r="171" spans="2:17" ht="14.25" customHeight="1" thickBot="1">
      <c r="B171" s="543"/>
      <c r="C171" s="543"/>
      <c r="D171" s="543"/>
      <c r="E171" s="544"/>
      <c r="F171" s="545"/>
      <c r="G171" s="186" t="s">
        <v>273</v>
      </c>
      <c r="H171" s="183">
        <f t="shared" si="9"/>
        <v>0</v>
      </c>
      <c r="I171" s="183">
        <f t="shared" si="10"/>
        <v>9766</v>
      </c>
      <c r="J171" s="183">
        <f t="shared" si="11"/>
        <v>0</v>
      </c>
      <c r="K171" s="183">
        <f t="shared" si="12"/>
        <v>9622</v>
      </c>
      <c r="L171" s="183">
        <f t="shared" si="13"/>
        <v>0</v>
      </c>
      <c r="M171" s="183">
        <f t="shared" si="14"/>
        <v>0</v>
      </c>
      <c r="N171" s="187">
        <f t="shared" si="15"/>
        <v>0</v>
      </c>
      <c r="O171" s="187">
        <f t="shared" si="15"/>
        <v>0</v>
      </c>
      <c r="P171" s="187">
        <f t="shared" si="15"/>
        <v>0</v>
      </c>
      <c r="Q171" s="187">
        <f t="shared" si="15"/>
        <v>0</v>
      </c>
    </row>
    <row r="172" spans="2:17" ht="14.25" customHeight="1" thickBot="1">
      <c r="B172" s="539" t="str">
        <f>IF(ISBLANK(B134),"",(B134))</f>
        <v>% Y Número de personas TRANS alcanzadas con el paquete básico de prevención de VIH</v>
      </c>
      <c r="C172" s="539"/>
      <c r="D172" s="539"/>
      <c r="E172" s="540" t="str">
        <f>IF(ISBLANK(E134),"",(E134))</f>
        <v>TOP TEN</v>
      </c>
      <c r="F172" s="541" t="str">
        <f>IF(ISBLANK(F134),"",(F134))</f>
        <v>Yes</v>
      </c>
      <c r="G172" s="185" t="s">
        <v>272</v>
      </c>
      <c r="H172" s="183">
        <f t="shared" si="9"/>
        <v>0</v>
      </c>
      <c r="I172" s="183">
        <f t="shared" si="10"/>
        <v>1615</v>
      </c>
      <c r="J172" s="183">
        <f t="shared" si="11"/>
        <v>0</v>
      </c>
      <c r="K172" s="183">
        <f t="shared" si="12"/>
        <v>1609</v>
      </c>
      <c r="L172" s="183">
        <f t="shared" si="13"/>
        <v>0</v>
      </c>
      <c r="M172" s="183">
        <f t="shared" si="14"/>
        <v>0</v>
      </c>
      <c r="N172" s="184">
        <f t="shared" si="15"/>
        <v>0</v>
      </c>
      <c r="O172" s="184">
        <f t="shared" si="15"/>
        <v>0</v>
      </c>
      <c r="P172" s="184">
        <f t="shared" si="15"/>
        <v>0</v>
      </c>
      <c r="Q172" s="184">
        <f t="shared" si="15"/>
        <v>0</v>
      </c>
    </row>
    <row r="173" spans="2:17" ht="15" customHeight="1" thickBot="1">
      <c r="B173" s="539"/>
      <c r="C173" s="539"/>
      <c r="D173" s="539"/>
      <c r="E173" s="540"/>
      <c r="F173" s="541"/>
      <c r="G173" s="188" t="s">
        <v>273</v>
      </c>
      <c r="H173" s="189">
        <f t="shared" si="9"/>
        <v>0</v>
      </c>
      <c r="I173" s="183">
        <f t="shared" si="10"/>
        <v>1631</v>
      </c>
      <c r="J173" s="189">
        <f t="shared" si="11"/>
        <v>0</v>
      </c>
      <c r="K173" s="183">
        <f t="shared" si="12"/>
        <v>1604</v>
      </c>
      <c r="L173" s="189">
        <f t="shared" si="13"/>
        <v>0</v>
      </c>
      <c r="M173" s="183">
        <f t="shared" si="14"/>
        <v>0</v>
      </c>
      <c r="N173" s="184">
        <f t="shared" si="15"/>
        <v>0</v>
      </c>
      <c r="O173" s="184">
        <f t="shared" si="15"/>
        <v>0</v>
      </c>
      <c r="P173" s="184">
        <f t="shared" si="15"/>
        <v>0</v>
      </c>
      <c r="Q173" s="184">
        <f t="shared" si="15"/>
        <v>0</v>
      </c>
    </row>
  </sheetData>
  <sheetProtection selectLockedCells="1" selectUnlockedCells="1"/>
  <mergeCells count="105">
    <mergeCell ref="H113:H115"/>
    <mergeCell ref="I113:I115"/>
    <mergeCell ref="J113:J115"/>
    <mergeCell ref="K113:K115"/>
    <mergeCell ref="B60:E60"/>
    <mergeCell ref="B125:G125"/>
    <mergeCell ref="B172:D173"/>
    <mergeCell ref="E172:E173"/>
    <mergeCell ref="F172:F173"/>
    <mergeCell ref="B168:D169"/>
    <mergeCell ref="E168:E169"/>
    <mergeCell ref="F168:F169"/>
    <mergeCell ref="B170:D171"/>
    <mergeCell ref="E170:E171"/>
    <mergeCell ref="F170:F171"/>
    <mergeCell ref="B158:D159"/>
    <mergeCell ref="E158:E159"/>
    <mergeCell ref="F158:F159"/>
    <mergeCell ref="B160:D161"/>
    <mergeCell ref="E160:E161"/>
    <mergeCell ref="F160:F161"/>
    <mergeCell ref="B154:D155"/>
    <mergeCell ref="E154:E155"/>
    <mergeCell ref="F154:F155"/>
    <mergeCell ref="B156:D157"/>
    <mergeCell ref="E156:E157"/>
    <mergeCell ref="F156:F157"/>
    <mergeCell ref="B150:D151"/>
    <mergeCell ref="E150:E151"/>
    <mergeCell ref="F150:F151"/>
    <mergeCell ref="B152:D153"/>
    <mergeCell ref="E152:E153"/>
    <mergeCell ref="F152:F153"/>
    <mergeCell ref="B146:D147"/>
    <mergeCell ref="E146:E147"/>
    <mergeCell ref="F146:F147"/>
    <mergeCell ref="B148:D149"/>
    <mergeCell ref="E148:E149"/>
    <mergeCell ref="F148:F149"/>
    <mergeCell ref="B144:D145"/>
    <mergeCell ref="E144:E145"/>
    <mergeCell ref="F144:F145"/>
    <mergeCell ref="B138:D139"/>
    <mergeCell ref="E138:E139"/>
    <mergeCell ref="F138:F139"/>
    <mergeCell ref="B140:D141"/>
    <mergeCell ref="E140:E141"/>
    <mergeCell ref="F140:F141"/>
    <mergeCell ref="B136:D137"/>
    <mergeCell ref="E136:E137"/>
    <mergeCell ref="F136:F137"/>
    <mergeCell ref="F130:F131"/>
    <mergeCell ref="B132:D133"/>
    <mergeCell ref="E132:E133"/>
    <mergeCell ref="F132:F133"/>
    <mergeCell ref="B128:D128"/>
    <mergeCell ref="B142:D143"/>
    <mergeCell ref="E142:E143"/>
    <mergeCell ref="F142:F143"/>
    <mergeCell ref="A130:A135"/>
    <mergeCell ref="B130:D131"/>
    <mergeCell ref="E130:E131"/>
    <mergeCell ref="B134:D135"/>
    <mergeCell ref="E134:E135"/>
    <mergeCell ref="B76:C76"/>
    <mergeCell ref="B77:C77"/>
    <mergeCell ref="B26:C26"/>
    <mergeCell ref="B29:N29"/>
    <mergeCell ref="F47:I47"/>
    <mergeCell ref="B64:D64"/>
    <mergeCell ref="L113:M115"/>
    <mergeCell ref="F134:F135"/>
    <mergeCell ref="H121:H122"/>
    <mergeCell ref="I121:I122"/>
    <mergeCell ref="J121:J122"/>
    <mergeCell ref="J118:J120"/>
    <mergeCell ref="B113:B123"/>
    <mergeCell ref="K118:K120"/>
    <mergeCell ref="I118:I120"/>
    <mergeCell ref="H118:H120"/>
    <mergeCell ref="K121:K122"/>
    <mergeCell ref="H16:I16"/>
    <mergeCell ref="B18:C18"/>
    <mergeCell ref="D18:F18"/>
    <mergeCell ref="B21:J21"/>
    <mergeCell ref="B75:C75"/>
    <mergeCell ref="B14:J14"/>
    <mergeCell ref="B2:J2"/>
    <mergeCell ref="C4:D4"/>
    <mergeCell ref="E4:F4"/>
    <mergeCell ref="G4:J4"/>
    <mergeCell ref="C10:D10"/>
    <mergeCell ref="E10:F10"/>
    <mergeCell ref="G10:J10"/>
    <mergeCell ref="C6:D6"/>
    <mergeCell ref="E6:F6"/>
    <mergeCell ref="I6:J6"/>
    <mergeCell ref="C8:D8"/>
    <mergeCell ref="I8:J8"/>
    <mergeCell ref="C12:D12"/>
    <mergeCell ref="E12:F12"/>
    <mergeCell ref="G12:J12"/>
    <mergeCell ref="D24:E24"/>
    <mergeCell ref="G24:H24"/>
    <mergeCell ref="I24:J24"/>
  </mergeCells>
  <phoneticPr fontId="71" type="noConversion"/>
  <conditionalFormatting sqref="B34 B32 C33:N33">
    <cfRule type="expression" dxfId="38" priority="6" stopIfTrue="1">
      <formula>+AND(B31&gt;=#REF!,B31&lt;=#REF!)</formula>
    </cfRule>
  </conditionalFormatting>
  <conditionalFormatting sqref="C34:N34">
    <cfRule type="expression" dxfId="37" priority="7" stopIfTrue="1">
      <formula>+AND(C32&gt;=#REF!,C32&lt;=#REF!)</formula>
    </cfRule>
  </conditionalFormatting>
  <conditionalFormatting sqref="C30:N30 C99:N99">
    <cfRule type="cellIs" dxfId="36" priority="8"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67:Q167 H128:Q129 H154:J154 L154:M154">
    <cfRule type="cellIs" dxfId="32" priority="12" stopIfTrue="1" operator="equal">
      <formula>$C$16</formula>
    </cfRule>
  </conditionalFormatting>
  <conditionalFormatting sqref="F47:I47">
    <cfRule type="expression" dxfId="31" priority="13" stopIfTrue="1">
      <formula>LEFT($F$47,2)="OK"</formula>
    </cfRule>
  </conditionalFormatting>
  <conditionalFormatting sqref="L154 H154:J154">
    <cfRule type="cellIs" dxfId="30" priority="5" stopIfTrue="1" operator="equal">
      <formula>$C$16</formula>
    </cfRule>
  </conditionalFormatting>
  <dataValidations count="9">
    <dataValidation type="list" allowBlank="1" showErrorMessage="1" sqref="G6 B113:B115" xr:uid="{00000000-0002-0000-0300-000000000000}">
      <formula1>Component</formula1>
      <formula2>0</formula2>
    </dataValidation>
    <dataValidation type="list" allowBlank="1" showErrorMessage="1" sqref="C16" xr:uid="{00000000-0002-0000-0300-000001000000}">
      <formula1>PERIOD</formula1>
      <formula2>0</formula2>
    </dataValidation>
    <dataValidation type="list" allowBlank="1" showErrorMessage="1" sqref="G10:J10" xr:uid="{00000000-0002-0000-0300-000002000000}">
      <formula1>LFA</formula1>
      <formula2>0</formula2>
    </dataValidation>
    <dataValidation type="list" allowBlank="1" showErrorMessage="1" sqref="C12:D12" xr:uid="{00000000-0002-0000-0300-000003000000}">
      <formula1>Rating</formula1>
      <formula2>0</formula2>
    </dataValidation>
    <dataValidation type="list" allowBlank="1" showErrorMessage="1" sqref="I8:J8" xr:uid="{00000000-0002-0000-0300-000004000000}">
      <formula1>Phase</formula1>
      <formula2>0</formula2>
    </dataValidation>
    <dataValidation type="list" allowBlank="1" showErrorMessage="1" sqref="G8" xr:uid="{00000000-0002-0000-0300-000005000000}">
      <formula1>Round</formula1>
      <formula2>0</formula2>
    </dataValidation>
    <dataValidation type="list" allowBlank="1" showErrorMessage="1" sqref="D26" xr:uid="{00000000-0002-0000-0300-000006000000}">
      <formula1>Currency</formula1>
      <formula2>0</formula2>
    </dataValidation>
    <dataValidation type="list" allowBlank="1" showErrorMessage="1" sqref="C4:D4" xr:uid="{00000000-0002-0000-0300-000007000000}">
      <formula1>Ciudades</formula1>
      <formula2>0</formula2>
    </dataValidation>
    <dataValidation type="list" allowBlank="1" showErrorMessage="1" sqref="C113:C123" xr:uid="{00000000-0002-0000-0300-000008000000}">
      <formula1>Medicaments</formula1>
      <formula2>0</formula2>
    </dataValidation>
  </dataValidations>
  <pageMargins left="0.70833333333333337" right="0.70833333333333337" top="0.74791666666666667" bottom="0.74861111111111112" header="0.51180555555555551" footer="0.31527777777777777"/>
  <pageSetup paperSize="9" firstPageNumber="0" fitToHeight="8" orientation="landscape" horizontalDpi="300" verticalDpi="300" r:id="rId1"/>
  <headerFooter alignWithMargins="0">
    <oddFooter>&amp;L&amp;F&amp;C&amp;A&amp;R&amp;D</oddFooter>
  </headerFooter>
  <rowBreaks count="1" manualBreakCount="1">
    <brk id="48"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7"/>
  </sheetPr>
  <dimension ref="B1:O34"/>
  <sheetViews>
    <sheetView showGridLines="0" topLeftCell="A9" zoomScale="120" zoomScaleNormal="120" workbookViewId="0">
      <selection activeCell="C9" sqref="C9:F9"/>
    </sheetView>
  </sheetViews>
  <sheetFormatPr baseColWidth="10" defaultColWidth="9.109375" defaultRowHeight="14.4"/>
  <cols>
    <col min="1" max="1" width="3.5546875" customWidth="1"/>
    <col min="2" max="2" width="11.33203125" customWidth="1"/>
    <col min="3" max="3" width="5.109375" customWidth="1"/>
    <col min="4" max="4" width="12.44140625" customWidth="1"/>
    <col min="5" max="5" width="11.44140625" customWidth="1"/>
    <col min="6" max="6" width="28" customWidth="1"/>
    <col min="7" max="7" width="6.109375" customWidth="1"/>
    <col min="8" max="8" width="14" customWidth="1"/>
    <col min="9" max="9" width="15.88671875" customWidth="1"/>
    <col min="10" max="10" width="13.88671875" customWidth="1"/>
    <col min="11" max="11" width="17" customWidth="1"/>
    <col min="12" max="12" width="3.6640625" customWidth="1"/>
    <col min="14" max="14" width="12.44140625" bestFit="1" customWidth="1"/>
  </cols>
  <sheetData>
    <row r="1" spans="2:15" ht="30.75" customHeight="1"/>
    <row r="2" spans="2:15" ht="27.75" customHeight="1">
      <c r="B2" s="484" t="str">
        <f>+"Cuadro de mando:  "&amp;"  "&amp;+'Introducción de datos'!C4&amp;" - "&amp;'Introducción de datos'!G6</f>
        <v>Cuadro de mando:    El Salvador - VIH / SIDA</v>
      </c>
      <c r="C2" s="484"/>
      <c r="D2" s="484"/>
      <c r="E2" s="484"/>
      <c r="F2" s="484"/>
      <c r="G2" s="484"/>
      <c r="H2" s="484"/>
      <c r="I2" s="484"/>
      <c r="J2" s="484"/>
      <c r="K2" s="484"/>
      <c r="L2" s="218"/>
      <c r="M2" s="218"/>
      <c r="N2" s="436"/>
      <c r="O2" s="218"/>
    </row>
    <row r="3" spans="2:15">
      <c r="B3" s="219" t="str">
        <f>+'Introducción de datos'!G8</f>
        <v>Seleccionar</v>
      </c>
      <c r="C3" s="596" t="str">
        <f>+'Introducción de datos'!I8</f>
        <v>Seleccionar</v>
      </c>
      <c r="D3" s="596"/>
      <c r="E3" s="597"/>
      <c r="F3" s="597"/>
      <c r="G3" s="597"/>
      <c r="H3" s="597"/>
      <c r="I3" s="598" t="str">
        <f>+'Introducción de datos'!B16</f>
        <v>Periodo:</v>
      </c>
      <c r="J3" s="598"/>
      <c r="K3" s="220" t="str">
        <f>+'Introducción de datos'!C16</f>
        <v>P4</v>
      </c>
      <c r="L3" s="213"/>
      <c r="N3" s="435"/>
    </row>
    <row r="4" spans="2:15">
      <c r="B4" s="219" t="str">
        <f>+'Introducción de datos'!B12</f>
        <v>Ultima calificación:</v>
      </c>
      <c r="C4" s="600" t="str">
        <f>+'Introducción de datos'!C12</f>
        <v>A2</v>
      </c>
      <c r="D4" s="600"/>
      <c r="E4" s="597" t="str">
        <f>+'Introducción de datos'!C8</f>
        <v>PLAN  INTERNACIONAL</v>
      </c>
      <c r="F4" s="597"/>
      <c r="G4" s="597"/>
      <c r="H4" s="597"/>
      <c r="I4" s="598" t="str">
        <f>+'Introducción de datos'!D16</f>
        <v>Desde:</v>
      </c>
      <c r="J4" s="598"/>
      <c r="K4" s="221">
        <f>+'Introducción de datos'!E16</f>
        <v>43101</v>
      </c>
      <c r="N4" s="435"/>
    </row>
    <row r="5" spans="2:15" ht="18.75" customHeight="1">
      <c r="B5" s="219"/>
      <c r="C5" s="219"/>
      <c r="D5" s="601" t="str">
        <f>+'Introducción de datos'!G4</f>
        <v>INNOVANDO SERVICIOS, REDUCIENDO RIESGOS, RENOVANDO VIDAS EN EL SALVADOR</v>
      </c>
      <c r="E5" s="601"/>
      <c r="F5" s="601"/>
      <c r="G5" s="601"/>
      <c r="H5" s="601"/>
      <c r="I5" s="601"/>
      <c r="J5" s="219" t="str">
        <f>+'Introducción de datos'!F16</f>
        <v>Hasta:</v>
      </c>
      <c r="K5" s="221">
        <f>+'Introducción de datos'!G16</f>
        <v>43465</v>
      </c>
      <c r="N5" s="435"/>
    </row>
    <row r="6" spans="2:15" ht="18">
      <c r="B6" s="65"/>
      <c r="C6" s="219"/>
      <c r="D6" s="222"/>
      <c r="E6" s="599" t="s">
        <v>283</v>
      </c>
      <c r="F6" s="599"/>
      <c r="G6" s="599"/>
      <c r="H6" s="599"/>
    </row>
    <row r="7" spans="2:15" ht="10.5" customHeight="1">
      <c r="B7" s="65"/>
      <c r="C7" s="219"/>
      <c r="D7" s="222"/>
      <c r="E7" s="223"/>
      <c r="F7" s="223"/>
      <c r="G7" s="223"/>
      <c r="H7" s="223"/>
      <c r="I7" s="224"/>
      <c r="J7" s="224"/>
      <c r="K7" s="225"/>
    </row>
    <row r="8" spans="2:15">
      <c r="B8" s="226" t="str">
        <f>+'Introducción de datos'!B27&amp;" - en ("&amp;'Introducción de datos'!D26&amp;")         "&amp;+I3&amp;" "&amp;+K3</f>
        <v>F1: Presupuesto y desembolsos del Fondo Mundial - en ($)         Periodo: P4</v>
      </c>
      <c r="C8" s="227"/>
      <c r="H8" s="226" t="str">
        <f>+'Introducción de datos'!B49&amp;" - en ("&amp;'Introducción de datos'!D26&amp;")         "&amp;+I3&amp;" "&amp;+K3</f>
        <v>F3: Desembolsos y gastos - en ($)         Periodo: P4</v>
      </c>
    </row>
    <row r="9" spans="2:15" ht="153.6" customHeight="1">
      <c r="B9" s="357" t="s">
        <v>284</v>
      </c>
      <c r="C9" s="580" t="s">
        <v>367</v>
      </c>
      <c r="D9" s="580"/>
      <c r="E9" s="580"/>
      <c r="F9" s="580"/>
      <c r="H9" s="354" t="s">
        <v>284</v>
      </c>
      <c r="I9" s="585" t="s">
        <v>368</v>
      </c>
      <c r="J9" s="586"/>
      <c r="K9" s="586"/>
      <c r="L9" s="586"/>
      <c r="M9" s="586"/>
      <c r="N9" s="586"/>
      <c r="O9" s="586"/>
    </row>
    <row r="10" spans="2:15" ht="12.75" customHeight="1"/>
    <row r="11" spans="2:15" hidden="1"/>
    <row r="12" spans="2:15" hidden="1"/>
    <row r="15" spans="2:15">
      <c r="M15" s="196" t="s">
        <v>285</v>
      </c>
    </row>
    <row r="16" spans="2:15">
      <c r="M16" s="196" t="s">
        <v>286</v>
      </c>
    </row>
    <row r="21" spans="2:11" ht="24" customHeight="1"/>
    <row r="22" spans="2:11" ht="24" customHeight="1"/>
    <row r="23" spans="2:11" ht="23.25" customHeight="1">
      <c r="B23" s="228" t="str">
        <f>+'Introducción de datos'!B36&amp;" - en ("&amp;'Introducción de datos'!D26&amp;")  "&amp;+I3&amp;" "&amp;+K3</f>
        <v>F2: Presupuesto y gastos reales por modulo de la subvención - en ($)  Periodo: P4</v>
      </c>
      <c r="H23" s="228" t="str">
        <f>+'Introducción de datos'!B62&amp;"   "&amp;+I3&amp;" "&amp;+K3</f>
        <v>F4: Último ciclo de información y desembolso del RP   Periodo: P4</v>
      </c>
    </row>
    <row r="24" spans="2:11" ht="167.25" customHeight="1">
      <c r="B24" s="354" t="s">
        <v>287</v>
      </c>
      <c r="C24" s="581" t="s">
        <v>369</v>
      </c>
      <c r="D24" s="582"/>
      <c r="E24" s="582"/>
      <c r="F24" s="582"/>
      <c r="G24" s="229"/>
      <c r="H24" s="354" t="s">
        <v>284</v>
      </c>
      <c r="I24" s="583" t="s">
        <v>370</v>
      </c>
      <c r="J24" s="584"/>
      <c r="K24" s="584"/>
    </row>
    <row r="25" spans="2:11" ht="15.75" customHeight="1" thickBot="1">
      <c r="B25" s="230"/>
      <c r="C25" s="230"/>
      <c r="D25" s="230"/>
      <c r="E25" s="230"/>
      <c r="F25" s="230"/>
      <c r="G25" s="230"/>
      <c r="H25" s="230"/>
      <c r="I25" s="230"/>
      <c r="J25" s="230"/>
      <c r="K25" s="230"/>
    </row>
    <row r="26" spans="2:11" ht="29.25" customHeight="1" thickBot="1">
      <c r="G26" s="231"/>
      <c r="H26" s="589" t="s">
        <v>288</v>
      </c>
      <c r="I26" s="590"/>
      <c r="J26" s="590"/>
      <c r="K26" s="591"/>
    </row>
    <row r="27" spans="2:11">
      <c r="H27" s="592"/>
      <c r="I27" s="593"/>
      <c r="J27" s="232" t="s">
        <v>221</v>
      </c>
      <c r="K27" s="233" t="s">
        <v>222</v>
      </c>
    </row>
    <row r="28" spans="2:11" ht="29.25" customHeight="1" thickBot="1">
      <c r="G28" s="234"/>
      <c r="H28" s="594" t="str">
        <f>'Introducción de datos'!B66</f>
        <v>Días tardados en presentar el informe de progreso actualizado y solicitud de desembolso al ALF*</v>
      </c>
      <c r="I28" s="595"/>
      <c r="J28" s="235">
        <f>+'Introducción de datos'!C66</f>
        <v>60</v>
      </c>
      <c r="K28" s="355">
        <f>+'Introducción de datos'!D66</f>
        <v>61</v>
      </c>
    </row>
    <row r="29" spans="2:11" ht="21" customHeight="1" thickBot="1">
      <c r="G29" s="234"/>
      <c r="H29" s="594" t="str">
        <f>'Introducción de datos'!B67</f>
        <v>Días que el desembolso ha tardado en llegar al RP</v>
      </c>
      <c r="I29" s="595"/>
      <c r="J29" s="235">
        <f>+'Introducción de datos'!C67</f>
        <v>45</v>
      </c>
      <c r="K29" s="237">
        <f>+'Introducción de datos'!D67</f>
        <v>30</v>
      </c>
    </row>
    <row r="30" spans="2:11" ht="21" customHeight="1" thickBot="1">
      <c r="G30" s="234"/>
      <c r="H30" s="587" t="str">
        <f>'Introducción de datos'!B68</f>
        <v xml:space="preserve">Días que el desembolso ha tardado en llegar a los subreceptores </v>
      </c>
      <c r="I30" s="588"/>
      <c r="J30" s="236">
        <f>+'Introducción de datos'!C68</f>
        <v>15</v>
      </c>
      <c r="K30" s="237">
        <f>+'Introducción de datos'!D68</f>
        <v>15</v>
      </c>
    </row>
    <row r="32" spans="2:11">
      <c r="D32" s="227"/>
    </row>
    <row r="33" spans="3:4">
      <c r="C33" s="196" t="s">
        <v>210</v>
      </c>
      <c r="D33" s="227"/>
    </row>
    <row r="34" spans="3:4">
      <c r="C34" s="196" t="s">
        <v>256</v>
      </c>
    </row>
  </sheetData>
  <mergeCells count="18">
    <mergeCell ref="B2:K2"/>
    <mergeCell ref="C3:D3"/>
    <mergeCell ref="E3:H3"/>
    <mergeCell ref="I3:J3"/>
    <mergeCell ref="E6:H6"/>
    <mergeCell ref="C4:D4"/>
    <mergeCell ref="E4:H4"/>
    <mergeCell ref="I4:J4"/>
    <mergeCell ref="D5:I5"/>
    <mergeCell ref="C9:F9"/>
    <mergeCell ref="C24:F24"/>
    <mergeCell ref="I24:K24"/>
    <mergeCell ref="I9:O9"/>
    <mergeCell ref="H30:I30"/>
    <mergeCell ref="H26:K26"/>
    <mergeCell ref="H27:I27"/>
    <mergeCell ref="H28:I28"/>
    <mergeCell ref="H29:I29"/>
  </mergeCells>
  <phoneticPr fontId="71" type="noConversion"/>
  <conditionalFormatting sqref="K28:K30">
    <cfRule type="cellIs" dxfId="29" priority="1" stopIfTrue="1" operator="greaterThan">
      <formula>J28</formula>
    </cfRule>
    <cfRule type="cellIs" dxfId="28" priority="2" stopIfTrue="1" operator="between">
      <formula>J28</formula>
      <formula>1</formula>
    </cfRule>
    <cfRule type="cellIs" dxfId="27" priority="3" stopIfTrue="1" operator="equal">
      <formula>0</formula>
    </cfRule>
  </conditionalFormatting>
  <conditionalFormatting sqref="C4:D4">
    <cfRule type="cellIs" dxfId="26" priority="4" stopIfTrue="1" operator="equal">
      <formula>"C"</formula>
    </cfRule>
    <cfRule type="cellIs" dxfId="25" priority="5" stopIfTrue="1" operator="equal">
      <formula>"B2"</formula>
    </cfRule>
    <cfRule type="cellIs" dxfId="24" priority="6" stopIfTrue="1" operator="equal">
      <formula>"B1"</formula>
    </cfRule>
  </conditionalFormatting>
  <pageMargins left="0.70833333333333337" right="0.70833333333333337" top="0.74791666666666667" bottom="0.74861111111111112" header="0.51180555555555551" footer="0.31527777777777777"/>
  <pageSetup paperSize="9" scale="97" firstPageNumber="0" orientation="landscape" horizontalDpi="300" verticalDpi="300" r:id="rId1"/>
  <headerFooter alignWithMargins="0">
    <oddFooter>&amp;L&amp;F&amp;C&amp;A&amp;R&amp;D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7"/>
  </sheetPr>
  <dimension ref="A1:P40"/>
  <sheetViews>
    <sheetView showGridLines="0" topLeftCell="A16" zoomScale="110" zoomScaleNormal="110" workbookViewId="0">
      <selection activeCell="I27" sqref="I27:L27"/>
    </sheetView>
  </sheetViews>
  <sheetFormatPr baseColWidth="10" defaultColWidth="9.109375" defaultRowHeight="14.4"/>
  <cols>
    <col min="1" max="1" width="3.33203125" customWidth="1"/>
    <col min="2" max="2" width="14.33203125" customWidth="1"/>
    <col min="3" max="3" width="12.44140625" customWidth="1"/>
    <col min="4" max="4" width="13.109375" customWidth="1"/>
    <col min="5" max="5" width="11.44140625" customWidth="1"/>
    <col min="6" max="6" width="11.88671875" customWidth="1"/>
    <col min="7" max="7" width="18.6640625" customWidth="1"/>
    <col min="8" max="8" width="11.33203125" customWidth="1"/>
    <col min="9" max="9" width="27.33203125" bestFit="1" customWidth="1"/>
    <col min="10" max="10" width="15.109375" customWidth="1"/>
    <col min="11" max="11" width="15.33203125" customWidth="1"/>
    <col min="12" max="12" width="15.6640625" customWidth="1"/>
  </cols>
  <sheetData>
    <row r="1" spans="1:16" ht="28.5" customHeight="1">
      <c r="C1" s="160"/>
      <c r="E1" s="160"/>
    </row>
    <row r="2" spans="1:16" ht="27.75" customHeight="1">
      <c r="B2" s="606" t="str">
        <f>+"Cuadro de mando:  "&amp;"  "&amp;+'Introducción de datos'!C4&amp;" - "&amp;'Introducción de datos'!G6</f>
        <v>Cuadro de mando:    El Salvador - VIH / SIDA</v>
      </c>
      <c r="C2" s="606"/>
      <c r="D2" s="606"/>
      <c r="E2" s="606"/>
      <c r="F2" s="606"/>
      <c r="G2" s="606"/>
      <c r="H2" s="606"/>
      <c r="I2" s="606"/>
      <c r="J2" s="606"/>
      <c r="K2" s="606"/>
      <c r="L2" s="606"/>
      <c r="M2" s="238"/>
      <c r="N2" s="238"/>
      <c r="O2" s="238"/>
      <c r="P2" s="238"/>
    </row>
    <row r="3" spans="1:16">
      <c r="B3" s="219" t="str">
        <f>+'Introducción de datos'!G8</f>
        <v>Seleccionar</v>
      </c>
      <c r="C3" s="596" t="str">
        <f>+'Introducción de datos'!I8</f>
        <v>Seleccionar</v>
      </c>
      <c r="D3" s="596"/>
      <c r="E3" s="597"/>
      <c r="F3" s="597"/>
      <c r="G3" s="597"/>
      <c r="H3" s="597"/>
      <c r="I3" s="597"/>
      <c r="J3" s="598" t="str">
        <f>+'Introducción de datos'!B16</f>
        <v>Periodo:</v>
      </c>
      <c r="K3" s="598"/>
      <c r="L3" s="220" t="str">
        <f>+'Introducción de datos'!C16</f>
        <v>P4</v>
      </c>
    </row>
    <row r="4" spans="1:16">
      <c r="B4" s="219" t="str">
        <f>+'Introducción de datos'!B12</f>
        <v>Ultima calificación:</v>
      </c>
      <c r="C4" s="600" t="str">
        <f>+'Introducción de datos'!C12</f>
        <v>A2</v>
      </c>
      <c r="D4" s="600"/>
      <c r="E4" s="597" t="str">
        <f>+'Introducción de datos'!C8</f>
        <v>PLAN  INTERNACIONAL</v>
      </c>
      <c r="F4" s="597"/>
      <c r="G4" s="597"/>
      <c r="H4" s="597"/>
      <c r="I4" s="597"/>
      <c r="J4" s="598" t="str">
        <f>+'Introducción de datos'!D16</f>
        <v>Desde:</v>
      </c>
      <c r="K4" s="598"/>
      <c r="L4" s="221">
        <f>+'Introducción de datos'!E16</f>
        <v>43101</v>
      </c>
    </row>
    <row r="5" spans="1:16" ht="18.75" customHeight="1">
      <c r="B5" s="219"/>
      <c r="C5" s="219"/>
      <c r="D5" s="597" t="str">
        <f>+'Introducción de datos'!G4</f>
        <v>INNOVANDO SERVICIOS, REDUCIENDO RIESGOS, RENOVANDO VIDAS EN EL SALVADOR</v>
      </c>
      <c r="E5" s="597"/>
      <c r="F5" s="597"/>
      <c r="G5" s="597"/>
      <c r="H5" s="597"/>
      <c r="I5" s="597"/>
      <c r="J5" s="597"/>
      <c r="K5" s="219" t="str">
        <f>+'Introducción de datos'!F16</f>
        <v>Hasta:</v>
      </c>
      <c r="L5" s="221">
        <f>+'Introducción de datos'!G16</f>
        <v>43465</v>
      </c>
    </row>
    <row r="6" spans="1:16" ht="18">
      <c r="B6" s="65"/>
      <c r="C6" s="219"/>
      <c r="D6" s="222"/>
      <c r="E6" s="599" t="s">
        <v>145</v>
      </c>
      <c r="F6" s="599"/>
      <c r="G6" s="599"/>
      <c r="H6" s="599"/>
      <c r="I6" s="599"/>
    </row>
    <row r="7" spans="1:16">
      <c r="B7" s="228" t="str">
        <f>+'Introducción de datos'!B73&amp;"     "&amp;+J3&amp;" "&amp;+L3</f>
        <v>M1: Estado de las condiciones precedentes y acciones con fecha límite     Periodo: P4</v>
      </c>
      <c r="C7" s="227"/>
      <c r="H7" s="228" t="str">
        <f>+'Introducción de datos'!B80&amp;"         "&amp;+J3&amp;"  "&amp;+L3</f>
        <v>M2: Estado de los principales puestos directivos del RP         Periodo:  P4</v>
      </c>
    </row>
    <row r="8" spans="1:16" ht="19.5" customHeight="1">
      <c r="B8" s="354" t="s">
        <v>284</v>
      </c>
      <c r="C8" s="611" t="s">
        <v>323</v>
      </c>
      <c r="D8" s="611"/>
      <c r="E8" s="611"/>
      <c r="F8" s="611"/>
      <c r="G8" s="239"/>
      <c r="H8" s="354" t="s">
        <v>284</v>
      </c>
      <c r="I8" s="610" t="s">
        <v>337</v>
      </c>
      <c r="J8" s="610"/>
      <c r="K8" s="610"/>
      <c r="L8" s="610"/>
    </row>
    <row r="10" spans="1:16">
      <c r="A10" s="240"/>
      <c r="D10" s="612"/>
      <c r="E10" s="450"/>
      <c r="F10" s="450"/>
      <c r="G10" s="7"/>
      <c r="N10" s="241"/>
      <c r="O10" s="241"/>
      <c r="P10" s="242"/>
    </row>
    <row r="11" spans="1:16">
      <c r="C11" s="121"/>
      <c r="D11" s="612"/>
      <c r="E11" s="121"/>
      <c r="F11" s="121"/>
      <c r="G11" s="121"/>
      <c r="H11" s="121"/>
    </row>
    <row r="12" spans="1:16">
      <c r="B12" s="121"/>
      <c r="C12" s="243"/>
      <c r="D12" s="244"/>
      <c r="E12" s="244"/>
      <c r="F12" s="244"/>
      <c r="G12" s="244"/>
      <c r="H12" s="245"/>
    </row>
    <row r="13" spans="1:16">
      <c r="B13" s="121"/>
      <c r="C13" s="243"/>
      <c r="D13" s="244"/>
      <c r="E13" s="244"/>
      <c r="F13" s="244"/>
      <c r="G13" s="244"/>
      <c r="H13" s="245"/>
    </row>
    <row r="15" spans="1:16" ht="27.75" customHeight="1">
      <c r="B15" s="228" t="str">
        <f>+'Introducción de datos'!B85&amp;"            "&amp;+J3&amp;" "&amp;+L3</f>
        <v>M3: Acuerdos contractuales (subreceptores)             Periodo: P4</v>
      </c>
      <c r="H15" s="228" t="str">
        <f>+'Introducción de datos'!B90&amp;"                "&amp;+J3&amp;" "&amp;+L3</f>
        <v>M4: Número de informes completos recibidos a tiempo                Periodo: P4</v>
      </c>
    </row>
    <row r="16" spans="1:16" ht="33.75" customHeight="1">
      <c r="B16" s="354" t="s">
        <v>284</v>
      </c>
      <c r="C16" s="610" t="s">
        <v>371</v>
      </c>
      <c r="D16" s="610"/>
      <c r="E16" s="610"/>
      <c r="F16" s="610"/>
      <c r="G16" s="239"/>
      <c r="H16" s="354" t="s">
        <v>284</v>
      </c>
      <c r="I16" s="610" t="s">
        <v>372</v>
      </c>
      <c r="J16" s="610"/>
      <c r="K16" s="610"/>
      <c r="L16" s="610"/>
    </row>
    <row r="18" spans="2:13">
      <c r="M18" s="213"/>
    </row>
    <row r="25" spans="2:13" ht="22.5" customHeight="1"/>
    <row r="26" spans="2:13">
      <c r="B26" s="228" t="str">
        <f>+'Introducción de datos'!B97</f>
        <v>M5: Presupuesto y compra de productos y equipo sanitario, medicamentos y productos farmacéuticos</v>
      </c>
      <c r="H26" s="228" t="str">
        <f>+'Introducción de datos'!B110&amp;"    "&amp;+J3&amp;"  "&amp;+L3</f>
        <v>M6: Diferencia entre existencias actuales y existencias de seguridad    Periodo:  P4</v>
      </c>
    </row>
    <row r="27" spans="2:13" ht="46.8" customHeight="1">
      <c r="B27" s="354" t="s">
        <v>284</v>
      </c>
      <c r="C27" s="602" t="s">
        <v>381</v>
      </c>
      <c r="D27" s="603"/>
      <c r="E27" s="603"/>
      <c r="F27" s="604"/>
      <c r="G27" s="239"/>
      <c r="H27" s="354" t="s">
        <v>284</v>
      </c>
      <c r="I27" s="602" t="s">
        <v>382</v>
      </c>
      <c r="J27" s="603"/>
      <c r="K27" s="603"/>
      <c r="L27" s="604"/>
    </row>
    <row r="29" spans="2:13" ht="104.25" customHeight="1" thickBot="1">
      <c r="F29" s="246"/>
      <c r="G29" s="246"/>
      <c r="H29" s="378" t="s">
        <v>258</v>
      </c>
      <c r="I29" s="379" t="s">
        <v>259</v>
      </c>
      <c r="J29" s="380" t="s">
        <v>289</v>
      </c>
      <c r="K29" s="381" t="s">
        <v>290</v>
      </c>
      <c r="L29" s="382" t="s">
        <v>291</v>
      </c>
    </row>
    <row r="30" spans="2:13" ht="15" customHeight="1">
      <c r="F30" s="246"/>
      <c r="G30" s="246"/>
      <c r="H30" s="616" t="str">
        <f>+'Introducción de datos'!B113</f>
        <v>VIH / SIDA</v>
      </c>
      <c r="I30" s="383" t="str">
        <f>+'Introducción de datos'!C113</f>
        <v>CONDONES MASCULINOS (HSH)</v>
      </c>
      <c r="J30" s="607">
        <f>+'Introducción de datos'!I113</f>
        <v>11.102530263440809</v>
      </c>
      <c r="K30" s="620">
        <f>+'Introducción de datos'!J113</f>
        <v>5</v>
      </c>
      <c r="L30" s="624">
        <f>+'Introducción de datos'!K113</f>
        <v>6.1025302634408085</v>
      </c>
    </row>
    <row r="31" spans="2:13">
      <c r="F31" s="246"/>
      <c r="G31" s="246"/>
      <c r="H31" s="617"/>
      <c r="I31" s="247" t="str">
        <f>+'Introducción de datos'!C114</f>
        <v>CONDONES MASCULINOS (TS)</v>
      </c>
      <c r="J31" s="608"/>
      <c r="K31" s="621"/>
      <c r="L31" s="614"/>
    </row>
    <row r="32" spans="2:13">
      <c r="F32" s="246"/>
      <c r="G32" s="246"/>
      <c r="H32" s="617"/>
      <c r="I32" s="247" t="str">
        <f>+'Introducción de datos'!C115</f>
        <v>CONDONES MASCULINOS (TRANS)</v>
      </c>
      <c r="J32" s="609"/>
      <c r="K32" s="622"/>
      <c r="L32" s="625"/>
    </row>
    <row r="33" spans="2:12">
      <c r="F33" s="246"/>
      <c r="G33" s="246"/>
      <c r="H33" s="617"/>
      <c r="I33" s="247" t="str">
        <f>+'Introducción de datos'!C116</f>
        <v>CONDONES FEMENINOS (TS)</v>
      </c>
      <c r="J33" s="248">
        <f>+'Introducción de datos'!I116</f>
        <v>1.9018549280177186</v>
      </c>
      <c r="K33" s="249">
        <f>+'Introducción de datos'!J116</f>
        <v>5</v>
      </c>
      <c r="L33" s="384">
        <f>+'Introducción de datos'!K116</f>
        <v>-3.0981450719822812</v>
      </c>
    </row>
    <row r="34" spans="2:12">
      <c r="F34" s="246"/>
      <c r="G34" s="246"/>
      <c r="H34" s="617"/>
      <c r="I34" s="247" t="str">
        <f>+'Introducción de datos'!C117</f>
        <v>PRUEBAS RAPIDAS CAPILARES*</v>
      </c>
      <c r="J34" s="248">
        <f>+'Introducción de datos'!I117</f>
        <v>1.557933075347143</v>
      </c>
      <c r="K34" s="249">
        <f>+'Introducción de datos'!J117</f>
        <v>5</v>
      </c>
      <c r="L34" s="384">
        <f>+'Introducción de datos'!K117</f>
        <v>-3.442066924652857</v>
      </c>
    </row>
    <row r="35" spans="2:12" ht="18" customHeight="1" thickBot="1">
      <c r="B35" s="605"/>
      <c r="C35" s="605"/>
      <c r="D35" s="605"/>
      <c r="E35" s="605"/>
      <c r="H35" s="618"/>
      <c r="I35" s="377" t="str">
        <f>+'Introducción de datos'!C118</f>
        <v>LUBRICANTES/TUBOS HSH</v>
      </c>
      <c r="J35" s="626">
        <f>+'Introducción de datos'!I118</f>
        <v>5.7788527137242127</v>
      </c>
      <c r="K35" s="623">
        <f>+'Introducción de datos'!J118</f>
        <v>5</v>
      </c>
      <c r="L35" s="613">
        <f>+'Introducción de datos'!K118</f>
        <v>0.77885271372421272</v>
      </c>
    </row>
    <row r="36" spans="2:12" ht="15" thickBot="1">
      <c r="B36" s="605"/>
      <c r="C36" s="605"/>
      <c r="D36" s="605"/>
      <c r="E36" s="605"/>
      <c r="H36" s="618"/>
      <c r="I36" s="377" t="str">
        <f>+'Introducción de datos'!C119</f>
        <v>LUBRICANTES/TUBOS TS</v>
      </c>
      <c r="J36" s="608"/>
      <c r="K36" s="621"/>
      <c r="L36" s="614"/>
    </row>
    <row r="37" spans="2:12" ht="15" thickBot="1">
      <c r="B37" s="605"/>
      <c r="C37" s="605"/>
      <c r="D37" s="605"/>
      <c r="E37" s="605"/>
      <c r="H37" s="618"/>
      <c r="I37" s="377" t="str">
        <f>+'Introducción de datos'!C120</f>
        <v>LUBRICANTES/TUBOS TRANS</v>
      </c>
      <c r="J37" s="609"/>
      <c r="K37" s="622"/>
      <c r="L37" s="625"/>
    </row>
    <row r="38" spans="2:12" ht="15" thickBot="1">
      <c r="H38" s="618"/>
      <c r="I38" s="377" t="str">
        <f>+'Introducción de datos'!C121</f>
        <v>LUBRICANTES/SACHETS HSH</v>
      </c>
      <c r="J38" s="626">
        <f>+'Introducción de datos'!I121</f>
        <v>6.4633129365895918</v>
      </c>
      <c r="K38" s="623">
        <f>+'Introducción de datos'!J121</f>
        <v>5</v>
      </c>
      <c r="L38" s="613">
        <f>+'Introducción de datos'!K121</f>
        <v>1.4633129365895918</v>
      </c>
    </row>
    <row r="39" spans="2:12" ht="15" thickBot="1">
      <c r="H39" s="618"/>
      <c r="I39" s="399" t="str">
        <f>+'Introducción de datos'!C122</f>
        <v>LUBRICANTES/SACHETS TS</v>
      </c>
      <c r="J39" s="608"/>
      <c r="K39" s="621"/>
      <c r="L39" s="614"/>
    </row>
    <row r="40" spans="2:12" ht="15" thickBot="1">
      <c r="H40" s="619"/>
      <c r="I40" s="401" t="str">
        <f>+'Introducción de datos'!C122</f>
        <v>LUBRICANTES/SACHETS TS</v>
      </c>
      <c r="J40" s="627"/>
      <c r="K40" s="628"/>
      <c r="L40" s="615"/>
    </row>
  </sheetData>
  <mergeCells count="28">
    <mergeCell ref="E10:F10"/>
    <mergeCell ref="I16:L16"/>
    <mergeCell ref="L38:L40"/>
    <mergeCell ref="I27:L27"/>
    <mergeCell ref="H30:H40"/>
    <mergeCell ref="K30:K32"/>
    <mergeCell ref="K35:K37"/>
    <mergeCell ref="L30:L32"/>
    <mergeCell ref="J38:J40"/>
    <mergeCell ref="K38:K40"/>
    <mergeCell ref="J35:J37"/>
    <mergeCell ref="L35:L37"/>
    <mergeCell ref="C27:F27"/>
    <mergeCell ref="B35:E37"/>
    <mergeCell ref="B2:L2"/>
    <mergeCell ref="C3:D3"/>
    <mergeCell ref="E3:I3"/>
    <mergeCell ref="J3:K3"/>
    <mergeCell ref="J30:J32"/>
    <mergeCell ref="C4:D4"/>
    <mergeCell ref="E4:I4"/>
    <mergeCell ref="J4:K4"/>
    <mergeCell ref="D5:J5"/>
    <mergeCell ref="C16:F16"/>
    <mergeCell ref="E6:I6"/>
    <mergeCell ref="C8:F8"/>
    <mergeCell ref="I8:L8"/>
    <mergeCell ref="D10:D11"/>
  </mergeCells>
  <phoneticPr fontId="71" type="noConversion"/>
  <conditionalFormatting sqref="D12:D13">
    <cfRule type="cellIs" dxfId="23" priority="15" stopIfTrue="1" operator="greaterThan">
      <formula>0</formula>
    </cfRule>
  </conditionalFormatting>
  <conditionalFormatting sqref="E12:E13">
    <cfRule type="cellIs" dxfId="22" priority="16" stopIfTrue="1" operator="greaterThan">
      <formula>0</formula>
    </cfRule>
  </conditionalFormatting>
  <conditionalFormatting sqref="F12:G13">
    <cfRule type="cellIs" dxfId="21" priority="17" stopIfTrue="1" operator="greaterThan">
      <formula>0</formula>
    </cfRule>
  </conditionalFormatting>
  <conditionalFormatting sqref="C4:D4">
    <cfRule type="cellIs" dxfId="20" priority="18" stopIfTrue="1" operator="equal">
      <formula>"C"</formula>
    </cfRule>
    <cfRule type="cellIs" dxfId="19" priority="19" stopIfTrue="1" operator="equal">
      <formula>"B2"</formula>
    </cfRule>
    <cfRule type="cellIs" dxfId="18" priority="20" stopIfTrue="1" operator="equal">
      <formula>"B1"</formula>
    </cfRule>
  </conditionalFormatting>
  <conditionalFormatting sqref="L30 L38 L33 L35">
    <cfRule type="cellIs" dxfId="17" priority="21" stopIfTrue="1" operator="lessThan">
      <formula>1</formula>
    </cfRule>
    <cfRule type="cellIs" dxfId="16" priority="22" stopIfTrue="1" operator="between">
      <formula>3</formula>
      <formula>17</formula>
    </cfRule>
    <cfRule type="cellIs" dxfId="15" priority="23" stopIfTrue="1" operator="between">
      <formula>1</formula>
      <formula>3</formula>
    </cfRule>
  </conditionalFormatting>
  <conditionalFormatting sqref="L34">
    <cfRule type="cellIs" dxfId="14" priority="1" stopIfTrue="1" operator="lessThan">
      <formula>1</formula>
    </cfRule>
    <cfRule type="cellIs" dxfId="13" priority="2" stopIfTrue="1" operator="between">
      <formula>3</formula>
      <formula>17</formula>
    </cfRule>
    <cfRule type="cellIs" dxfId="12" priority="3" stopIfTrue="1" operator="between">
      <formula>1</formula>
      <formula>3</formula>
    </cfRule>
  </conditionalFormatting>
  <pageMargins left="0.70833333333333337" right="0.70833333333333337" top="0.74791666666666667" bottom="0.74861111111111112" header="0.51180555555555551" footer="0.31527777777777777"/>
  <pageSetup paperSize="9" scale="83" firstPageNumber="0" orientation="landscape" horizontalDpi="300" verticalDpi="300" r:id="rId1"/>
  <headerFooter alignWithMargins="0">
    <oddFooter>&amp;L&amp;F&amp;C&amp;A&amp;R&amp;D</oddFooter>
  </headerFooter>
  <colBreaks count="1" manualBreakCount="1">
    <brk id="1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7"/>
  </sheetPr>
  <dimension ref="B1:AI28"/>
  <sheetViews>
    <sheetView showGridLines="0" topLeftCell="D25" zoomScale="120" zoomScaleNormal="120" workbookViewId="0">
      <selection activeCell="D10" sqref="D10"/>
    </sheetView>
  </sheetViews>
  <sheetFormatPr baseColWidth="10" defaultColWidth="9.109375" defaultRowHeight="14.4"/>
  <cols>
    <col min="1" max="1" width="0.44140625" customWidth="1"/>
    <col min="2" max="2" width="17.88671875" customWidth="1"/>
    <col min="3" max="3" width="16.109375" customWidth="1"/>
    <col min="4" max="4" width="17.33203125" customWidth="1"/>
    <col min="5" max="5" width="8" customWidth="1"/>
    <col min="6" max="6" width="10.6640625" customWidth="1"/>
    <col min="7" max="7" width="8.33203125" customWidth="1"/>
    <col min="8" max="8" width="6.33203125" customWidth="1"/>
    <col min="9" max="9" width="6" customWidth="1"/>
    <col min="10" max="10" width="6.109375" customWidth="1"/>
    <col min="11" max="11" width="11.33203125" customWidth="1"/>
    <col min="12" max="12" width="14" customWidth="1"/>
    <col min="13" max="13" width="11.6640625" customWidth="1"/>
    <col min="14" max="14" width="9.5546875" customWidth="1"/>
    <col min="15" max="15" width="7.44140625" customWidth="1"/>
    <col min="16" max="16" width="15.6640625" customWidth="1"/>
    <col min="17" max="17" width="23.6640625" customWidth="1"/>
    <col min="18" max="18" width="21.88671875" customWidth="1"/>
  </cols>
  <sheetData>
    <row r="1" spans="2:35" ht="26.25" customHeight="1"/>
    <row r="2" spans="2:35" ht="21.75" customHeight="1">
      <c r="B2" s="606" t="str">
        <f>+"Cuadro de mando:  "&amp;"  "&amp;+'Introducción de datos'!C4&amp;" - "&amp;'Introducción de datos'!G6</f>
        <v>Cuadro de mando:    El Salvador - VIH / SIDA</v>
      </c>
      <c r="C2" s="606"/>
      <c r="D2" s="606"/>
      <c r="E2" s="606"/>
      <c r="F2" s="606"/>
      <c r="G2" s="606"/>
      <c r="H2" s="606"/>
      <c r="I2" s="606"/>
      <c r="J2" s="606"/>
      <c r="K2" s="606"/>
      <c r="L2" s="606"/>
      <c r="M2" s="606"/>
      <c r="N2" s="606"/>
      <c r="O2" s="606"/>
      <c r="P2" s="606"/>
      <c r="Q2" s="606"/>
    </row>
    <row r="3" spans="2:35">
      <c r="B3" s="219" t="str">
        <f>+'Introducción de datos'!G8</f>
        <v>Seleccionar</v>
      </c>
      <c r="C3" s="596" t="str">
        <f>+'Introducción de datos'!I8</f>
        <v>Seleccionar</v>
      </c>
      <c r="D3" s="596"/>
      <c r="E3" s="597"/>
      <c r="F3" s="597"/>
      <c r="G3" s="597"/>
      <c r="H3" s="597"/>
      <c r="I3" s="597"/>
      <c r="J3" s="597"/>
      <c r="K3" s="597"/>
      <c r="O3" s="598" t="str">
        <f>+'Introducción de datos'!B16</f>
        <v>Periodo:</v>
      </c>
      <c r="P3" s="598"/>
      <c r="Q3" s="220" t="str">
        <f>+'Introducción de datos'!C16</f>
        <v>P4</v>
      </c>
    </row>
    <row r="4" spans="2:35" ht="12" customHeight="1">
      <c r="B4" s="219" t="str">
        <f>+'Introducción de datos'!B12</f>
        <v>Ultima calificación:</v>
      </c>
      <c r="C4" s="632" t="str">
        <f>+'Introducción de datos'!C12</f>
        <v>A2</v>
      </c>
      <c r="D4" s="632"/>
      <c r="E4" s="597" t="str">
        <f>+'Introducción de datos'!C8</f>
        <v>PLAN  INTERNACIONAL</v>
      </c>
      <c r="F4" s="597"/>
      <c r="G4" s="597"/>
      <c r="H4" s="597"/>
      <c r="I4" s="597"/>
      <c r="J4" s="597"/>
      <c r="K4" s="597"/>
      <c r="L4" s="597"/>
      <c r="O4" s="65"/>
      <c r="P4" s="219" t="str">
        <f>+'Introducción de datos'!D16</f>
        <v>Desde:</v>
      </c>
      <c r="Q4" s="250">
        <f>+'Introducción de datos'!E16</f>
        <v>43101</v>
      </c>
      <c r="Y4" s="196"/>
      <c r="Z4" s="196"/>
      <c r="AA4" s="196"/>
      <c r="AB4" s="196"/>
      <c r="AC4" s="196"/>
    </row>
    <row r="5" spans="2:35" ht="15.75" customHeight="1">
      <c r="B5" s="219"/>
      <c r="C5" s="219"/>
      <c r="D5" s="597" t="str">
        <f>+'Introducción de datos'!G4</f>
        <v>INNOVANDO SERVICIOS, REDUCIENDO RIESGOS, RENOVANDO VIDAS EN EL SALVADOR</v>
      </c>
      <c r="E5" s="597"/>
      <c r="F5" s="597"/>
      <c r="G5" s="597"/>
      <c r="H5" s="597"/>
      <c r="I5" s="597"/>
      <c r="J5" s="597"/>
      <c r="K5" s="597"/>
      <c r="L5" s="597"/>
      <c r="M5" s="597"/>
      <c r="N5" s="597"/>
      <c r="P5" s="219" t="str">
        <f>+'Introducción de datos'!F16</f>
        <v>Hasta:</v>
      </c>
      <c r="Q5" s="250">
        <f>+'Introducción de datos'!G16</f>
        <v>43465</v>
      </c>
      <c r="S5" s="251"/>
      <c r="T5" s="251"/>
      <c r="U5" s="251"/>
      <c r="V5" s="251"/>
      <c r="W5" s="251"/>
      <c r="X5" s="251"/>
      <c r="Y5" s="196"/>
      <c r="Z5" s="196"/>
      <c r="AA5" s="196" t="s">
        <v>292</v>
      </c>
      <c r="AB5" s="196"/>
      <c r="AC5" s="196" t="s">
        <v>293</v>
      </c>
      <c r="AD5" s="251"/>
      <c r="AE5" s="251"/>
      <c r="AF5" s="251"/>
      <c r="AG5" s="251"/>
      <c r="AH5" s="251"/>
      <c r="AI5" s="251"/>
    </row>
    <row r="6" spans="2:35" ht="15.75" customHeight="1">
      <c r="B6" s="219"/>
      <c r="C6" s="219"/>
      <c r="D6" s="252"/>
      <c r="E6" s="252"/>
      <c r="F6" s="633" t="s">
        <v>294</v>
      </c>
      <c r="G6" s="633"/>
      <c r="H6" s="633"/>
      <c r="I6" s="633"/>
      <c r="J6" s="633"/>
      <c r="K6" s="633"/>
      <c r="L6" s="252"/>
      <c r="O6" s="253"/>
      <c r="P6" s="254"/>
      <c r="S6" s="251"/>
      <c r="T6" s="251"/>
      <c r="U6" s="251"/>
      <c r="V6" s="251"/>
      <c r="W6" s="251"/>
      <c r="X6" s="251"/>
      <c r="Y6" s="196"/>
      <c r="Z6" s="196"/>
      <c r="AA6" s="196"/>
      <c r="AB6" s="196"/>
      <c r="AC6" s="196"/>
      <c r="AD6" s="251"/>
      <c r="AE6" s="251"/>
      <c r="AF6" s="251"/>
      <c r="AG6" s="251"/>
      <c r="AH6" s="251"/>
      <c r="AI6" s="251"/>
    </row>
    <row r="7" spans="2:35" ht="3" customHeight="1">
      <c r="B7" s="219"/>
      <c r="C7" s="219"/>
      <c r="D7" s="252"/>
      <c r="E7" s="252"/>
      <c r="F7" s="252"/>
      <c r="G7" s="252"/>
      <c r="H7" s="252"/>
      <c r="I7" s="252"/>
      <c r="J7" s="252"/>
      <c r="K7" s="252"/>
      <c r="L7" s="252"/>
      <c r="O7" s="253"/>
      <c r="P7" s="221"/>
      <c r="Q7" s="221"/>
      <c r="S7" s="251"/>
      <c r="T7" s="251"/>
      <c r="U7" s="251"/>
      <c r="V7" s="251"/>
      <c r="W7" s="251"/>
      <c r="X7" s="251"/>
      <c r="Y7" s="196"/>
      <c r="Z7" s="196"/>
      <c r="AA7" s="196"/>
      <c r="AB7" s="196"/>
      <c r="AC7" s="196"/>
      <c r="AD7" s="251"/>
      <c r="AE7" s="251"/>
      <c r="AF7" s="251"/>
      <c r="AG7" s="251"/>
      <c r="AH7" s="251"/>
      <c r="AI7" s="251"/>
    </row>
    <row r="8" spans="2:35" ht="18.75" customHeight="1">
      <c r="B8" s="639" t="str">
        <f>+'Introducción de datos'!B130</f>
        <v>% Y Número de personas HSH alcanzadas con el paquete básico de prevención de VIH</v>
      </c>
      <c r="C8" s="639"/>
      <c r="D8" s="639"/>
      <c r="E8" s="639"/>
      <c r="F8" s="639" t="str">
        <f>+'Introducción de datos'!B132</f>
        <v>% Y Número de personas TS alcanzadas con el paquete básico de prevención de VIH</v>
      </c>
      <c r="G8" s="639"/>
      <c r="H8" s="639"/>
      <c r="I8" s="639"/>
      <c r="J8" s="639"/>
      <c r="K8" s="639"/>
      <c r="L8" s="639" t="str">
        <f>+'Introducción de datos'!B134</f>
        <v>% Y Número de personas TRANS alcanzadas con el paquete básico de prevención de VIH</v>
      </c>
      <c r="M8" s="639"/>
      <c r="N8" s="639"/>
      <c r="O8" s="639"/>
      <c r="P8" s="639"/>
      <c r="Q8" s="639"/>
      <c r="S8" s="251"/>
      <c r="T8" s="251"/>
      <c r="U8" s="251"/>
      <c r="V8" s="251"/>
      <c r="W8" s="251"/>
      <c r="X8" s="251"/>
      <c r="Y8" s="196"/>
      <c r="Z8" s="196"/>
      <c r="AA8" s="196"/>
      <c r="AB8" s="196"/>
      <c r="AC8" s="196"/>
      <c r="AD8" s="251"/>
      <c r="AE8" s="251"/>
      <c r="AF8" s="251"/>
      <c r="AG8" s="251"/>
      <c r="AH8" s="251"/>
      <c r="AI8" s="251"/>
    </row>
    <row r="9" spans="2:35" ht="75" customHeight="1">
      <c r="B9" s="353" t="s">
        <v>295</v>
      </c>
      <c r="C9" s="634" t="s">
        <v>373</v>
      </c>
      <c r="D9" s="635"/>
      <c r="E9" s="636"/>
      <c r="F9" s="353" t="s">
        <v>295</v>
      </c>
      <c r="G9" s="634" t="s">
        <v>374</v>
      </c>
      <c r="H9" s="635"/>
      <c r="I9" s="635"/>
      <c r="J9" s="635"/>
      <c r="K9" s="636"/>
      <c r="L9" s="353" t="s">
        <v>295</v>
      </c>
      <c r="M9" s="634" t="s">
        <v>375</v>
      </c>
      <c r="N9" s="635"/>
      <c r="O9" s="635"/>
      <c r="P9" s="635"/>
      <c r="Q9" s="636"/>
      <c r="S9" s="251"/>
      <c r="T9" s="251"/>
      <c r="U9" s="251"/>
      <c r="V9" s="251"/>
      <c r="W9" s="251"/>
      <c r="X9" s="251"/>
      <c r="Y9" s="251"/>
      <c r="Z9" s="251"/>
      <c r="AA9" s="251"/>
      <c r="AB9" s="251"/>
      <c r="AC9" s="251"/>
      <c r="AD9" s="251"/>
      <c r="AE9" s="251"/>
      <c r="AF9" s="251"/>
      <c r="AG9" s="251"/>
      <c r="AH9" s="251"/>
      <c r="AI9" s="251"/>
    </row>
    <row r="10" spans="2:35" ht="18.75" customHeight="1">
      <c r="B10" s="219"/>
      <c r="C10" s="219"/>
      <c r="D10" s="252"/>
      <c r="E10" s="252"/>
      <c r="F10" s="252"/>
      <c r="G10" s="252"/>
      <c r="H10" s="252"/>
      <c r="I10" s="252"/>
      <c r="J10" s="252"/>
      <c r="K10" s="252"/>
      <c r="L10" s="252"/>
      <c r="O10" s="253"/>
      <c r="P10" s="221"/>
      <c r="S10" s="251"/>
      <c r="T10" s="251"/>
      <c r="U10" s="251"/>
      <c r="V10" s="251"/>
      <c r="W10" s="251"/>
      <c r="X10" s="251"/>
      <c r="Y10" s="251"/>
      <c r="Z10" s="251"/>
      <c r="AA10" s="251"/>
      <c r="AB10" s="251"/>
      <c r="AC10" s="251"/>
      <c r="AD10" s="251"/>
      <c r="AE10" s="251"/>
      <c r="AF10" s="251"/>
      <c r="AG10" s="251"/>
      <c r="AH10" s="251"/>
      <c r="AI10" s="251"/>
    </row>
    <row r="11" spans="2:35" ht="18.75" customHeight="1">
      <c r="B11" s="219"/>
      <c r="C11" s="219"/>
      <c r="D11" s="252"/>
      <c r="E11" s="252"/>
      <c r="F11" s="252"/>
      <c r="G11" s="252"/>
      <c r="H11" s="252"/>
      <c r="I11" s="252"/>
      <c r="J11" s="252"/>
      <c r="K11" s="252"/>
      <c r="L11" s="252"/>
      <c r="O11" s="253"/>
      <c r="P11" s="221"/>
      <c r="S11" s="251"/>
      <c r="T11" s="251"/>
      <c r="U11" s="251"/>
      <c r="V11" s="251"/>
      <c r="W11" s="251"/>
      <c r="X11" s="251"/>
      <c r="Y11" s="251"/>
      <c r="Z11" s="251"/>
      <c r="AA11" s="251"/>
      <c r="AB11" s="251"/>
      <c r="AC11" s="251"/>
      <c r="AD11" s="251"/>
      <c r="AE11" s="251"/>
      <c r="AF11" s="251"/>
      <c r="AG11" s="251"/>
      <c r="AH11" s="251"/>
      <c r="AI11" s="251"/>
    </row>
    <row r="12" spans="2:35" ht="18.75" customHeight="1">
      <c r="B12" s="219"/>
      <c r="C12" s="219"/>
      <c r="D12" s="252"/>
      <c r="E12" s="252"/>
      <c r="F12" s="252"/>
      <c r="G12" s="252"/>
      <c r="H12" s="252"/>
      <c r="I12" s="252"/>
      <c r="J12" s="252"/>
      <c r="K12" s="252"/>
      <c r="L12" s="252"/>
      <c r="O12" s="253"/>
      <c r="P12" s="221"/>
      <c r="S12" s="251"/>
      <c r="T12" s="251"/>
      <c r="U12" s="251"/>
      <c r="V12" s="251"/>
      <c r="W12" s="251"/>
      <c r="X12" s="251"/>
      <c r="Y12" s="251"/>
      <c r="Z12" s="251"/>
      <c r="AA12" s="251"/>
      <c r="AB12" s="251"/>
      <c r="AC12" s="251"/>
      <c r="AD12" s="251"/>
      <c r="AE12" s="251"/>
      <c r="AF12" s="251"/>
      <c r="AG12" s="251"/>
      <c r="AH12" s="251"/>
      <c r="AI12" s="251"/>
    </row>
    <row r="13" spans="2:35" ht="18.75" customHeight="1">
      <c r="B13" s="219"/>
      <c r="C13" s="219"/>
      <c r="D13" s="252"/>
      <c r="E13" s="252"/>
      <c r="F13" s="252"/>
      <c r="G13" s="252"/>
      <c r="H13" s="252"/>
      <c r="I13" s="252"/>
      <c r="J13" s="252"/>
      <c r="K13" s="252"/>
      <c r="L13" s="252"/>
      <c r="O13" s="253"/>
      <c r="P13" s="221"/>
      <c r="S13" s="251"/>
      <c r="T13" s="251"/>
      <c r="U13" s="251"/>
      <c r="V13" s="251"/>
      <c r="W13" s="251"/>
      <c r="X13" s="251"/>
      <c r="Y13" s="251"/>
      <c r="Z13" s="251"/>
      <c r="AA13" s="251"/>
      <c r="AB13" s="251"/>
      <c r="AC13" s="251"/>
      <c r="AD13" s="251"/>
      <c r="AE13" s="251"/>
      <c r="AF13" s="251"/>
      <c r="AG13" s="251"/>
      <c r="AH13" s="251"/>
      <c r="AI13" s="251"/>
    </row>
    <row r="14" spans="2:35" ht="18.75" customHeight="1">
      <c r="B14" s="219"/>
      <c r="C14" s="219"/>
      <c r="D14" s="252"/>
      <c r="E14" s="252"/>
      <c r="F14" s="252"/>
      <c r="G14" s="252"/>
      <c r="H14" s="252"/>
      <c r="I14" s="252"/>
      <c r="J14" s="252"/>
      <c r="K14" s="252"/>
      <c r="L14" s="252"/>
      <c r="O14" s="253"/>
      <c r="P14" s="221"/>
      <c r="S14" s="251"/>
      <c r="T14" s="251"/>
      <c r="U14" s="251"/>
      <c r="V14" s="251"/>
      <c r="W14" s="251"/>
      <c r="X14" s="251"/>
      <c r="Y14" s="251"/>
      <c r="Z14" s="251"/>
      <c r="AA14" s="251"/>
      <c r="AB14" s="251"/>
      <c r="AC14" s="251"/>
      <c r="AD14" s="251"/>
      <c r="AE14" s="251"/>
      <c r="AF14" s="251"/>
      <c r="AG14" s="251"/>
      <c r="AH14" s="251"/>
      <c r="AI14" s="251"/>
    </row>
    <row r="15" spans="2:35" ht="18.75" customHeight="1">
      <c r="B15" s="219"/>
      <c r="C15" s="219"/>
      <c r="D15" s="252"/>
      <c r="E15" s="252"/>
      <c r="F15" s="252"/>
      <c r="G15" s="252"/>
      <c r="H15" s="252"/>
      <c r="I15" s="252"/>
      <c r="J15" s="252"/>
      <c r="K15" s="252"/>
      <c r="L15" s="252"/>
      <c r="O15" s="253"/>
      <c r="P15" s="221"/>
      <c r="S15" s="251"/>
      <c r="T15" s="251"/>
      <c r="U15" s="251"/>
      <c r="V15" s="251"/>
      <c r="W15" s="251"/>
      <c r="X15" s="251"/>
      <c r="Y15" s="251"/>
      <c r="Z15" s="251"/>
      <c r="AA15" s="251"/>
      <c r="AB15" s="251"/>
      <c r="AC15" s="251"/>
      <c r="AD15" s="251"/>
      <c r="AE15" s="251"/>
      <c r="AF15" s="251"/>
      <c r="AG15" s="251"/>
      <c r="AH15" s="251"/>
      <c r="AI15" s="251"/>
    </row>
    <row r="16" spans="2:35" ht="18.75" customHeight="1">
      <c r="B16" s="219"/>
      <c r="C16" s="219"/>
      <c r="D16" s="252"/>
      <c r="E16" s="252"/>
      <c r="F16" s="252"/>
      <c r="G16" s="252"/>
      <c r="H16" s="252"/>
      <c r="I16" s="252"/>
      <c r="J16" s="252"/>
      <c r="K16" s="252"/>
      <c r="L16" s="252"/>
      <c r="O16" s="253"/>
      <c r="P16" s="221"/>
      <c r="S16" s="251"/>
      <c r="T16" s="251"/>
      <c r="U16" s="251"/>
      <c r="V16" s="251"/>
      <c r="W16" s="251"/>
      <c r="X16" s="251"/>
      <c r="Y16" s="251"/>
      <c r="Z16" s="251"/>
      <c r="AA16" s="251"/>
      <c r="AB16" s="251"/>
      <c r="AC16" s="251"/>
      <c r="AD16" s="251"/>
      <c r="AE16" s="251"/>
      <c r="AF16" s="251"/>
      <c r="AG16" s="251"/>
      <c r="AH16" s="251"/>
      <c r="AI16" s="251"/>
    </row>
    <row r="17" spans="2:35" ht="17.25" customHeight="1">
      <c r="B17" s="219"/>
      <c r="C17" s="219"/>
      <c r="D17" s="252"/>
      <c r="E17" s="252"/>
      <c r="F17" s="252"/>
      <c r="G17" s="252"/>
      <c r="H17" s="252"/>
      <c r="I17" s="252"/>
      <c r="J17" s="252"/>
      <c r="K17" s="252"/>
      <c r="L17" s="252"/>
      <c r="O17" s="253"/>
      <c r="P17" s="221"/>
      <c r="S17" s="251"/>
      <c r="T17" s="251"/>
      <c r="U17" s="251"/>
      <c r="V17" s="251"/>
      <c r="W17" s="251"/>
      <c r="X17" s="251"/>
      <c r="Y17" s="251"/>
      <c r="Z17" s="251"/>
      <c r="AA17" s="251"/>
      <c r="AB17" s="251"/>
      <c r="AC17" s="251"/>
      <c r="AD17" s="251"/>
      <c r="AE17" s="251"/>
      <c r="AF17" s="251"/>
      <c r="AG17" s="251"/>
      <c r="AH17" s="251"/>
      <c r="AI17" s="251"/>
    </row>
    <row r="18" spans="2:35" ht="6" customHeight="1">
      <c r="B18" s="65"/>
      <c r="C18" s="219"/>
      <c r="D18" s="222"/>
      <c r="E18" s="649"/>
      <c r="F18" s="649"/>
      <c r="G18" s="649"/>
      <c r="H18" s="649"/>
      <c r="I18" s="649"/>
      <c r="J18" s="649"/>
      <c r="K18" s="649"/>
      <c r="S18" s="251"/>
      <c r="T18" s="251"/>
      <c r="U18" s="251"/>
      <c r="V18" s="251"/>
      <c r="W18" s="251"/>
      <c r="X18" s="251"/>
      <c r="Y18" s="251"/>
      <c r="Z18" s="251"/>
      <c r="AA18" s="251"/>
      <c r="AB18" s="251"/>
      <c r="AC18" s="251"/>
      <c r="AD18" s="251"/>
      <c r="AE18" s="251"/>
      <c r="AF18" s="251"/>
      <c r="AG18" s="251"/>
      <c r="AH18" s="251"/>
      <c r="AI18" s="251"/>
    </row>
    <row r="19" spans="2:35" ht="24" customHeight="1">
      <c r="B19" s="650" t="s">
        <v>296</v>
      </c>
      <c r="C19" s="651"/>
      <c r="D19" s="652"/>
      <c r="E19" s="255" t="s">
        <v>272</v>
      </c>
      <c r="F19" s="255" t="s">
        <v>297</v>
      </c>
      <c r="G19" s="653" t="s">
        <v>298</v>
      </c>
      <c r="H19" s="654"/>
      <c r="I19" s="655" t="s">
        <v>299</v>
      </c>
      <c r="J19" s="656"/>
      <c r="K19" s="433" t="s">
        <v>300</v>
      </c>
      <c r="L19" s="637" t="s">
        <v>301</v>
      </c>
      <c r="M19" s="638"/>
      <c r="N19" s="638"/>
      <c r="O19" s="638"/>
      <c r="P19" s="638"/>
      <c r="Q19" s="638"/>
      <c r="R19" s="360" t="s">
        <v>308</v>
      </c>
      <c r="S19" s="358" t="s">
        <v>302</v>
      </c>
      <c r="T19" s="257">
        <v>0</v>
      </c>
      <c r="U19" s="258">
        <v>0.3</v>
      </c>
      <c r="V19" s="258">
        <v>0.6</v>
      </c>
      <c r="W19" s="258">
        <v>0.9</v>
      </c>
      <c r="X19" s="258">
        <v>1</v>
      </c>
      <c r="Y19" s="196"/>
      <c r="Z19" s="196"/>
      <c r="AA19" s="256" t="s">
        <v>303</v>
      </c>
      <c r="AB19" s="257">
        <v>0</v>
      </c>
      <c r="AC19" s="258">
        <v>0.2</v>
      </c>
      <c r="AD19" s="258">
        <v>0.4</v>
      </c>
      <c r="AE19" s="258">
        <v>0.6</v>
      </c>
      <c r="AF19" s="258">
        <v>0.8</v>
      </c>
      <c r="AG19" s="196"/>
      <c r="AH19" s="196"/>
      <c r="AI19" s="196"/>
    </row>
    <row r="20" spans="2:35" ht="252.6" customHeight="1">
      <c r="B20" s="640" t="str">
        <f>+'Introducción de datos'!B130</f>
        <v>% Y Número de personas HSH alcanzadas con el paquete básico de prevención de VIH</v>
      </c>
      <c r="C20" s="641"/>
      <c r="D20" s="642"/>
      <c r="E20" s="356">
        <f>'Introducción de datos'!K130</f>
        <v>18123</v>
      </c>
      <c r="F20" s="356">
        <f>'Introducción de datos'!K131</f>
        <v>18023</v>
      </c>
      <c r="G20" s="643">
        <f t="shared" ref="G20:G25" si="0">F20/E20</f>
        <v>0.9944821497544557</v>
      </c>
      <c r="H20" s="644"/>
      <c r="I20" s="644"/>
      <c r="J20" s="644"/>
      <c r="K20" s="645"/>
      <c r="L20" s="646" t="s">
        <v>359</v>
      </c>
      <c r="M20" s="647"/>
      <c r="N20" s="647"/>
      <c r="O20" s="647"/>
      <c r="P20" s="647"/>
      <c r="Q20" s="648"/>
      <c r="R20" s="629"/>
      <c r="S20" s="358" t="s">
        <v>304</v>
      </c>
      <c r="T20" s="258">
        <v>0.3</v>
      </c>
      <c r="U20" s="258">
        <v>0.6</v>
      </c>
      <c r="V20" s="258">
        <v>0.9</v>
      </c>
      <c r="W20" s="258">
        <v>1</v>
      </c>
      <c r="X20" s="258">
        <v>2</v>
      </c>
      <c r="Y20" s="196"/>
      <c r="Z20" s="196"/>
      <c r="AA20" s="256" t="s">
        <v>305</v>
      </c>
      <c r="AB20" s="258">
        <v>0.2</v>
      </c>
      <c r="AC20" s="258">
        <v>0.4</v>
      </c>
      <c r="AD20" s="258">
        <v>0.6</v>
      </c>
      <c r="AE20" s="258">
        <v>0.8</v>
      </c>
      <c r="AF20" s="258">
        <v>1</v>
      </c>
      <c r="AG20" s="196"/>
      <c r="AH20" s="196"/>
      <c r="AI20" s="196"/>
    </row>
    <row r="21" spans="2:35" ht="250.2" customHeight="1">
      <c r="B21" s="640" t="str">
        <f>+'Introducción de datos'!B132</f>
        <v>% Y Número de personas TS alcanzadas con el paquete básico de prevención de VIH</v>
      </c>
      <c r="C21" s="641"/>
      <c r="D21" s="642"/>
      <c r="E21" s="356">
        <f>'Introducción de datos'!K132</f>
        <v>9712</v>
      </c>
      <c r="F21" s="356">
        <f>'Introducción de datos'!K133</f>
        <v>9622</v>
      </c>
      <c r="G21" s="643">
        <f t="shared" si="0"/>
        <v>0.99073311367380557</v>
      </c>
      <c r="H21" s="644"/>
      <c r="I21" s="644"/>
      <c r="J21" s="644"/>
      <c r="K21" s="645"/>
      <c r="L21" s="646" t="s">
        <v>360</v>
      </c>
      <c r="M21" s="647"/>
      <c r="N21" s="647"/>
      <c r="O21" s="647"/>
      <c r="P21" s="647"/>
      <c r="Q21" s="648"/>
      <c r="R21" s="630"/>
      <c r="S21" s="359"/>
      <c r="T21" s="259" t="str">
        <f>"de "&amp;T19&amp;" a "&amp;T20</f>
        <v>de 0 a 0.3</v>
      </c>
      <c r="U21" s="259" t="str">
        <f>"de "&amp;U19&amp;" a "&amp;U20</f>
        <v>de 0.3 a 0.6</v>
      </c>
      <c r="V21" s="259" t="str">
        <f>"de "&amp;V19&amp;" a "&amp;V20</f>
        <v>de 0.6 a 0.9</v>
      </c>
      <c r="W21" s="259" t="str">
        <f>"de "&amp;W19&amp;" a "&amp;W20</f>
        <v>de 0.9 a 1</v>
      </c>
      <c r="X21" s="259" t="str">
        <f>"de "&amp;X19&amp;" a "&amp;X20</f>
        <v>de 1 a 2</v>
      </c>
      <c r="Y21" s="196"/>
      <c r="Z21" s="260" t="s">
        <v>306</v>
      </c>
      <c r="AA21" s="261" t="s">
        <v>307</v>
      </c>
      <c r="AB21" s="259" t="str">
        <f>"de "&amp;AB19&amp;" a "&amp;AB20</f>
        <v>de 0 a 0.2</v>
      </c>
      <c r="AC21" s="259" t="str">
        <f>"de "&amp;AC19&amp;" a "&amp;AC20</f>
        <v>de 0.2 a 0.4</v>
      </c>
      <c r="AD21" s="259" t="str">
        <f>"de "&amp;AD19&amp;" a "&amp;AD20</f>
        <v>de 0.4 a 0.6</v>
      </c>
      <c r="AE21" s="259" t="str">
        <f>"de "&amp;AE19&amp;" a "&amp;AE20</f>
        <v>de 0.6 a 0.8</v>
      </c>
      <c r="AF21" s="259" t="str">
        <f>"de "&amp;AF19&amp;" a "&amp;AF20</f>
        <v>de 0.8 a 1</v>
      </c>
      <c r="AG21" s="196"/>
      <c r="AH21" s="196"/>
      <c r="AI21" s="196"/>
    </row>
    <row r="22" spans="2:35" ht="250.95" customHeight="1">
      <c r="B22" s="640" t="str">
        <f>+'Introducción de datos'!B134</f>
        <v>% Y Número de personas TRANS alcanzadas con el paquete básico de prevención de VIH</v>
      </c>
      <c r="C22" s="641"/>
      <c r="D22" s="642"/>
      <c r="E22" s="356">
        <f>'Introducción de datos'!K134</f>
        <v>1609</v>
      </c>
      <c r="F22" s="356">
        <f>'Introducción de datos'!K135</f>
        <v>1604</v>
      </c>
      <c r="G22" s="643">
        <f t="shared" si="0"/>
        <v>0.99689247980111872</v>
      </c>
      <c r="H22" s="644"/>
      <c r="I22" s="644"/>
      <c r="J22" s="644"/>
      <c r="K22" s="645"/>
      <c r="L22" s="646" t="s">
        <v>361</v>
      </c>
      <c r="M22" s="647"/>
      <c r="N22" s="647"/>
      <c r="O22" s="647"/>
      <c r="P22" s="647"/>
      <c r="Q22" s="648"/>
      <c r="R22" s="631"/>
      <c r="S22" s="359"/>
      <c r="T22" s="258" t="e">
        <f t="shared" ref="T22:W26" si="1">IF($K20&gt;T$19,IF($K20&lt;=T$20,$K20,NA()),NA())</f>
        <v>#N/A</v>
      </c>
      <c r="U22" s="258" t="e">
        <f t="shared" si="1"/>
        <v>#N/A</v>
      </c>
      <c r="V22" s="258" t="e">
        <f t="shared" si="1"/>
        <v>#N/A</v>
      </c>
      <c r="W22" s="258" t="e">
        <f t="shared" si="1"/>
        <v>#N/A</v>
      </c>
      <c r="X22" s="258" t="e">
        <f>IF($K20&gt;X$19,IF($K20&lt;=X$20,1,NA()),NA())</f>
        <v>#N/A</v>
      </c>
      <c r="Y22" s="196"/>
      <c r="Z22" s="262" t="e">
        <f>+'Información de la subvención'!#REF!</f>
        <v>#REF!</v>
      </c>
      <c r="AA22" s="258" t="e">
        <f>+IF(Z22="A1",1,IF(Z22="A2",0.8,IF(Z22="B1",0.6,IF(Z22="B2",0.4,0.2))))</f>
        <v>#REF!</v>
      </c>
      <c r="AB22" s="258" t="e">
        <f>IF($AA22&gt;AB$19,IF($AA22&lt;=AB$20,$AA22,NA()),NA())</f>
        <v>#REF!</v>
      </c>
      <c r="AC22" s="258" t="e">
        <f t="shared" ref="AC22:AF24" si="2">IF($AA22&gt;AC$19,IF($AA22&lt;=AC$20,$AA22,NA()),NA())</f>
        <v>#REF!</v>
      </c>
      <c r="AD22" s="258" t="e">
        <f t="shared" si="2"/>
        <v>#REF!</v>
      </c>
      <c r="AE22" s="258" t="e">
        <f t="shared" si="2"/>
        <v>#REF!</v>
      </c>
      <c r="AF22" s="258" t="e">
        <f t="shared" si="2"/>
        <v>#REF!</v>
      </c>
      <c r="AG22" s="196"/>
      <c r="AH22" s="196"/>
      <c r="AI22" s="196"/>
    </row>
    <row r="23" spans="2:35" ht="149.4" customHeight="1">
      <c r="B23" s="640" t="str">
        <f>+'Introducción de datos'!B136</f>
        <v>% de HSH que reciben una prueba para VIH durante el periodo de reporte y conoce su resultado</v>
      </c>
      <c r="C23" s="641"/>
      <c r="D23" s="642"/>
      <c r="E23" s="356">
        <f>'Introducción de datos'!K136</f>
        <v>8117</v>
      </c>
      <c r="F23" s="356">
        <f>'Introducción de datos'!K137</f>
        <v>8102</v>
      </c>
      <c r="G23" s="643">
        <f t="shared" si="0"/>
        <v>0.99815202661081681</v>
      </c>
      <c r="H23" s="644"/>
      <c r="I23" s="644"/>
      <c r="J23" s="644"/>
      <c r="K23" s="645"/>
      <c r="L23" s="657" t="s">
        <v>362</v>
      </c>
      <c r="M23" s="658"/>
      <c r="N23" s="658"/>
      <c r="O23" s="658"/>
      <c r="P23" s="658"/>
      <c r="Q23" s="659"/>
      <c r="R23" s="629"/>
      <c r="S23" s="359"/>
      <c r="T23" s="258" t="e">
        <f t="shared" si="1"/>
        <v>#N/A</v>
      </c>
      <c r="U23" s="258" t="e">
        <f t="shared" si="1"/>
        <v>#N/A</v>
      </c>
      <c r="V23" s="258" t="e">
        <f t="shared" si="1"/>
        <v>#N/A</v>
      </c>
      <c r="W23" s="258" t="e">
        <f t="shared" si="1"/>
        <v>#N/A</v>
      </c>
      <c r="X23" s="258" t="e">
        <f>IF($K21&gt;X$19,IF($K21&lt;=X$20,1,1),NA())</f>
        <v>#N/A</v>
      </c>
      <c r="Y23" s="196"/>
      <c r="Z23" s="262" t="e">
        <f>+'Información de la subvención'!#REF!</f>
        <v>#REF!</v>
      </c>
      <c r="AA23" s="258" t="e">
        <f>+IF(Z23="A1",1,IF(Z23="A2",0.8,IF(Z23="B1",0.6,IF(Z23="B2",0.4,0.2))))</f>
        <v>#REF!</v>
      </c>
      <c r="AB23" s="258" t="e">
        <f>IF($AA23&gt;AB$19,IF($AA23&lt;=AB$20,$AA23,NA()),NA())</f>
        <v>#REF!</v>
      </c>
      <c r="AC23" s="258" t="e">
        <f t="shared" si="2"/>
        <v>#REF!</v>
      </c>
      <c r="AD23" s="258" t="e">
        <f t="shared" si="2"/>
        <v>#REF!</v>
      </c>
      <c r="AE23" s="258" t="e">
        <f t="shared" si="2"/>
        <v>#REF!</v>
      </c>
      <c r="AF23" s="258" t="e">
        <f t="shared" si="2"/>
        <v>#REF!</v>
      </c>
      <c r="AG23" s="196"/>
      <c r="AH23" s="196"/>
      <c r="AI23" s="196"/>
    </row>
    <row r="24" spans="2:35" ht="147.6" customHeight="1">
      <c r="B24" s="640" t="str">
        <f>+'Introducción de datos'!B138</f>
        <v xml:space="preserve">% de TS que reciben una prueba para VIH durante el periodo de reporte y conoce su resultado </v>
      </c>
      <c r="C24" s="641"/>
      <c r="D24" s="642"/>
      <c r="E24" s="356">
        <f>'Introducción de datos'!K138</f>
        <v>4370</v>
      </c>
      <c r="F24" s="356">
        <f>'Introducción de datos'!K139</f>
        <v>4369</v>
      </c>
      <c r="G24" s="643">
        <f t="shared" si="0"/>
        <v>0.99977116704805491</v>
      </c>
      <c r="H24" s="644"/>
      <c r="I24" s="644"/>
      <c r="J24" s="644"/>
      <c r="K24" s="645"/>
      <c r="L24" s="657" t="s">
        <v>363</v>
      </c>
      <c r="M24" s="658"/>
      <c r="N24" s="658"/>
      <c r="O24" s="658"/>
      <c r="P24" s="658"/>
      <c r="Q24" s="659"/>
      <c r="R24" s="630"/>
      <c r="S24" s="359"/>
      <c r="T24" s="258" t="e">
        <f t="shared" si="1"/>
        <v>#N/A</v>
      </c>
      <c r="U24" s="258" t="e">
        <f t="shared" si="1"/>
        <v>#N/A</v>
      </c>
      <c r="V24" s="258" t="e">
        <f t="shared" si="1"/>
        <v>#N/A</v>
      </c>
      <c r="W24" s="258" t="e">
        <f t="shared" si="1"/>
        <v>#N/A</v>
      </c>
      <c r="X24" s="258" t="e">
        <f>IF($K22&gt;X$19,IF($K22&lt;=X$20,1,NA()),NA())</f>
        <v>#N/A</v>
      </c>
      <c r="Y24" s="196"/>
      <c r="Z24" s="262" t="e">
        <f>+'Información de la subvención'!#REF!</f>
        <v>#REF!</v>
      </c>
      <c r="AA24" s="258" t="e">
        <f>+IF(Z24="A1",1,IF(Z24="A2",0.8,IF(Z24="B1",0.6,IF(Z24="B2",0.4,0.2))))</f>
        <v>#REF!</v>
      </c>
      <c r="AB24" s="258" t="e">
        <f>IF($AA24&gt;AB$19,IF($AA24&lt;=AB$20,$AA24,NA()),NA())</f>
        <v>#REF!</v>
      </c>
      <c r="AC24" s="258" t="e">
        <f t="shared" si="2"/>
        <v>#REF!</v>
      </c>
      <c r="AD24" s="258" t="e">
        <f t="shared" si="2"/>
        <v>#REF!</v>
      </c>
      <c r="AE24" s="258" t="e">
        <f t="shared" si="2"/>
        <v>#REF!</v>
      </c>
      <c r="AF24" s="258" t="e">
        <f t="shared" si="2"/>
        <v>#REF!</v>
      </c>
      <c r="AG24" s="196"/>
      <c r="AH24" s="196"/>
      <c r="AI24" s="196"/>
    </row>
    <row r="25" spans="2:35" ht="159" customHeight="1">
      <c r="B25" s="640" t="str">
        <f>+'Introducción de datos'!B140</f>
        <v xml:space="preserve">% de TRANS que reciben una prueba para VIH durante el periodo de reporte y conoce su resultado </v>
      </c>
      <c r="C25" s="641"/>
      <c r="D25" s="642"/>
      <c r="E25" s="356">
        <f>'Introducción de datos'!K140</f>
        <v>676</v>
      </c>
      <c r="F25" s="356">
        <f>'Introducción de datos'!K141</f>
        <v>708</v>
      </c>
      <c r="G25" s="643">
        <f t="shared" si="0"/>
        <v>1.0473372781065089</v>
      </c>
      <c r="H25" s="644"/>
      <c r="I25" s="644"/>
      <c r="J25" s="644"/>
      <c r="K25" s="645"/>
      <c r="L25" s="657" t="s">
        <v>364</v>
      </c>
      <c r="M25" s="658"/>
      <c r="N25" s="658"/>
      <c r="O25" s="658"/>
      <c r="P25" s="658"/>
      <c r="Q25" s="659"/>
      <c r="R25" s="630"/>
      <c r="S25" s="359"/>
      <c r="T25" s="258" t="e">
        <f t="shared" si="1"/>
        <v>#N/A</v>
      </c>
      <c r="U25" s="258" t="e">
        <f t="shared" si="1"/>
        <v>#N/A</v>
      </c>
      <c r="V25" s="258" t="e">
        <f t="shared" si="1"/>
        <v>#N/A</v>
      </c>
      <c r="W25" s="258" t="e">
        <f t="shared" si="1"/>
        <v>#N/A</v>
      </c>
      <c r="X25" s="258" t="e">
        <f>IF($K23&gt;X$19,IF($K23&lt;=X$20,1,NA()),NA())</f>
        <v>#N/A</v>
      </c>
      <c r="Y25" s="196"/>
      <c r="Z25" s="196"/>
      <c r="AA25" s="196"/>
      <c r="AB25" s="196"/>
      <c r="AC25" s="196"/>
      <c r="AD25" s="196"/>
      <c r="AE25" s="196"/>
      <c r="AF25" s="196"/>
      <c r="AG25" s="196"/>
      <c r="AH25" s="196"/>
      <c r="AI25" s="196"/>
    </row>
    <row r="26" spans="2:35" ht="12" hidden="1" customHeight="1">
      <c r="B26" s="640">
        <f>+'Introducción de datos'!B142</f>
        <v>0</v>
      </c>
      <c r="C26" s="641"/>
      <c r="D26" s="642"/>
      <c r="E26" s="352"/>
      <c r="F26" s="352"/>
      <c r="G26" s="661"/>
      <c r="H26" s="662"/>
      <c r="I26" s="662"/>
      <c r="J26" s="662"/>
      <c r="K26" s="663"/>
      <c r="L26" s="664"/>
      <c r="M26" s="664"/>
      <c r="N26" s="664"/>
      <c r="O26" s="664"/>
      <c r="P26" s="664"/>
      <c r="Q26" s="665"/>
      <c r="R26" s="361"/>
      <c r="S26" s="359"/>
      <c r="T26" s="258" t="e">
        <f t="shared" si="1"/>
        <v>#N/A</v>
      </c>
      <c r="U26" s="258" t="e">
        <f t="shared" si="1"/>
        <v>#N/A</v>
      </c>
      <c r="V26" s="258" t="e">
        <f t="shared" si="1"/>
        <v>#N/A</v>
      </c>
      <c r="W26" s="258" t="e">
        <f t="shared" si="1"/>
        <v>#N/A</v>
      </c>
      <c r="X26" s="258" t="e">
        <f>IF($K24&gt;X$19,IF($K24&lt;=X$20,1,NA()),NA())</f>
        <v>#N/A</v>
      </c>
      <c r="Y26" s="196"/>
      <c r="Z26" s="196"/>
      <c r="AA26" s="196"/>
      <c r="AB26" s="196"/>
      <c r="AC26" s="196"/>
      <c r="AD26" s="196"/>
      <c r="AE26" s="196"/>
      <c r="AF26" s="196"/>
      <c r="AG26" s="196"/>
      <c r="AH26" s="196"/>
      <c r="AI26" s="196"/>
    </row>
    <row r="27" spans="2:35">
      <c r="I27" s="263"/>
      <c r="J27" s="7"/>
      <c r="K27" s="7"/>
      <c r="S27" s="196"/>
      <c r="T27" s="196"/>
      <c r="U27" s="196"/>
      <c r="V27" s="196"/>
      <c r="W27" s="196"/>
      <c r="X27" s="196"/>
      <c r="Y27" s="196"/>
      <c r="Z27" s="196"/>
      <c r="AA27" s="196"/>
      <c r="AB27" s="196"/>
      <c r="AC27" s="196"/>
      <c r="AD27" s="196"/>
      <c r="AE27" s="196"/>
      <c r="AF27" s="196"/>
      <c r="AG27" s="196"/>
      <c r="AH27" s="196"/>
      <c r="AI27" s="196"/>
    </row>
    <row r="28" spans="2:35" ht="14.25" customHeight="1">
      <c r="G28" s="660" t="s">
        <v>354</v>
      </c>
      <c r="H28" s="660"/>
      <c r="I28" s="660"/>
      <c r="J28" s="660"/>
      <c r="K28" s="660"/>
      <c r="L28" s="660"/>
      <c r="M28" s="660"/>
      <c r="N28" s="660"/>
      <c r="O28" s="660"/>
      <c r="P28" s="660"/>
      <c r="Q28" s="660"/>
      <c r="S28" s="196"/>
      <c r="T28" s="196"/>
      <c r="U28" s="196"/>
      <c r="V28" s="196"/>
      <c r="W28" s="196"/>
      <c r="X28" s="196"/>
      <c r="Y28" s="196"/>
      <c r="Z28" s="196"/>
      <c r="AA28" s="196"/>
      <c r="AB28" s="196"/>
      <c r="AC28" s="196"/>
      <c r="AD28" s="196"/>
      <c r="AE28" s="196"/>
      <c r="AF28" s="196"/>
      <c r="AG28" s="196"/>
      <c r="AH28" s="196"/>
      <c r="AI28" s="196"/>
    </row>
  </sheetData>
  <sheetProtection selectLockedCells="1" selectUnlockedCells="1"/>
  <mergeCells count="43">
    <mergeCell ref="G28:Q28"/>
    <mergeCell ref="B25:D25"/>
    <mergeCell ref="G25:K25"/>
    <mergeCell ref="L25:Q25"/>
    <mergeCell ref="B26:D26"/>
    <mergeCell ref="G26:K26"/>
    <mergeCell ref="L26:Q26"/>
    <mergeCell ref="B23:D23"/>
    <mergeCell ref="G23:K23"/>
    <mergeCell ref="L23:Q23"/>
    <mergeCell ref="B24:D24"/>
    <mergeCell ref="G24:K24"/>
    <mergeCell ref="L24:Q24"/>
    <mergeCell ref="I19:J19"/>
    <mergeCell ref="B21:D21"/>
    <mergeCell ref="G21:K21"/>
    <mergeCell ref="L21:Q21"/>
    <mergeCell ref="B22:D22"/>
    <mergeCell ref="G22:K22"/>
    <mergeCell ref="L22:Q22"/>
    <mergeCell ref="B2:Q2"/>
    <mergeCell ref="C3:D3"/>
    <mergeCell ref="E3:K3"/>
    <mergeCell ref="O3:P3"/>
    <mergeCell ref="B8:E8"/>
    <mergeCell ref="F8:K8"/>
    <mergeCell ref="L8:Q8"/>
    <mergeCell ref="R20:R22"/>
    <mergeCell ref="R23:R25"/>
    <mergeCell ref="C4:D4"/>
    <mergeCell ref="E4:L4"/>
    <mergeCell ref="D5:N5"/>
    <mergeCell ref="F6:K6"/>
    <mergeCell ref="C9:E9"/>
    <mergeCell ref="G9:K9"/>
    <mergeCell ref="M9:Q9"/>
    <mergeCell ref="L19:Q19"/>
    <mergeCell ref="B20:D20"/>
    <mergeCell ref="G20:K20"/>
    <mergeCell ref="L20:Q20"/>
    <mergeCell ref="E18:K18"/>
    <mergeCell ref="B19:D19"/>
    <mergeCell ref="G19:H19"/>
  </mergeCells>
  <phoneticPr fontId="71" type="noConversion"/>
  <conditionalFormatting sqref="C4:D4">
    <cfRule type="cellIs" dxfId="11" priority="32" stopIfTrue="1" operator="equal">
      <formula>"C"</formula>
    </cfRule>
    <cfRule type="cellIs" dxfId="10" priority="33" stopIfTrue="1" operator="equal">
      <formula>"B2"</formula>
    </cfRule>
    <cfRule type="cellIs" dxfId="9" priority="34" stopIfTrue="1" operator="equal">
      <formula>"B1"</formula>
    </cfRule>
  </conditionalFormatting>
  <conditionalFormatting sqref="G20:G26">
    <cfRule type="cellIs" dxfId="8" priority="35" stopIfTrue="1" operator="between">
      <formula>0</formula>
      <formula>0.599</formula>
    </cfRule>
    <cfRule type="cellIs" dxfId="7" priority="36" stopIfTrue="1" operator="between">
      <formula>0.6</formula>
      <formula>0.899</formula>
    </cfRule>
    <cfRule type="cellIs" dxfId="6" priority="37" stopIfTrue="1" operator="greaterThanOrEqual">
      <formula>0.9</formula>
    </cfRule>
  </conditionalFormatting>
  <pageMargins left="0.70833333333333337" right="0.70833333333333337" top="0.74791666666666667" bottom="0.74861111111111112" header="0.51180555555555551" footer="0.31527777777777777"/>
  <pageSetup paperSize="9" scale="87" firstPageNumber="0" orientation="landscape" horizontalDpi="300" verticalDpi="300" r:id="rId1"/>
  <headerFooter alignWithMargins="0">
    <oddFooter>&amp;L&amp;F&amp;C&amp;A&amp;R&amp;D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27"/>
  </sheetPr>
  <dimension ref="A1:IV41"/>
  <sheetViews>
    <sheetView showGridLines="0" zoomScale="80" zoomScaleNormal="80" workbookViewId="0">
      <selection activeCell="I29" sqref="I29:N29"/>
    </sheetView>
  </sheetViews>
  <sheetFormatPr baseColWidth="10" defaultColWidth="9.109375" defaultRowHeight="11.4"/>
  <cols>
    <col min="1" max="1" width="1.109375" style="264" customWidth="1"/>
    <col min="2" max="2" width="19.33203125" style="264" customWidth="1"/>
    <col min="3" max="3" width="1.109375" style="264" customWidth="1"/>
    <col min="4" max="4" width="17.109375" style="264" customWidth="1"/>
    <col min="5" max="5" width="17.5546875" style="264" customWidth="1"/>
    <col min="6" max="6" width="9.6640625" style="264" customWidth="1"/>
    <col min="7" max="7" width="13" style="264" customWidth="1"/>
    <col min="8" max="8" width="4.33203125" style="264" customWidth="1"/>
    <col min="9" max="9" width="15.88671875" style="264" customWidth="1"/>
    <col min="10" max="10" width="3.5546875" style="264" customWidth="1"/>
    <col min="11" max="11" width="7.5546875" style="265" customWidth="1"/>
    <col min="12" max="12" width="22" style="264" customWidth="1"/>
    <col min="13" max="13" width="12" style="264" customWidth="1"/>
    <col min="14" max="14" width="5.44140625" style="264" customWidth="1"/>
    <col min="15" max="15" width="2.5546875" style="264" customWidth="1"/>
    <col min="16" max="16384" width="9.109375" style="264"/>
  </cols>
  <sheetData>
    <row r="1" spans="1:256" ht="38.25" customHeight="1"/>
    <row r="2" spans="1:256" ht="27.75" customHeight="1">
      <c r="A2"/>
      <c r="B2" s="606" t="str">
        <f>+"Cuadro de mando:  "&amp;"  "&amp;+'Introducción de datos'!C4&amp;" - "&amp;'Introducción de datos'!G6</f>
        <v>Cuadro de mando:    El Salvador - VIH / SIDA</v>
      </c>
      <c r="C2" s="606"/>
      <c r="D2" s="606"/>
      <c r="E2" s="606"/>
      <c r="F2" s="606"/>
      <c r="G2" s="606"/>
      <c r="H2" s="606"/>
      <c r="I2" s="606"/>
      <c r="J2" s="606"/>
      <c r="K2" s="606"/>
      <c r="L2" s="606"/>
      <c r="M2" s="606"/>
      <c r="N2" s="606"/>
      <c r="O2" s="26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
      <c r="A3"/>
      <c r="B3" s="219" t="str">
        <f>+'Introducción de datos'!G8</f>
        <v>Seleccionar</v>
      </c>
      <c r="C3" s="596" t="str">
        <f>+'Introducción de datos'!I8</f>
        <v>Seleccionar</v>
      </c>
      <c r="D3" s="596"/>
      <c r="E3" s="440"/>
      <c r="F3" s="440"/>
      <c r="G3" s="440"/>
      <c r="H3" s="440"/>
      <c r="I3" s="440"/>
      <c r="J3" s="440"/>
      <c r="K3" s="440"/>
      <c r="L3" s="219" t="str">
        <f>+'Introducción de datos'!B16</f>
        <v>Periodo:</v>
      </c>
      <c r="M3" s="220" t="str">
        <f>+'Introducción de datos'!C16</f>
        <v>P4</v>
      </c>
      <c r="N3" s="220"/>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4">
      <c r="A4"/>
      <c r="B4" s="219" t="str">
        <f>+'Introducción de datos'!B12</f>
        <v>Ultima calificación:</v>
      </c>
      <c r="C4" s="632" t="str">
        <f>+'Introducción de datos'!C12</f>
        <v>A2</v>
      </c>
      <c r="D4" s="632"/>
      <c r="E4" s="597" t="str">
        <f>+'Introducción de datos'!C8</f>
        <v>PLAN  INTERNACIONAL</v>
      </c>
      <c r="F4" s="597"/>
      <c r="G4" s="597"/>
      <c r="H4" s="597"/>
      <c r="I4" s="597"/>
      <c r="J4" s="597"/>
      <c r="K4" s="597"/>
      <c r="L4" s="219" t="str">
        <f>+'Introducción de datos'!D16</f>
        <v>Desde:</v>
      </c>
      <c r="M4" s="221">
        <f>+'Introducción de datos'!E16</f>
        <v>43101</v>
      </c>
      <c r="N4" s="221"/>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c r="B5" s="219"/>
      <c r="C5" s="219"/>
      <c r="D5" s="222"/>
      <c r="E5" s="597" t="str">
        <f>+'Introducción de datos'!G4</f>
        <v>INNOVANDO SERVICIOS, REDUCIENDO RIESGOS, RENOVANDO VIDAS EN EL SALVADOR</v>
      </c>
      <c r="F5" s="597"/>
      <c r="G5" s="597"/>
      <c r="H5" s="597"/>
      <c r="I5" s="597"/>
      <c r="J5" s="597"/>
      <c r="K5" s="597"/>
      <c r="L5" s="219" t="str">
        <f>+'Introducción de datos'!F16</f>
        <v>Hasta:</v>
      </c>
      <c r="M5" s="221">
        <f>+'Introducción de datos'!G16</f>
        <v>43465</v>
      </c>
      <c r="N5" s="22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c r="B6" s="65"/>
      <c r="C6" s="219"/>
      <c r="D6" s="222"/>
      <c r="E6" s="666" t="s">
        <v>305</v>
      </c>
      <c r="F6" s="666"/>
      <c r="G6" s="666"/>
      <c r="H6" s="666"/>
      <c r="I6" s="666"/>
      <c r="J6" s="666"/>
      <c r="K6" s="66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5" customHeight="1">
      <c r="B7" s="267"/>
      <c r="C7" s="267"/>
      <c r="D7" s="267"/>
      <c r="E7" s="267"/>
      <c r="F7" s="267"/>
      <c r="G7" s="267"/>
      <c r="H7" s="267"/>
      <c r="I7" s="267"/>
      <c r="J7" s="267"/>
      <c r="K7" s="267"/>
      <c r="L7" s="268"/>
      <c r="M7" s="268"/>
      <c r="N7" s="269"/>
    </row>
    <row r="8" spans="1:256" ht="21" customHeight="1">
      <c r="B8" s="667" t="s">
        <v>0</v>
      </c>
      <c r="C8" s="667"/>
      <c r="D8" s="667"/>
      <c r="E8" s="667"/>
      <c r="F8" s="667"/>
      <c r="G8" s="667"/>
      <c r="H8" s="667"/>
      <c r="I8" s="667"/>
      <c r="J8" s="667"/>
      <c r="K8" s="667"/>
      <c r="L8" s="667"/>
      <c r="M8" s="667"/>
      <c r="N8" s="667"/>
    </row>
    <row r="9" spans="1:256" ht="3.75" customHeight="1">
      <c r="B9" s="267"/>
      <c r="C9" s="267"/>
      <c r="D9" s="267"/>
      <c r="E9" s="267"/>
      <c r="F9" s="267"/>
      <c r="G9" s="267"/>
      <c r="H9" s="267"/>
      <c r="I9" s="267"/>
      <c r="J9" s="267"/>
      <c r="K9" s="267"/>
      <c r="L9" s="268"/>
      <c r="M9" s="268"/>
      <c r="N9" s="269"/>
    </row>
    <row r="10" spans="1:256" s="270" customFormat="1" ht="25.5" customHeight="1">
      <c r="B10" s="668" t="s">
        <v>1</v>
      </c>
      <c r="C10" s="668"/>
      <c r="D10" s="669" t="s">
        <v>304</v>
      </c>
      <c r="E10" s="669"/>
      <c r="F10" s="669"/>
      <c r="G10" s="669"/>
      <c r="H10" s="271"/>
      <c r="I10" s="669" t="s">
        <v>305</v>
      </c>
      <c r="J10" s="669"/>
      <c r="K10" s="669"/>
      <c r="L10" s="669"/>
      <c r="M10" s="669"/>
      <c r="N10" s="669"/>
    </row>
    <row r="11" spans="1:256" s="270" customFormat="1" ht="28.5" customHeight="1">
      <c r="B11" s="272" t="s">
        <v>2</v>
      </c>
      <c r="C11" s="273"/>
      <c r="D11" s="672" t="str">
        <f>IF(ISBLANK(Financiamiento!C9),"",(Financiamiento!C9))</f>
        <v>Durante la subvencion SLV-H-PLAN 2017-2018, el RP Plan recibió desembolsos directamente del FM por $ 6,261,111.70, de los cuales $ 2,025,719.70 fueron recibidos en el año 2018, adicionalmente el FM transfirió directamente $ 38,287.89 a WAMBO por compras de pruebas capilares y traslado $ 262,723.06 correspondiente al saldo de caja determinado al cierre de la subvención 2014-2016 el cual además incluía intereses.
Por lo anteriormente descrito, La diferencia entre el presupuesto de la subvención y el total desembolsado asciende a $ 439,356.35; sobre dicho monto no desembolsado Plan solicitó $ 326,842.96 como presupuesto para ejecución de un plan de cierre para la referida subvención, por lo que se puede concluir que al final de la subvención 2017-2018 quedará un remanente no desembolsado de $ 112,513.39 lo que representara un 1.61%</v>
      </c>
      <c r="E11" s="672"/>
      <c r="F11" s="672"/>
      <c r="G11" s="672"/>
      <c r="H11" s="274"/>
      <c r="I11" s="673"/>
      <c r="J11" s="673"/>
      <c r="K11" s="673"/>
      <c r="L11" s="673"/>
      <c r="M11" s="673"/>
      <c r="N11" s="673"/>
    </row>
    <row r="12" spans="1:256" s="270" customFormat="1" ht="27.75" customHeight="1">
      <c r="B12" s="275" t="s">
        <v>3</v>
      </c>
      <c r="C12" s="276"/>
      <c r="D12" s="672" t="str">
        <f>IF(ISBLANK(Financiamiento!C24),"",(Financiamiento!C24))</f>
        <v>En el módulo de M&amp;E se tiene un avance del 97.64%, con relación al presupuesto aprobado.
Para los módulos HSH&amp;TRANS, se observa un avance del 93.60% la diferencia esta distribuida entre compromisos pendientes de pago al 31/12/2018 
Para el módulo de TSF, se observa una sub ejecución del 16.18% la cual se ha generado principalmente porque presupuestariamente se dejo en ese módulo la adquisicón de productos de salud que finalmente no se realizo por contar con existencias suficientes en bodega principal del RP Plan para cubrir las necesidades de la subvención.
Para el módulo de Cuidado y Tratamiento se observa un avance del 97.22% el monto remanente en este módulo conforma parte de la economia al cierre del año 2018.</v>
      </c>
      <c r="E12" s="672"/>
      <c r="F12" s="672"/>
      <c r="G12" s="672"/>
      <c r="H12" s="274"/>
      <c r="I12" s="674"/>
      <c r="J12" s="674"/>
      <c r="K12" s="674"/>
      <c r="L12" s="674"/>
      <c r="M12" s="674"/>
      <c r="N12" s="674"/>
    </row>
    <row r="13" spans="1:256" s="270" customFormat="1" ht="26.25" customHeight="1">
      <c r="B13" s="275" t="s">
        <v>4</v>
      </c>
      <c r="C13" s="276"/>
      <c r="D13" s="672" t="str">
        <f>IF(ISBLANK(Financiamiento!I9),"",(Financiamiento!I9))</f>
        <v xml:space="preserve">Al cierre del P4, se observa una salida de efectivo neta por gastos acumulados entre el RP y SR de $ 3,486,566.09 de los cuales $ 592,964.61 corresponde a pago de compromisos y obligaciones del año 2017, por lo que se muestra un avance con relación al presupuesto anual del año 2018 del 104.61%.
La sobre ejecución con relación al presupuesto aprobado, fue cubierta con fondos que fueron recalendarizados del presupuesto del año 2017 para ser utilizados en el año 2018. 
De manera general, se observa una salida de efectivo por gastos acumulados para los años 2017 y 2018 por $ 6,268,182.03 lo que representa una ejecución del 89.53% con relación al presupuesto de la subvención, adicionalmente al cierre del año 2018 se reportaron $ 198,655.68 como compromisos pendientes de pago, los cuales equivalen al 2.84%; Por lo que al cierre de la subvención 2017-2018 se espera una ejecución final del 92.37% con relación al presupuesto aprobado.
El saldo de caja al 31 de diciembre es de $ 347,736.13 distribuido entre el RP y SR.
Importante mencionar que se incluyen en la gráfica $ 326,842.96 los cuales corresponden a presupuesto de plan de cierre de la subvención 2017-2018.
</v>
      </c>
      <c r="E13" s="672"/>
      <c r="F13" s="672"/>
      <c r="G13" s="672"/>
      <c r="H13" s="274"/>
      <c r="I13" s="675"/>
      <c r="J13" s="675"/>
      <c r="K13" s="675"/>
      <c r="L13" s="675"/>
      <c r="M13" s="675"/>
      <c r="N13" s="675"/>
    </row>
    <row r="14" spans="1:256" s="270" customFormat="1" ht="28.5" customHeight="1">
      <c r="B14" s="277" t="s">
        <v>5</v>
      </c>
      <c r="C14" s="278"/>
      <c r="D14" s="670" t="str">
        <f>IF(ISBLANK(Financiamiento!I24),"",(Financiamiento!I24))</f>
        <v>En cuanto a la fecha esperada para el envio de informe PUDR, debido a un proceso interno del RP Plan en cuanto a la revisión de la información a ser remitida al FM se tuvo una demora de un (1) día en el envio del informe. 
En relación al desembolso esperado del FM. al cierre del P4, el FM ha desembolsado en los tiempos y de acuerdo a la carta de notificación de decisión anual de desembolsos que nos fue compartida.
En relación a los dias en que el desembolso tarda en llegar a los SR, este se mantiene en los 15 dias esperados, ya que una vez son solventadas todas las observaciones técnicas y financieras se ha procedido a hacer efectivo el desembolso.</v>
      </c>
      <c r="E14" s="670"/>
      <c r="F14" s="670"/>
      <c r="G14" s="670"/>
      <c r="H14" s="274"/>
      <c r="I14" s="671"/>
      <c r="J14" s="671"/>
      <c r="K14" s="671"/>
      <c r="L14" s="671"/>
      <c r="M14" s="671"/>
      <c r="N14" s="671"/>
    </row>
    <row r="15" spans="1:256" s="270" customFormat="1" ht="4.5" customHeight="1">
      <c r="B15" s="279"/>
      <c r="C15" s="280"/>
      <c r="D15" s="281"/>
      <c r="E15" s="281"/>
      <c r="F15" s="281"/>
      <c r="G15" s="281"/>
      <c r="H15" s="274"/>
      <c r="I15" s="282"/>
      <c r="J15" s="282"/>
      <c r="K15" s="282"/>
      <c r="L15" s="282"/>
      <c r="M15" s="282"/>
      <c r="N15" s="282"/>
    </row>
    <row r="16" spans="1:256" ht="21" customHeight="1">
      <c r="B16" s="667" t="s">
        <v>6</v>
      </c>
      <c r="C16" s="667"/>
      <c r="D16" s="667"/>
      <c r="E16" s="667"/>
      <c r="F16" s="667"/>
      <c r="G16" s="667"/>
      <c r="H16" s="667"/>
      <c r="I16" s="667"/>
      <c r="J16" s="667"/>
      <c r="K16" s="667"/>
      <c r="L16" s="667"/>
      <c r="M16" s="667"/>
      <c r="N16" s="667"/>
    </row>
    <row r="17" spans="2:14" s="270" customFormat="1" ht="3.75" customHeight="1">
      <c r="B17" s="283"/>
      <c r="C17" s="284"/>
      <c r="D17" s="285"/>
      <c r="E17" s="286"/>
      <c r="F17" s="287"/>
      <c r="G17" s="287"/>
      <c r="H17" s="288"/>
      <c r="I17" s="289"/>
      <c r="J17" s="290"/>
      <c r="K17" s="291"/>
      <c r="L17" s="292"/>
      <c r="M17" s="293"/>
      <c r="N17" s="294"/>
    </row>
    <row r="18" spans="2:14" s="270" customFormat="1" ht="22.5" customHeight="1">
      <c r="B18" s="680" t="s">
        <v>303</v>
      </c>
      <c r="C18" s="680"/>
      <c r="D18" s="681" t="s">
        <v>304</v>
      </c>
      <c r="E18" s="681"/>
      <c r="F18" s="681"/>
      <c r="G18" s="681"/>
      <c r="H18" s="271"/>
      <c r="I18" s="682" t="s">
        <v>305</v>
      </c>
      <c r="J18" s="682"/>
      <c r="K18" s="682"/>
      <c r="L18" s="682"/>
      <c r="M18" s="682"/>
      <c r="N18" s="682"/>
    </row>
    <row r="19" spans="2:14" s="270" customFormat="1" ht="21.9" customHeight="1">
      <c r="B19" s="295" t="s">
        <v>306</v>
      </c>
      <c r="C19" s="296"/>
      <c r="D19" s="676" t="str">
        <f>IF(ISBLANK(Gestión!C8),"",(Gestión!C8))</f>
        <v>No existieron condiciones precedentes</v>
      </c>
      <c r="E19" s="676"/>
      <c r="F19" s="676"/>
      <c r="G19" s="676"/>
      <c r="H19" s="297"/>
      <c r="I19" s="677"/>
      <c r="J19" s="677"/>
      <c r="K19" s="677"/>
      <c r="L19" s="677"/>
      <c r="M19" s="677"/>
      <c r="N19" s="677"/>
    </row>
    <row r="20" spans="2:14" ht="24.75" customHeight="1">
      <c r="B20" s="298" t="s">
        <v>307</v>
      </c>
      <c r="C20" s="299"/>
      <c r="D20" s="678" t="str">
        <f>IF(ISBLANK(Gestión!I8),"",(Gestión!I8))</f>
        <v>Los recursos estan contratados desde el primer semestre de la subvención</v>
      </c>
      <c r="E20" s="678" t="e">
        <f>+'Introducción de datos'!D77/'Introducción de datos'!G77</f>
        <v>#DIV/0!</v>
      </c>
      <c r="F20" s="678" t="e">
        <f>+('Introducción de datos'!E77+'Introducción de datos'!F77)/'Introducción de datos'!G77</f>
        <v>#DIV/0!</v>
      </c>
      <c r="G20" s="678"/>
      <c r="H20" s="297"/>
      <c r="I20" s="679"/>
      <c r="J20" s="679"/>
      <c r="K20" s="679"/>
      <c r="L20" s="679"/>
      <c r="M20" s="679"/>
      <c r="N20" s="679"/>
    </row>
    <row r="21" spans="2:14" ht="29.25" customHeight="1">
      <c r="B21" s="300" t="s">
        <v>7</v>
      </c>
      <c r="C21" s="299"/>
      <c r="D21" s="678" t="str">
        <f>IF(ISBLANK(Gestión!C16),"",(Gestión!C16))</f>
        <v>8 SR contratados para el año 2018.</v>
      </c>
      <c r="E21" s="678"/>
      <c r="F21" s="678"/>
      <c r="G21" s="678"/>
      <c r="H21" s="297"/>
      <c r="I21" s="679"/>
      <c r="J21" s="679"/>
      <c r="K21" s="679"/>
      <c r="L21" s="679"/>
      <c r="M21" s="679"/>
      <c r="N21" s="679"/>
    </row>
    <row r="22" spans="2:14" ht="26.25" customHeight="1">
      <c r="B22" s="300" t="s">
        <v>8</v>
      </c>
      <c r="C22" s="299"/>
      <c r="D22" s="678" t="str">
        <f>IF(ISBLANK(Gestión!I16),"",(Gestión!I16))</f>
        <v>Los 8 SR presentaron sus informes de ejecución técnica y financiera, correspondiente al primer semestre.</v>
      </c>
      <c r="E22" s="678"/>
      <c r="F22" s="678"/>
      <c r="G22" s="678"/>
      <c r="H22" s="297"/>
      <c r="I22" s="679"/>
      <c r="J22" s="679"/>
      <c r="K22" s="679"/>
      <c r="L22" s="679"/>
      <c r="M22" s="679"/>
      <c r="N22" s="679"/>
    </row>
    <row r="23" spans="2:14" ht="24.75" customHeight="1">
      <c r="B23" s="300" t="s">
        <v>9</v>
      </c>
      <c r="C23" s="299"/>
      <c r="D23" s="678" t="str">
        <f>IF(ISBLANK(Gestión!C27),"",(Gestión!C27))</f>
        <v xml:space="preserve">La adquisición de producto de salud son realizadas por el RP, no se han tenido dificultades en las adquisiciones. </v>
      </c>
      <c r="E23" s="678"/>
      <c r="F23" s="678"/>
      <c r="G23" s="678"/>
      <c r="H23" s="297"/>
      <c r="I23" s="679"/>
      <c r="J23" s="679"/>
      <c r="K23" s="679"/>
      <c r="L23" s="679"/>
      <c r="M23" s="679"/>
      <c r="N23" s="679"/>
    </row>
    <row r="24" spans="2:14" ht="27" customHeight="1">
      <c r="B24" s="301" t="s">
        <v>10</v>
      </c>
      <c r="C24" s="302"/>
      <c r="D24" s="683" t="str">
        <f>IF(ISBLANK(Gestión!I27),"",(Gestión!I27))</f>
        <v xml:space="preserve"> Se proyecta que las existencias al 31 de diciembre de 2018 son suficientes para cubrir las necesidades de insumos para los años 2019-2021 por lo que el presupuesto de la subvención SLV-H-MoH en lo que corresponde a Plan como organización SR, no incluye compra de insumos de salud, a excepción de pruebas rapidas capilares las cuales por su corta fecha de vencimiento serán adquiridas anualmente.</v>
      </c>
      <c r="E24" s="683"/>
      <c r="F24" s="683"/>
      <c r="G24" s="683"/>
      <c r="H24" s="297"/>
      <c r="I24" s="684"/>
      <c r="J24" s="684"/>
      <c r="K24" s="684"/>
      <c r="L24" s="684"/>
      <c r="M24" s="684"/>
      <c r="N24" s="684"/>
    </row>
    <row r="25" spans="2:14" ht="4.5" customHeight="1">
      <c r="B25" s="303"/>
      <c r="C25" s="304"/>
      <c r="D25" s="305"/>
      <c r="E25" s="306"/>
      <c r="F25" s="307"/>
      <c r="G25" s="307"/>
      <c r="H25" s="271"/>
      <c r="I25" s="306"/>
      <c r="J25" s="308"/>
      <c r="K25" s="291"/>
      <c r="L25" s="292"/>
      <c r="M25" s="293"/>
      <c r="N25" s="294"/>
    </row>
    <row r="26" spans="2:14" ht="21" customHeight="1">
      <c r="B26" s="667" t="s">
        <v>11</v>
      </c>
      <c r="C26" s="667"/>
      <c r="D26" s="667"/>
      <c r="E26" s="667"/>
      <c r="F26" s="667"/>
      <c r="G26" s="667"/>
      <c r="H26" s="667"/>
      <c r="I26" s="667"/>
      <c r="J26" s="667"/>
      <c r="K26" s="667"/>
      <c r="L26" s="667"/>
      <c r="M26" s="667"/>
      <c r="N26" s="667"/>
    </row>
    <row r="27" spans="2:14" ht="3.75" customHeight="1">
      <c r="B27" s="303"/>
      <c r="C27" s="304"/>
      <c r="D27" s="305"/>
      <c r="E27" s="306"/>
      <c r="F27" s="307"/>
      <c r="G27" s="307"/>
      <c r="H27" s="271"/>
      <c r="I27" s="306"/>
      <c r="J27" s="308"/>
      <c r="K27" s="291"/>
      <c r="L27" s="292"/>
      <c r="M27" s="293"/>
      <c r="N27" s="294"/>
    </row>
    <row r="28" spans="2:14" ht="21.75" customHeight="1">
      <c r="B28" s="689" t="s">
        <v>12</v>
      </c>
      <c r="C28" s="689"/>
      <c r="D28" s="690" t="s">
        <v>304</v>
      </c>
      <c r="E28" s="690"/>
      <c r="F28" s="690"/>
      <c r="G28" s="690"/>
      <c r="H28" s="271"/>
      <c r="I28" s="690" t="s">
        <v>305</v>
      </c>
      <c r="J28" s="690"/>
      <c r="K28" s="690"/>
      <c r="L28" s="690"/>
      <c r="M28" s="690"/>
      <c r="N28" s="690"/>
    </row>
    <row r="29" spans="2:14" ht="29.25" customHeight="1">
      <c r="B29" s="309" t="s">
        <v>13</v>
      </c>
      <c r="C29" s="310"/>
      <c r="D29" s="685" t="str">
        <f>IF(ISBLANK(Programatico!C9),"",(Programatico!C9))</f>
        <v>El porcentaje reportado corresponde a las personas HSH alcanzadas con paquete básico durante los años 2017 (P2) y 2018 (P4), de acuerdo con  el desarrollo de la metodologia de prevención combinada.</v>
      </c>
      <c r="E29" s="685"/>
      <c r="F29" s="685"/>
      <c r="G29" s="685"/>
      <c r="H29" s="297"/>
      <c r="I29" s="686"/>
      <c r="J29" s="686"/>
      <c r="K29" s="686"/>
      <c r="L29" s="686"/>
      <c r="M29" s="686"/>
      <c r="N29" s="686"/>
    </row>
    <row r="30" spans="2:14" ht="21.9" customHeight="1">
      <c r="B30" s="311" t="s">
        <v>14</v>
      </c>
      <c r="C30" s="312"/>
      <c r="D30" s="687" t="str">
        <f>IF(ISBLANK(Programatico!G9),"",(Programatico!G9))</f>
        <v xml:space="preserve">El porcentaje reportado corresponde a las personas TS alcanzadas con paquete basico durante los años 2017 (P2) y 2018 (P4), de acuerdo con  el desarrollo de la metodologia de prevención combinada. </v>
      </c>
      <c r="E30" s="687"/>
      <c r="F30" s="687"/>
      <c r="G30" s="687"/>
      <c r="H30" s="297"/>
      <c r="I30" s="688"/>
      <c r="J30" s="688"/>
      <c r="K30" s="688"/>
      <c r="L30" s="688"/>
      <c r="M30" s="688"/>
      <c r="N30" s="688"/>
    </row>
    <row r="31" spans="2:14" ht="21.9" customHeight="1">
      <c r="B31" s="311" t="s">
        <v>15</v>
      </c>
      <c r="C31" s="312"/>
      <c r="D31" s="687" t="str">
        <f>IF(ISBLANK(Programatico!M9),"",(Programatico!M9))</f>
        <v>El porcentaje reportado corresponde a las personas TRANS alcanzadas con paquete basico durante el los años 2017 (P2) y 2018 (P4), de acuerdo con  el desarrollo de la metodologia de prevención combinada.</v>
      </c>
      <c r="E31" s="687"/>
      <c r="F31" s="687"/>
      <c r="G31" s="687"/>
      <c r="H31" s="297"/>
      <c r="I31" s="688"/>
      <c r="J31" s="688"/>
      <c r="K31" s="688"/>
      <c r="L31" s="688"/>
      <c r="M31" s="688"/>
      <c r="N31" s="688"/>
    </row>
    <row r="32" spans="2:14" ht="21.9" customHeight="1">
      <c r="B32" s="313" t="s">
        <v>16</v>
      </c>
      <c r="C32" s="312"/>
      <c r="D32" s="691" t="str">
        <f>IF(ISBLANK(Programatico!L20),"",(Programatico!L20))</f>
        <v xml:space="preserve">El progreso alcanzado durante el   año 2018 permitió lograr las metas programáticas previstas, las cuales incluyeron  el ingreso de personas con CUIs registrados en el sistema SIGPRO.  Para el periodo reportado se alcanza un 99% de cumplimiento Enero-Diciembre 2018, obteniendo de cobertura 18,023 HSH.
Las personas alcanzadas  en este paquete básico fueron intervenidas a través de un paquete  de prevención que incluye:
1- Una Actividad de cambio de comportamiento.(abordajes cara a cara relacionados con la prevención del VIH y enfasis en la toma voluntaria para VIH).
2- La entrega de insumos se realizo segun lo estipulado en el marco de desempeño (96 condones masculinos, 7 tubos de lubricantes y 26 sobres de lubricante en sachet) para el cumplimiento de la meta y todas las entregas de los insumos fueron acompañadas de sesiones educativas.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Sumado a todo lo anterior se establecieron coordinaciones con las diferentes regiones de salud para facilitar el acceso de las poblaciones a los servicios de salud, se visitaron los lugares de concentración de usuarios HSH lo que facilitó el cumplimiento de la meta programática. Por otra parte, para acercar se los servicios a usuarios que no se podían acceder en horarios convencionales se ofrecieron servicios horarios accesibles para los usuarios, otro accion que contribuyo al logro de este indicador fue fortalecimiento de la vinculación de usuarios, realizandose coordinaciones efectivas con los médicos responsables de las unidades de salud o VICITS y navegadores de la Universidad del Valle de Guatemala,  para la recepción y atención inmediata de los usuarios. Asi mismo, estrategicamente se coordinó con algunas unidades de salud para el desarrollar jornadas de toma de prueba de VIH extramurales, lo que permitio realizar pruebas de VIH in-situ, esfuerzo que fue posible gracias a la coordinaciones con el Laboratorio Nacional de Referencia  y Universidad del Valle de Guatemala, para la recepción y procesamiento de muestras de VIH efectivas. Toda la informacion de estos paquetes de informacion esta digitada en nuestro sistema de monitoreo SIGPRO (Sistema Integral de Gestion de Proyectos) y se cuenta ademas, con el respaldo de los formularios correspondientes en fisico de recepcion por cada uno de los usuarios.
</v>
      </c>
      <c r="E32" s="691"/>
      <c r="F32" s="691"/>
      <c r="G32" s="691"/>
      <c r="H32" s="297"/>
      <c r="I32" s="688"/>
      <c r="J32" s="688"/>
      <c r="K32" s="688"/>
      <c r="L32" s="688"/>
      <c r="M32" s="688"/>
      <c r="N32" s="688"/>
    </row>
    <row r="33" spans="2:14" ht="27" customHeight="1">
      <c r="B33" s="313" t="s">
        <v>17</v>
      </c>
      <c r="C33" s="312"/>
      <c r="D33" s="691" t="str">
        <f>IF(ISBLANK(Programatico!L21),"",(Programatico!L21))</f>
        <v>El progreso alcanzado durante el   año 2018 permitió lograr las metas programáticas previstas, las cuales incluyeron  el ingreso de personas con CUIs registrados en el sistema SIGPRO.  Para el periodo reportado se alcanza un 99% de cumplimiento Enero-Diciembre 2018, obteniendo de cobertura 9622 MTS.
Las personas alcanzadas  en este paquete básico fueron intervenidas a través de un paquete  de prevención que incluye:
1- Una Actividad de cambio de comportamiento.(abordajes cara a cara relacionados con la prevención del VIH y enfasis en la toma voluntaria para VIH).
2-En cada actividad realizada con el SR se entrego el kit de prevencion con insumos medicos, los insumos se entregaron en las siguientes cantidades: 266 condones masculinos, 15 tubos de lubricantes, 9 condones femeninos y 26 sobres de lubricante, cantidades reflejadas en el marco de desempeño.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Sumado a todo lo anterior, se establecieron coordinaciones con las diferentes regiones de salud para facilitar el acceso de las poblaciones a los servicios de salud, se coordinó en conjunto con las Unidades Comunitarias de Salud Familiar y VICITS a nivel nacional para el acompañamiento de usuarias en referencias efectivas. Coordinación con UCSF para el apoyo en el indicador de referencias efectivas.  Debido al nivel de violencia que el país atraviesa, se hizo un nuevo mapeo para considerar nuevas zonas de trabajo y hacer nuevos contactos para el cumplimiento de los indicadores.  Coordinaciones con el Laboratorio Nacional de Referencia para la recepción y procesamiento de muestras de VIH efectivas, esto con el apoyo de las unidades móviles del ministerio de salud. Coordinación con otros actores claves a nivel de gobiernos locales para la realización de jornadas de testeo a través de las unidades móviles de Plan. Toda la informacion de estos paquetes de informacion esta digitada en nuestro sistema de monitoreo SIGPRO (Sistema Integral de Gestion de Proyectos) y  se cuenta ademas, con el respaldo de los formularios correspondientes en fisico de recepcion por cada una de los usuarias.</v>
      </c>
      <c r="E33" s="691"/>
      <c r="F33" s="691"/>
      <c r="G33" s="691"/>
      <c r="H33" s="297"/>
      <c r="I33" s="688"/>
      <c r="J33" s="688"/>
      <c r="K33" s="688"/>
      <c r="L33" s="688"/>
      <c r="M33" s="688"/>
      <c r="N33" s="688"/>
    </row>
    <row r="34" spans="2:14" ht="21.9" customHeight="1">
      <c r="B34" s="313" t="s">
        <v>18</v>
      </c>
      <c r="C34" s="312"/>
      <c r="D34" s="691" t="str">
        <f>IF(ISBLANK(Programatico!L22),"",(Programatico!L22))</f>
        <v>El progreso alcanzado durante el   año 2018 permitió lograr las metas programáticas previstas, las cuales incluyeron  el ingreso de personas con CUIs registrados en el sistema SIGPRO.  Para el periodo reportado se alcanza un 100% de cumplimiento Enero-Diciembre 2018, obteniendo de cobertura 1604 Mujeres Trans.
Las personas alcanzadas  en este paquete básico fueron intervenidas a través de un paquete  de prevención que incluye:
1- Una Actividad de cambio de comportamiento.(abordajes cara a cara relacionados con la prevención del VIH y enfasis en la toma voluntaria para VIH).
2- En cada actividad realizada con el SR se entrego el kit de prevencion con insumos medicos, los insumos se entregaron en las siguientes cantidades: 144 condones masculinos y 15 tubos de lubricantes, cantidades reflejadas en el marco de desempeño.
3- Referencias a pruebas de VIH.  Todos los HSH se les brindan la oportunidad de analizar la importancia de la toma de prueba voluntaria de VIH, se refirieron a las Unidades móviles de prevención  y/o a las clínicas VICITS. Así también que el 100% de las personas a las que se les tomo prueba para VIH con Unidades moviles de Plan, se les refirió a clínica VICITS   para la toma de otras pruebas de  otras infecciones de transmisión sexual. 
- Este porcentaje  alcanzado incluye la realización de  diversas estrategias para acercarse a las poblaciones claves,  con temas claves en donde  se oferto prueba rápida para VIH con pre y post consejería  en Unidades moviles de Plan, asi tambien  la promocion de los servicios de las clinicas VICITS y acompañamiento de los Usuarios para la toma de prueba de VIH en los establecimeintos de salud del MINSAL que cuenten con laboratorio clinico o VICITS.
La coordinación efectiva del RP Plan  con el nivel central ( Gerencia Programa, Clínicas VICITS , Sub-comisión Nacional de Monitoreo y Evaluación,  Laboratorio Nacional de referencia , Junta de Vigilancia de la Profesión de Laboratorio Clínico) y con el nivel local ( Equipo multidisciplinario de clínicas VICITS)  permitió fortalecer la promoción de los diferentes servicios de la clínicas VICITS, así como las referencia de los usuarios desde los CCPI a estas   Clínicas. 
- Como parte del paquete básico, la entrega de insumos se realizó  de acuerdo al análisis solicitado y estipulado para el cumplimiento de la meta, y todas las entregas de estos insumos fueron dentro de actividades educativas.
Sumado a todo lo anterior, se establecieron coordinaciones con las diferentes regiones de salud para facilitar el acceso de las poblaciones a los servicios de salud, se coordinó en conjunto con las Unidades Comunitarias de Salud Familiar y VICITS a nivel nacional para el acompañamiento de usuarias en referencias efectivas. El acompañamiento de los equipo de Plan en cada actividad con mujeres Trans facilitó el alcance de la meta en un tiempo menor al comprometido según POA. La identificación de mujeres trans lideresas de diferentes zonas de trabajo facilitó el acercamiento de las educadoras y equipo de Plan a mas usuarias. La visita casa por casa de las mujeres trans, permite un mayor acercamiento a la población, facilitó el acceso a los servicios de prevencion para el VIH y por ende el cumplimiento de la meta. La realización de rutas estratégicas para la optimización del recurso de unidad móvil permitió hacer mayor cantidad de abordajes diariamente, gracias al mapeo previo de las zonas. Para el año 2018 se alcanzaron un total de 906 referencias efectivas en usuarias de la poblacion Trans, desde los CCPI a las clinicas VICITS y otras USCF, las cuales fueron emitidas y acompañadas por los equipos de campo de los socios implementadores hacia los sevicios nacionales de salud, Clinicas VICITS y otras USCF con laboratorio para la toma de prueba de VIH y otras ITS. Toda la informacion de estos paquetes de informacion esta digitada en nuestro sistema de monitoreo SIGPRO (Sistema Integral de Gestion de Proyectos) y se cuenta ademas, con el respaldo de los formularios correspondientes en fisico de recepcion por cada uno de los usuarias.</v>
      </c>
      <c r="E34" s="691"/>
      <c r="F34" s="691"/>
      <c r="G34" s="691"/>
      <c r="H34" s="297"/>
      <c r="I34" s="688"/>
      <c r="J34" s="688"/>
      <c r="K34" s="688"/>
      <c r="L34" s="688"/>
      <c r="M34" s="688"/>
      <c r="N34" s="688"/>
    </row>
    <row r="35" spans="2:14" ht="21.9" customHeight="1">
      <c r="B35" s="313" t="s">
        <v>19</v>
      </c>
      <c r="C35" s="314"/>
      <c r="D35" s="691" t="str">
        <f>IF(ISBLANK(Programatico!L23),"",(Programatico!L23))</f>
        <v xml:space="preserve">Los datos que se muestran corresponden al cumplimiento como país del año 2018 del indicador de toma de prueba para VIH en Población HSH y que conoce su resultado, el cual es un indicador compartido entre Plan, MINSAL y PEPFAR; por lo que el avance reportado es un avance de Plan Internacional y sus socios implementadores. Como denominador para este periodo se tiene una meta de 8117 con lo que se tiene un cumplimiento registrado en el SUMEVE de 7979 de post-consejerias lo que corresponde al 98% de la meta del año, sin embargo, adicionalmente hay 123 usuarios HSH que debido a su perfil de riesgo accesaron a prueba de VIH dos veces en el año y a quienes se les brindo post consejeria.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El 100 % de la informacion de testeo esta digitada en nuestro sistema de monitoreo SIGPRO (Sistema Integral de Gestion de Proyectos) y en el SUMEVE, se cuenta ademas, con el respaldo de los formularios correspondientes en fisico (FVIH - 01) de recepcion por cada uno de los usuarios.
</v>
      </c>
      <c r="E35" s="691"/>
      <c r="F35" s="691"/>
      <c r="G35" s="691"/>
      <c r="H35" s="297"/>
      <c r="I35" s="688"/>
      <c r="J35" s="688"/>
      <c r="K35" s="688"/>
      <c r="L35" s="688"/>
      <c r="M35" s="688"/>
      <c r="N35" s="688"/>
    </row>
    <row r="36" spans="2:14" ht="21.9" customHeight="1">
      <c r="B36" s="313" t="s">
        <v>20</v>
      </c>
      <c r="C36" s="314"/>
      <c r="D36" s="691" t="str">
        <f>IF(ISBLANK(Programatico!L24),"",(Programatico!L24))</f>
        <v xml:space="preserve">Los datos que se muestran corresponden al cumplimiento como país del año 2018 del indicador de toma de prueba para VIH en Población MTS y que conoce su resultado, el cual es un indicador compartido entre Plan, MINSAL y PEPFAR; por lo que el avance reportado es un avance de Plan Internacional y sus socios implementadores. Como denominador para este periodo se tiene una meta de 4370 con lo que se tiene un cumplimiento registrado en el SUMEVE de 4354  de post-consejerias lo que corresponde al 99.6% de la meta del año, sin embargo, adicionalmente hay 15 usuarias MTS que debido a su perfil de riesgo accesaron a prueba de VIH dos veces en el año y a quienes se les brindo post consejeria.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El 100 % de la informacion de testeo esta digitada en nuestro sistema de monitoreo SIGPRO (Sistema Integral de Gestion de Proyectos) y en el SUMEVE, se cuenta ademas, con el respaldo de los formularios correspondientes en fisico (FVIH - 01) de recepcion por cada uno de los usuarios.
</v>
      </c>
      <c r="E36" s="691"/>
      <c r="F36" s="691"/>
      <c r="G36" s="691"/>
      <c r="H36" s="297"/>
      <c r="I36" s="688"/>
      <c r="J36" s="688"/>
      <c r="K36" s="688"/>
      <c r="L36" s="688"/>
      <c r="M36" s="688"/>
      <c r="N36" s="688"/>
    </row>
    <row r="37" spans="2:14" ht="21.9" customHeight="1">
      <c r="B37" s="313" t="s">
        <v>21</v>
      </c>
      <c r="C37" s="314"/>
      <c r="D37" s="691" t="str">
        <f>IF(ISBLANK(Programatico!L25),"",(Programatico!L25))</f>
        <v>Los datos que se muestran corresponden al cumplimiento como país del año 2018 del indicador de toma de prueba para VIH en Población Trans y que conoce su resultado, el cual es un indicador compartido entre Plan y MINSAL; por lo que el avance reportado es un avance de Plan Internacional y sus socios implementadores. Como denominador para este periodo se tiene una meta de 676 con lo que se tiene un cumplimiento registrado en el SUMEVE de 598 de post-consejerias lo que corresponde al 88.4 % de la meta del año, sin embargo, adicionalmente hay 110 usuarias trans que debido a su perfil de riesgo accesaron a prueba de VIH dos veces en el año y a quienes se les brindo post consejeria. Este logro se debe al esfuerzo realizado por PLAN internacional y sus socios con sus actividades a través de sus Unidades Móviles y a la coordinación de los diferentes CCPI con las UCSF quienes han realizado múltiples actividades extramurales en conjunto y han dado atención a todas las referencias, las cuales por el esfuerzo de ambas partes han terminado en efectivas. El 100 % de la informacion de testeo esta digitada en nuestro sistema de monitoreo SIGPRO (Sistema Integral de Gestion de Proyectos) y en el SUMEVE, se cuenta ademas, con el respaldo de los formularios correspondientes en fisico (FVIH - 01) de recepcion por cada uno de los usuarios.</v>
      </c>
      <c r="E37" s="691"/>
      <c r="F37" s="691"/>
      <c r="G37" s="691"/>
      <c r="H37" s="297"/>
      <c r="I37" s="688"/>
      <c r="J37" s="688"/>
      <c r="K37" s="688"/>
      <c r="L37" s="688"/>
      <c r="M37" s="688"/>
      <c r="N37" s="688"/>
    </row>
    <row r="38" spans="2:14" ht="21.9" customHeight="1">
      <c r="B38" s="313" t="s">
        <v>22</v>
      </c>
      <c r="C38" s="314"/>
      <c r="D38" s="691" t="str">
        <f>IF(ISBLANK(Programatico!L26),"",(Programatico!L26))</f>
        <v/>
      </c>
      <c r="E38" s="691"/>
      <c r="F38" s="691"/>
      <c r="G38" s="691"/>
      <c r="H38" s="297"/>
      <c r="I38" s="688"/>
      <c r="J38" s="688"/>
      <c r="K38" s="688"/>
      <c r="L38" s="688"/>
      <c r="M38" s="688"/>
      <c r="N38" s="688"/>
    </row>
    <row r="39" spans="2:14" ht="21.9" customHeight="1">
      <c r="B39" s="313" t="s">
        <v>23</v>
      </c>
      <c r="C39" s="314"/>
      <c r="D39" s="691" t="e">
        <f>IF(ISBLANK(Programatico!#REF!),"",(Programatico!#REF!))</f>
        <v>#REF!</v>
      </c>
      <c r="E39" s="691"/>
      <c r="F39" s="691"/>
      <c r="G39" s="691"/>
      <c r="H39" s="297"/>
      <c r="I39" s="688"/>
      <c r="J39" s="688"/>
      <c r="K39" s="688"/>
      <c r="L39" s="688"/>
      <c r="M39" s="688"/>
      <c r="N39" s="688"/>
    </row>
    <row r="40" spans="2:14" ht="21.9" customHeight="1">
      <c r="B40" s="313" t="s">
        <v>207</v>
      </c>
      <c r="C40" s="314"/>
      <c r="D40" s="691" t="e">
        <f>IF(ISBLANK(Programatico!#REF!),"",(Programatico!#REF!))</f>
        <v>#REF!</v>
      </c>
      <c r="E40" s="691"/>
      <c r="F40" s="691"/>
      <c r="G40" s="691"/>
      <c r="H40" s="297"/>
      <c r="I40" s="688"/>
      <c r="J40" s="688"/>
      <c r="K40" s="688"/>
      <c r="L40" s="688"/>
      <c r="M40" s="688"/>
      <c r="N40" s="688"/>
    </row>
    <row r="41" spans="2:14" ht="21.9" customHeight="1">
      <c r="B41" s="313" t="s">
        <v>208</v>
      </c>
      <c r="C41" s="315"/>
      <c r="D41" s="691" t="e">
        <f>IF(ISBLANK(Programatico!#REF!),"",(Programatico!#REF!))</f>
        <v>#REF!</v>
      </c>
      <c r="E41" s="691"/>
      <c r="F41" s="691"/>
      <c r="G41" s="691"/>
      <c r="H41" s="297"/>
      <c r="I41" s="692"/>
      <c r="J41" s="692"/>
      <c r="K41" s="692"/>
      <c r="L41" s="692"/>
      <c r="M41" s="692"/>
      <c r="N41" s="692"/>
    </row>
  </sheetData>
  <sheetProtection password="CFC9" sheet="1" objects="1" scenarios="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4:G14"/>
    <mergeCell ref="I14:N14"/>
    <mergeCell ref="D11:G11"/>
    <mergeCell ref="I11:N11"/>
    <mergeCell ref="D12:G12"/>
    <mergeCell ref="I12:N12"/>
    <mergeCell ref="D13:G13"/>
    <mergeCell ref="I13:N13"/>
    <mergeCell ref="E6:K6"/>
    <mergeCell ref="B8:N8"/>
    <mergeCell ref="B10:C10"/>
    <mergeCell ref="D10:G10"/>
    <mergeCell ref="I10:N10"/>
    <mergeCell ref="E5:K5"/>
    <mergeCell ref="B2:N2"/>
    <mergeCell ref="C3:D3"/>
    <mergeCell ref="E3:K3"/>
    <mergeCell ref="C4:D4"/>
    <mergeCell ref="E4:K4"/>
  </mergeCells>
  <phoneticPr fontId="71"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33333333333337" right="0.70833333333333337" top="0.74791666666666667" bottom="0.74861111111111112" header="0.51180555555555551" footer="0.31527777777777777"/>
  <pageSetup paperSize="9" scale="57" firstPageNumber="0" orientation="landscape" horizontalDpi="300" verticalDpi="300"/>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7"/>
  </sheetPr>
  <dimension ref="A1:M43"/>
  <sheetViews>
    <sheetView showGridLines="0" zoomScale="70" zoomScaleNormal="70" zoomScaleSheetLayoutView="100" workbookViewId="0">
      <selection activeCell="B14" sqref="B14:E15"/>
    </sheetView>
  </sheetViews>
  <sheetFormatPr baseColWidth="10" defaultColWidth="9.109375" defaultRowHeight="14.4"/>
  <cols>
    <col min="1" max="1" width="4.109375" customWidth="1"/>
    <col min="2" max="2" width="14.5546875" customWidth="1"/>
    <col min="3" max="3" width="12.44140625" customWidth="1"/>
    <col min="4" max="4" width="11.5546875" customWidth="1"/>
    <col min="5" max="5" width="19" customWidth="1"/>
    <col min="6" max="6" width="1.44140625" customWidth="1"/>
    <col min="7" max="7" width="11.44140625" customWidth="1"/>
    <col min="8" max="8" width="9.5546875" customWidth="1"/>
    <col min="9" max="9" width="11.5546875" customWidth="1"/>
    <col min="10" max="10" width="12.5546875" customWidth="1"/>
    <col min="11" max="11" width="10.5546875" customWidth="1"/>
    <col min="12" max="12" width="9.6640625" customWidth="1"/>
  </cols>
  <sheetData>
    <row r="1" spans="1:13" ht="30.75" customHeight="1"/>
    <row r="2" spans="1:13" ht="27.75" customHeight="1">
      <c r="B2" s="606" t="str">
        <f>+"Cuadro de mando:  "&amp;"  "&amp;+'Introducción de datos'!C4&amp;" - "&amp;'Introducción de datos'!G6</f>
        <v>Cuadro de mando:    El Salvador - VIH / SIDA</v>
      </c>
      <c r="C2" s="606"/>
      <c r="D2" s="606"/>
      <c r="E2" s="606"/>
      <c r="F2" s="606"/>
      <c r="G2" s="606"/>
      <c r="H2" s="606"/>
      <c r="I2" s="606"/>
      <c r="J2" s="606"/>
      <c r="K2" s="606"/>
      <c r="L2" s="606"/>
    </row>
    <row r="3" spans="1:13">
      <c r="B3" s="219" t="str">
        <f>+'Introducción de datos'!G8</f>
        <v>Seleccionar</v>
      </c>
      <c r="C3" s="596" t="str">
        <f>+'Introducción de datos'!I8</f>
        <v>Seleccionar</v>
      </c>
      <c r="D3" s="596"/>
      <c r="E3" s="597"/>
      <c r="F3" s="597"/>
      <c r="G3" s="597"/>
      <c r="H3" s="597"/>
      <c r="I3" s="597"/>
      <c r="J3" s="598" t="str">
        <f>+'Introducción de datos'!B16</f>
        <v>Periodo:</v>
      </c>
      <c r="K3" s="598"/>
      <c r="L3" s="220" t="str">
        <f>+'Introducción de datos'!C16</f>
        <v>P4</v>
      </c>
      <c r="M3" s="33"/>
    </row>
    <row r="4" spans="1:13">
      <c r="B4" s="219" t="str">
        <f>+'Introducción de datos'!B12</f>
        <v>Ultima calificación:</v>
      </c>
      <c r="C4" s="693" t="str">
        <f>+'Introducción de datos'!C12</f>
        <v>A2</v>
      </c>
      <c r="D4" s="693"/>
      <c r="E4" s="597" t="str">
        <f>+'Introducción de datos'!C8</f>
        <v>PLAN  INTERNACIONAL</v>
      </c>
      <c r="F4" s="597"/>
      <c r="G4" s="597"/>
      <c r="H4" s="597"/>
      <c r="I4" s="597"/>
      <c r="J4" s="598" t="str">
        <f>+'Introducción de datos'!D16</f>
        <v>Desde:</v>
      </c>
      <c r="K4" s="598"/>
      <c r="L4" s="221" t="s">
        <v>376</v>
      </c>
    </row>
    <row r="5" spans="1:13" ht="18.75" customHeight="1">
      <c r="B5" s="219"/>
      <c r="C5" s="219"/>
      <c r="D5" s="597" t="str">
        <f>+'Introducción de datos'!G4</f>
        <v>INNOVANDO SERVICIOS, REDUCIENDO RIESGOS, RENOVANDO VIDAS EN EL SALVADOR</v>
      </c>
      <c r="E5" s="597"/>
      <c r="F5" s="597"/>
      <c r="G5" s="597"/>
      <c r="H5" s="597"/>
      <c r="I5" s="597"/>
      <c r="J5" s="597"/>
      <c r="K5" s="219" t="str">
        <f>+'Introducción de datos'!F16</f>
        <v>Hasta:</v>
      </c>
      <c r="L5" s="221" t="s">
        <v>377</v>
      </c>
    </row>
    <row r="6" spans="1:13" ht="18">
      <c r="B6" s="65"/>
      <c r="C6" s="219"/>
      <c r="D6" s="222"/>
      <c r="E6" s="599" t="s">
        <v>24</v>
      </c>
      <c r="F6" s="599"/>
      <c r="G6" s="599"/>
      <c r="H6" s="599"/>
      <c r="I6" s="599"/>
    </row>
    <row r="7" spans="1:13" ht="18">
      <c r="E7" s="316"/>
      <c r="F7" s="316"/>
      <c r="G7" s="316"/>
      <c r="H7" s="316"/>
      <c r="I7" s="316"/>
    </row>
    <row r="8" spans="1:13" s="264" customFormat="1" ht="21" customHeight="1">
      <c r="B8" s="317" t="s">
        <v>25</v>
      </c>
      <c r="C8" s="317"/>
      <c r="D8" s="317"/>
      <c r="E8" s="317"/>
      <c r="F8" s="317"/>
      <c r="G8" s="317"/>
      <c r="H8" s="317"/>
      <c r="I8" s="317"/>
      <c r="J8" s="317"/>
      <c r="K8" s="317"/>
      <c r="L8" s="317"/>
    </row>
    <row r="9" spans="1:13" ht="6" customHeight="1">
      <c r="B9" s="318"/>
    </row>
    <row r="10" spans="1:13">
      <c r="B10" s="694"/>
      <c r="C10" s="694"/>
      <c r="D10" s="694"/>
      <c r="E10" s="694"/>
      <c r="F10" s="694"/>
      <c r="G10" s="694"/>
      <c r="H10" s="694"/>
      <c r="I10" s="694"/>
      <c r="J10" s="694"/>
      <c r="K10" s="694"/>
      <c r="L10" s="694"/>
    </row>
    <row r="11" spans="1:13">
      <c r="B11" s="694"/>
      <c r="C11" s="694"/>
      <c r="D11" s="694"/>
      <c r="E11" s="694"/>
      <c r="F11" s="694"/>
      <c r="G11" s="694"/>
      <c r="H11" s="694"/>
      <c r="I11" s="694"/>
      <c r="J11" s="694"/>
      <c r="K11" s="694"/>
      <c r="L11" s="694"/>
    </row>
    <row r="13" spans="1:13" ht="42" customHeight="1">
      <c r="A13" s="263"/>
      <c r="B13" s="695" t="s">
        <v>26</v>
      </c>
      <c r="C13" s="695"/>
      <c r="D13" s="695"/>
      <c r="E13" s="695"/>
      <c r="F13" s="319"/>
      <c r="G13" s="696" t="s">
        <v>27</v>
      </c>
      <c r="H13" s="696"/>
      <c r="I13" s="696"/>
      <c r="J13" s="320" t="s">
        <v>28</v>
      </c>
      <c r="K13" s="697" t="s">
        <v>29</v>
      </c>
      <c r="L13" s="697"/>
    </row>
    <row r="14" spans="1:13" ht="16.5" customHeight="1">
      <c r="A14" s="698" t="s">
        <v>215</v>
      </c>
      <c r="B14" s="699"/>
      <c r="C14" s="699"/>
      <c r="D14" s="699"/>
      <c r="E14" s="699"/>
      <c r="F14" s="71"/>
      <c r="G14" s="700"/>
      <c r="H14" s="700"/>
      <c r="I14" s="700"/>
      <c r="J14" s="701"/>
      <c r="K14" s="705"/>
      <c r="L14" s="705"/>
    </row>
    <row r="15" spans="1:13" ht="40.200000000000003" customHeight="1">
      <c r="A15" s="698"/>
      <c r="B15" s="699"/>
      <c r="C15" s="699"/>
      <c r="D15" s="699"/>
      <c r="E15" s="699"/>
      <c r="F15" s="71"/>
      <c r="G15" s="700"/>
      <c r="H15" s="700"/>
      <c r="I15" s="700"/>
      <c r="J15" s="701"/>
      <c r="K15" s="705"/>
      <c r="L15" s="705"/>
    </row>
    <row r="16" spans="1:13" ht="25.5" customHeight="1">
      <c r="A16" s="698"/>
      <c r="B16" s="699"/>
      <c r="C16" s="699"/>
      <c r="D16" s="699"/>
      <c r="E16" s="699"/>
      <c r="F16" s="71"/>
      <c r="G16" s="706"/>
      <c r="H16" s="706"/>
      <c r="I16" s="706"/>
      <c r="J16" s="707"/>
      <c r="K16" s="708"/>
      <c r="L16" s="708"/>
    </row>
    <row r="17" spans="1:12" ht="24" customHeight="1">
      <c r="A17" s="698"/>
      <c r="B17" s="699"/>
      <c r="C17" s="699"/>
      <c r="D17" s="699"/>
      <c r="E17" s="699"/>
      <c r="F17" s="71"/>
      <c r="G17" s="706"/>
      <c r="H17" s="706"/>
      <c r="I17" s="706"/>
      <c r="J17" s="707"/>
      <c r="K17" s="708"/>
      <c r="L17" s="708"/>
    </row>
    <row r="18" spans="1:12">
      <c r="A18" s="698"/>
      <c r="B18" s="699"/>
      <c r="C18" s="699"/>
      <c r="D18" s="699"/>
      <c r="E18" s="699"/>
      <c r="F18" s="71"/>
      <c r="G18" s="702"/>
      <c r="H18" s="702"/>
      <c r="I18" s="702"/>
      <c r="J18" s="703"/>
      <c r="K18" s="708"/>
      <c r="L18" s="708"/>
    </row>
    <row r="19" spans="1:12" ht="30.75" customHeight="1">
      <c r="A19" s="698"/>
      <c r="B19" s="699"/>
      <c r="C19" s="699"/>
      <c r="D19" s="699"/>
      <c r="E19" s="699"/>
      <c r="F19" s="71"/>
      <c r="G19" s="702"/>
      <c r="H19" s="702"/>
      <c r="I19" s="702"/>
      <c r="J19" s="703"/>
      <c r="K19" s="703"/>
      <c r="L19" s="708"/>
    </row>
    <row r="20" spans="1:12">
      <c r="A20" s="698"/>
      <c r="B20" s="699"/>
      <c r="C20" s="699"/>
      <c r="D20" s="699"/>
      <c r="E20" s="699"/>
      <c r="F20" s="71"/>
      <c r="G20" s="704"/>
      <c r="H20" s="704"/>
      <c r="I20" s="704"/>
      <c r="J20" s="703"/>
      <c r="K20" s="708"/>
      <c r="L20" s="708"/>
    </row>
    <row r="21" spans="1:12">
      <c r="A21" s="698"/>
      <c r="B21" s="699"/>
      <c r="C21" s="699"/>
      <c r="D21" s="699"/>
      <c r="E21" s="699"/>
      <c r="F21" s="71"/>
      <c r="G21" s="704"/>
      <c r="H21" s="704"/>
      <c r="I21" s="704"/>
      <c r="J21" s="703"/>
      <c r="K21" s="703"/>
      <c r="L21" s="708"/>
    </row>
    <row r="22" spans="1:12">
      <c r="A22" s="698"/>
      <c r="B22" s="699"/>
      <c r="C22" s="699"/>
      <c r="D22" s="699"/>
      <c r="E22" s="699"/>
      <c r="F22" s="71"/>
      <c r="G22" s="704"/>
      <c r="H22" s="704"/>
      <c r="I22" s="704"/>
      <c r="J22" s="703"/>
      <c r="K22" s="708"/>
      <c r="L22" s="708"/>
    </row>
    <row r="23" spans="1:12">
      <c r="A23" s="698"/>
      <c r="B23" s="699"/>
      <c r="C23" s="699"/>
      <c r="D23" s="699"/>
      <c r="E23" s="699"/>
      <c r="F23" s="71"/>
      <c r="G23" s="704"/>
      <c r="H23" s="704"/>
      <c r="I23" s="704"/>
      <c r="J23" s="703"/>
      <c r="K23" s="703"/>
      <c r="L23" s="708"/>
    </row>
    <row r="24" spans="1:12">
      <c r="A24" s="698"/>
      <c r="B24" s="709"/>
      <c r="C24" s="709"/>
      <c r="D24" s="709"/>
      <c r="E24" s="709"/>
      <c r="F24" s="71"/>
      <c r="G24" s="710"/>
      <c r="H24" s="710"/>
      <c r="I24" s="710"/>
      <c r="J24" s="711"/>
      <c r="K24" s="712"/>
      <c r="L24" s="712"/>
    </row>
    <row r="25" spans="1:12">
      <c r="A25" s="698"/>
      <c r="B25" s="709"/>
      <c r="C25" s="709"/>
      <c r="D25" s="709"/>
      <c r="E25" s="709"/>
      <c r="F25" s="71"/>
      <c r="G25" s="710"/>
      <c r="H25" s="710"/>
      <c r="I25" s="710"/>
      <c r="J25" s="711"/>
      <c r="K25" s="711"/>
      <c r="L25" s="712"/>
    </row>
    <row r="26" spans="1:12">
      <c r="A26" s="263"/>
      <c r="B26" s="263"/>
      <c r="C26" s="263"/>
      <c r="D26" s="263"/>
      <c r="E26" s="263"/>
      <c r="F26" s="263"/>
      <c r="G26" s="263"/>
      <c r="H26" s="263"/>
      <c r="I26" s="263"/>
      <c r="J26" s="263"/>
      <c r="K26" s="263"/>
      <c r="L26" s="263"/>
    </row>
    <row r="27" spans="1:12" ht="18">
      <c r="A27" s="263"/>
      <c r="B27" s="263"/>
      <c r="C27" s="263"/>
      <c r="D27" s="263"/>
      <c r="E27" s="321" t="s">
        <v>30</v>
      </c>
      <c r="F27" s="321"/>
      <c r="G27" s="321"/>
      <c r="H27" s="321"/>
      <c r="I27" s="321"/>
      <c r="J27" s="263"/>
      <c r="K27" s="263"/>
      <c r="L27" s="263"/>
    </row>
    <row r="28" spans="1:12" ht="6" customHeight="1">
      <c r="A28" s="263"/>
      <c r="B28" s="263"/>
      <c r="C28" s="263"/>
      <c r="D28" s="263"/>
      <c r="E28" s="322"/>
      <c r="F28" s="322"/>
      <c r="G28" s="322"/>
      <c r="H28" s="322"/>
      <c r="I28" s="322"/>
      <c r="J28" s="263"/>
      <c r="K28" s="263"/>
      <c r="L28" s="263"/>
    </row>
    <row r="29" spans="1:12" s="264" customFormat="1" ht="21" customHeight="1">
      <c r="A29" s="323"/>
      <c r="B29" s="317" t="s">
        <v>31</v>
      </c>
      <c r="C29" s="324"/>
      <c r="D29" s="324"/>
      <c r="E29" s="324"/>
      <c r="F29" s="324"/>
      <c r="G29" s="324"/>
      <c r="H29" s="324"/>
      <c r="I29" s="324"/>
      <c r="J29" s="324"/>
      <c r="K29" s="324"/>
      <c r="L29" s="324"/>
    </row>
    <row r="30" spans="1:12" ht="6" customHeight="1">
      <c r="A30" s="263"/>
      <c r="B30" s="325"/>
      <c r="C30" s="263"/>
      <c r="D30" s="263"/>
      <c r="E30" s="263"/>
      <c r="F30" s="263"/>
      <c r="G30" s="263"/>
      <c r="H30" s="263"/>
      <c r="I30" s="263"/>
      <c r="J30" s="263"/>
      <c r="K30" s="263"/>
      <c r="L30" s="263"/>
    </row>
    <row r="31" spans="1:12" ht="45" customHeight="1">
      <c r="A31" s="263"/>
      <c r="B31" s="695" t="s">
        <v>27</v>
      </c>
      <c r="C31" s="695"/>
      <c r="D31" s="695"/>
      <c r="E31" s="695"/>
      <c r="F31" s="319"/>
      <c r="G31" s="696" t="s">
        <v>32</v>
      </c>
      <c r="H31" s="696"/>
      <c r="I31" s="696"/>
      <c r="J31" s="320" t="s">
        <v>28</v>
      </c>
      <c r="K31" s="697" t="s">
        <v>29</v>
      </c>
      <c r="L31" s="697"/>
    </row>
    <row r="32" spans="1:12" ht="18.75" customHeight="1">
      <c r="A32" s="698" t="s">
        <v>33</v>
      </c>
      <c r="B32" s="713"/>
      <c r="C32" s="713"/>
      <c r="D32" s="713"/>
      <c r="E32" s="713"/>
      <c r="F32" s="71"/>
      <c r="G32" s="714"/>
      <c r="H32" s="714"/>
      <c r="I32" s="714"/>
      <c r="J32" s="715"/>
      <c r="K32" s="716"/>
      <c r="L32" s="716"/>
    </row>
    <row r="33" spans="1:12" ht="18.75" customHeight="1">
      <c r="A33" s="698"/>
      <c r="B33" s="713"/>
      <c r="C33" s="713"/>
      <c r="D33" s="713"/>
      <c r="E33" s="713"/>
      <c r="F33" s="71"/>
      <c r="G33" s="714"/>
      <c r="H33" s="714"/>
      <c r="I33" s="714"/>
      <c r="J33" s="715"/>
      <c r="K33" s="715"/>
      <c r="L33" s="716"/>
    </row>
    <row r="34" spans="1:12" ht="18.75" customHeight="1">
      <c r="A34" s="698"/>
      <c r="B34" s="717" t="str">
        <f>IF(Recomendaciones!I43="","",Recomendaciones!I43)</f>
        <v/>
      </c>
      <c r="C34" s="717"/>
      <c r="D34" s="717"/>
      <c r="E34" s="717"/>
      <c r="F34" s="71"/>
      <c r="G34" s="704"/>
      <c r="H34" s="704"/>
      <c r="I34" s="704"/>
      <c r="J34" s="703"/>
      <c r="K34" s="708"/>
      <c r="L34" s="708"/>
    </row>
    <row r="35" spans="1:12" ht="18.75" customHeight="1">
      <c r="A35" s="698"/>
      <c r="B35" s="717"/>
      <c r="C35" s="717"/>
      <c r="D35" s="717"/>
      <c r="E35" s="717"/>
      <c r="F35" s="71"/>
      <c r="G35" s="704"/>
      <c r="H35" s="704"/>
      <c r="I35" s="704"/>
      <c r="J35" s="703"/>
      <c r="K35" s="703"/>
      <c r="L35" s="708"/>
    </row>
    <row r="36" spans="1:12" ht="18.75" customHeight="1">
      <c r="A36" s="698"/>
      <c r="B36" s="717" t="str">
        <f>+IF(Recomendaciones!I53="","",Recomendaciones!I53)</f>
        <v/>
      </c>
      <c r="C36" s="717"/>
      <c r="D36" s="717"/>
      <c r="E36" s="717"/>
      <c r="F36" s="71"/>
      <c r="G36" s="704"/>
      <c r="H36" s="704"/>
      <c r="I36" s="704"/>
      <c r="J36" s="703"/>
      <c r="K36" s="708"/>
      <c r="L36" s="708"/>
    </row>
    <row r="37" spans="1:12" ht="18.75" customHeight="1">
      <c r="A37" s="698"/>
      <c r="B37" s="717"/>
      <c r="C37" s="717"/>
      <c r="D37" s="717"/>
      <c r="E37" s="717"/>
      <c r="F37" s="71"/>
      <c r="G37" s="704"/>
      <c r="H37" s="704"/>
      <c r="I37" s="704"/>
      <c r="J37" s="703"/>
      <c r="K37" s="703"/>
      <c r="L37" s="708"/>
    </row>
    <row r="38" spans="1:12" ht="18.75" customHeight="1">
      <c r="A38" s="698"/>
      <c r="B38" s="717"/>
      <c r="C38" s="717"/>
      <c r="D38" s="717"/>
      <c r="E38" s="717"/>
      <c r="F38" s="71"/>
      <c r="G38" s="704"/>
      <c r="H38" s="704"/>
      <c r="I38" s="704"/>
      <c r="J38" s="703"/>
      <c r="K38" s="708"/>
      <c r="L38" s="708"/>
    </row>
    <row r="39" spans="1:12" ht="18.75" customHeight="1">
      <c r="A39" s="698"/>
      <c r="B39" s="717"/>
      <c r="C39" s="717"/>
      <c r="D39" s="717"/>
      <c r="E39" s="717"/>
      <c r="F39" s="71"/>
      <c r="G39" s="704"/>
      <c r="H39" s="704"/>
      <c r="I39" s="704"/>
      <c r="J39" s="703"/>
      <c r="K39" s="703"/>
      <c r="L39" s="708"/>
    </row>
    <row r="40" spans="1:12" ht="18.75" customHeight="1">
      <c r="A40" s="698"/>
      <c r="B40" s="717"/>
      <c r="C40" s="717"/>
      <c r="D40" s="717"/>
      <c r="E40" s="717"/>
      <c r="F40" s="71"/>
      <c r="G40" s="704"/>
      <c r="H40" s="704"/>
      <c r="I40" s="704"/>
      <c r="J40" s="703"/>
      <c r="K40" s="708"/>
      <c r="L40" s="708"/>
    </row>
    <row r="41" spans="1:12" ht="18.75" customHeight="1">
      <c r="A41" s="698"/>
      <c r="B41" s="717"/>
      <c r="C41" s="717"/>
      <c r="D41" s="717"/>
      <c r="E41" s="717"/>
      <c r="F41" s="71"/>
      <c r="G41" s="704"/>
      <c r="H41" s="704"/>
      <c r="I41" s="704"/>
      <c r="J41" s="703"/>
      <c r="K41" s="703"/>
      <c r="L41" s="708"/>
    </row>
    <row r="42" spans="1:12" ht="18.75" customHeight="1">
      <c r="A42" s="698"/>
      <c r="B42" s="718"/>
      <c r="C42" s="718"/>
      <c r="D42" s="718"/>
      <c r="E42" s="718"/>
      <c r="F42" s="71"/>
      <c r="G42" s="710"/>
      <c r="H42" s="710"/>
      <c r="I42" s="710"/>
      <c r="J42" s="711"/>
      <c r="K42" s="712"/>
      <c r="L42" s="712"/>
    </row>
    <row r="43" spans="1:12" ht="18.75" customHeight="1">
      <c r="A43" s="698"/>
      <c r="B43" s="718"/>
      <c r="C43" s="718"/>
      <c r="D43" s="718"/>
      <c r="E43" s="718"/>
      <c r="F43" s="71"/>
      <c r="G43" s="710"/>
      <c r="H43" s="710"/>
      <c r="I43" s="710"/>
      <c r="J43" s="711"/>
      <c r="K43" s="711"/>
      <c r="L43" s="712"/>
    </row>
  </sheetData>
  <sheetProtection selectLockedCells="1" selectUnlockedCells="1"/>
  <mergeCells count="66">
    <mergeCell ref="B36:E37"/>
    <mergeCell ref="G36:I37"/>
    <mergeCell ref="J36:J37"/>
    <mergeCell ref="K36:L37"/>
    <mergeCell ref="B42:E43"/>
    <mergeCell ref="G42:I43"/>
    <mergeCell ref="J42:J43"/>
    <mergeCell ref="K42:L43"/>
    <mergeCell ref="B40:E41"/>
    <mergeCell ref="G40:I41"/>
    <mergeCell ref="J40:J41"/>
    <mergeCell ref="K40:L4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K22:L23"/>
    <mergeCell ref="B24:E25"/>
    <mergeCell ref="G24:I25"/>
    <mergeCell ref="J24:J25"/>
    <mergeCell ref="K24:L25"/>
    <mergeCell ref="K18:L19"/>
    <mergeCell ref="B20:E21"/>
    <mergeCell ref="G20:I21"/>
    <mergeCell ref="J20:J21"/>
    <mergeCell ref="K20:L21"/>
    <mergeCell ref="K14:L15"/>
    <mergeCell ref="B16:E17"/>
    <mergeCell ref="G16:I17"/>
    <mergeCell ref="J16:J17"/>
    <mergeCell ref="K16:L17"/>
    <mergeCell ref="A14:A25"/>
    <mergeCell ref="B14:E15"/>
    <mergeCell ref="G14:I15"/>
    <mergeCell ref="J14:J15"/>
    <mergeCell ref="B18:E19"/>
    <mergeCell ref="G18:I19"/>
    <mergeCell ref="J18:J19"/>
    <mergeCell ref="B22:E23"/>
    <mergeCell ref="G22:I23"/>
    <mergeCell ref="J22:J23"/>
    <mergeCell ref="E6:I6"/>
    <mergeCell ref="B10:L11"/>
    <mergeCell ref="B13:E13"/>
    <mergeCell ref="G13:I13"/>
    <mergeCell ref="K13:L13"/>
    <mergeCell ref="C4:D4"/>
    <mergeCell ref="E4:I4"/>
    <mergeCell ref="J4:K4"/>
    <mergeCell ref="D5:J5"/>
    <mergeCell ref="B2:L2"/>
    <mergeCell ref="C3:D3"/>
    <mergeCell ref="E3:I3"/>
    <mergeCell ref="J3:K3"/>
  </mergeCells>
  <phoneticPr fontId="71"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33333333333337" right="0.70833333333333337" top="0.74791666666666667" bottom="0.74861111111111112" header="0.51180555555555551" footer="0.31527777777777777"/>
  <pageSetup paperSize="9" scale="70" firstPageNumber="0" orientation="landscape" horizontalDpi="300" verticalDpi="30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TotalTime>34451</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25</vt:i4>
      </vt:variant>
    </vt:vector>
  </HeadingPairs>
  <TitlesOfParts>
    <vt:vector size="35" baseType="lpstr">
      <vt:lpstr>Menú</vt:lpstr>
      <vt:lpstr>Lista de indicadores</vt:lpstr>
      <vt:lpstr>Información de la subvención</vt:lpstr>
      <vt:lpstr>Introducción de datos</vt:lpstr>
      <vt:lpstr>Financiamiento</vt:lpstr>
      <vt:lpstr>Gestión</vt:lpstr>
      <vt:lpstr>Programatico</vt:lpstr>
      <vt:lpstr>Recomendaciones</vt:lpstr>
      <vt:lpstr>Acciones</vt:lpstr>
      <vt:lpstr>Setup</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PrintF</vt:lpstr>
      <vt:lpstr>PrintGD</vt:lpstr>
      <vt:lpstr>Acciones!PrintM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dc:description>&amp;lt;p&amp;gt;Setup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description>
  <cp:lastModifiedBy>Carlos Murillo</cp:lastModifiedBy>
  <cp:revision>1</cp:revision>
  <cp:lastPrinted>2011-01-31T13:36:40Z</cp:lastPrinted>
  <dcterms:created xsi:type="dcterms:W3CDTF">2008-11-20T16:06:13Z</dcterms:created>
  <dcterms:modified xsi:type="dcterms:W3CDTF">2019-03-21T03:22:41Z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0x0101004BF1F6075714FF459EA7921B9223C8F9</vt:lpwstr>
  </property>
  <property fmtid="{D5CDD505-2E9C-101B-9397-08002B2CF9AE}" pid="4" name="EktCmsPath">
    <vt:lpwstr>&amp;lt;p&amp;gt;Setup  Acciones  Recomendaciones  Programatico  Gesti n  Financiamiento  Informaci n de la subvenci n  Introducci n de datos  Lista de indicadores  Men   Afganist n  Afganist n  Ciudades  Component  Countries  Countries  Currency  LFA  Medicament</vt:lpwstr>
  </property>
  <property fmtid="{D5CDD505-2E9C-101B-9397-08002B2CF9AE}" pid="5" name="EktCmsSize">
    <vt:i4>856576</vt:i4>
  </property>
  <property fmtid="{D5CDD505-2E9C-101B-9397-08002B2CF9AE}" pid="6" name="EktContentLanguage">
    <vt:i4>1033</vt:i4>
  </property>
  <property fmtid="{D5CDD505-2E9C-101B-9397-08002B2CF9AE}" pid="7" name="EktContentSubType">
    <vt:i4>0</vt:i4>
  </property>
  <property fmtid="{D5CDD505-2E9C-101B-9397-08002B2CF9AE}" pid="8" name="EktContentType">
    <vt:i4>101</vt:i4>
  </property>
  <property fmtid="{D5CDD505-2E9C-101B-9397-08002B2CF9AE}" pid="9" name="EktDateCreated">
    <vt:filetime>2011-06-15T08:46:35Z</vt:filetime>
  </property>
  <property fmtid="{D5CDD505-2E9C-101B-9397-08002B2CF9AE}" pid="10" name="EktDateModified">
    <vt:filetime>2011-06-15T08:46:36Z</vt:filetime>
  </property>
  <property fmtid="{D5CDD505-2E9C-101B-9397-08002B2CF9AE}" pid="11" name="EktEDescription">
    <vt:lpwstr>Summary &amp;lt;p&amp;gt;Setup  Acciones  Recomendaciones  Programatico  Gesti n  Financiamiento  Informaci n de la subvenci n  Introducci n de datos  Lista de indicadores  Men   Afganist n  Afganist n  Ciudades  Component  Countries  Countries  Currency  LFA  Me</vt:lpwstr>
  </property>
  <property fmtid="{D5CDD505-2E9C-101B-9397-08002B2CF9AE}" pid="12" name="EktExpiryType">
    <vt:i4>1</vt:i4>
  </property>
  <property fmtid="{D5CDD505-2E9C-101B-9397-08002B2CF9AE}" pid="13" name="EktFile_Size">
    <vt:lpwstr>819 KB</vt:lpwstr>
  </property>
  <property fmtid="{D5CDD505-2E9C-101B-9397-08002B2CF9AE}" pid="14" name="EktFile_Type">
    <vt:lpwstr>XLS</vt:lpwstr>
  </property>
  <property fmtid="{D5CDD505-2E9C-101B-9397-08002B2CF9AE}" pid="15" name="EktQuickLink">
    <vt:lpwstr>DownloadAsset.aspx?id=10409</vt:lpwstr>
  </property>
  <property fmtid="{D5CDD505-2E9C-101B-9397-08002B2CF9AE}" pid="16" name="EktSearchable">
    <vt:i4>1</vt:i4>
  </property>
  <property fmtid="{D5CDD505-2E9C-101B-9397-08002B2CF9AE}" pid="17" name="EktTaxCategory">
    <vt:lpwstr> #eksep# \Navigation\documents\ccm #eksep# </vt:lpwstr>
  </property>
  <property fmtid="{D5CDD505-2E9C-101B-9397-08002B2CF9AE}" pid="18" name="Root_Map">
    <vt:lpwstr>C:\Documents and Settings\rfplain\Desktop\Root_Map.xsd</vt:lpwstr>
  </property>
  <property fmtid="{D5CDD505-2E9C-101B-9397-08002B2CF9AE}" pid="19" name="ekttaxonomyenabled">
    <vt:i4>1</vt:i4>
  </property>
</Properties>
</file>