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C:\Users\mimcorleto\Desktop\"/>
    </mc:Choice>
  </mc:AlternateContent>
  <xr:revisionPtr revIDLastSave="0" documentId="10_ncr:8100000_{CBCB1D16-5543-4A1C-968E-68ED96C66F59}" xr6:coauthVersionLast="33" xr6:coauthVersionMax="33" xr10:uidLastSave="{00000000-0000-0000-0000-000000000000}"/>
  <bookViews>
    <workbookView xWindow="0" yWindow="0" windowWidth="28800" windowHeight="12225" tabRatio="820" activeTab="2" xr2:uid="{00000000-000D-0000-FFFF-FFFF00000000}"/>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r:id="rId10"/>
  </sheets>
  <externalReferences>
    <externalReference r:id="rId11"/>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Gestión!$A$1:$L$33</definedName>
    <definedName name="_xlnm.Print_Area" localSheetId="3">'Información de la subvención'!$A$1:$K$15</definedName>
    <definedName name="_xlnm.Print_Area" localSheetId="2">'Introducción de datos'!$A$1:$T$134</definedName>
    <definedName name="_xlnm.Print_Area" localSheetId="6">Programatico!$A$1:$Q$29</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datos'!$B$25:$J$70</definedName>
    <definedName name="PrintDataM">'Introducción de datos'!$B$72:$H$114</definedName>
    <definedName name="PrintF">Financiamiento!$A$2:$K$31</definedName>
    <definedName name="PrintGD">'Información de la subvención'!$A$2:$J$13</definedName>
    <definedName name="PrintM" localSheetId="8">Acciones!$A$2:$L$6</definedName>
    <definedName name="PrintM">Gestión!$A$2:$L$35</definedName>
    <definedName name="PrintP">Programatico!$A$2:$P$29</definedName>
    <definedName name="PrintR">Recomendaciones!$A$2:$N$41</definedName>
    <definedName name="Rating">Setup!$G$9:$G$14</definedName>
    <definedName name="Round">Setup!$D$9:$D$21</definedName>
  </definedNames>
  <calcPr calcId="162913"/>
</workbook>
</file>

<file path=xl/calcChain.xml><?xml version="1.0" encoding="utf-8"?>
<calcChain xmlns="http://schemas.openxmlformats.org/spreadsheetml/2006/main">
  <c r="E51" i="3" l="1"/>
  <c r="E40" i="3" l="1"/>
  <c r="E41" i="3"/>
  <c r="E42" i="3"/>
  <c r="E43" i="3"/>
  <c r="E44" i="3"/>
  <c r="E45" i="3"/>
  <c r="E46" i="3"/>
  <c r="E47" i="3"/>
  <c r="E48" i="3"/>
  <c r="E39" i="3"/>
  <c r="D51" i="3"/>
  <c r="D104" i="3" l="1"/>
  <c r="E59" i="3" l="1"/>
  <c r="E57" i="3"/>
  <c r="E58" i="3"/>
  <c r="D58" i="3"/>
  <c r="C60" i="3"/>
  <c r="D31" i="3"/>
  <c r="D33" i="3" s="1"/>
  <c r="D32" i="3"/>
  <c r="D34" i="3" s="1"/>
  <c r="D56" i="3" l="1"/>
  <c r="E56" i="3" s="1"/>
  <c r="E60" i="3" s="1"/>
  <c r="G113" i="3"/>
  <c r="I113" i="3"/>
  <c r="K113" i="3" s="1"/>
  <c r="D60" i="3" l="1"/>
  <c r="B2" i="9"/>
  <c r="B3" i="9"/>
  <c r="C3" i="9"/>
  <c r="J3" i="9"/>
  <c r="L3" i="9"/>
  <c r="B4" i="9"/>
  <c r="C4" i="9"/>
  <c r="E4" i="9"/>
  <c r="J4" i="9"/>
  <c r="L4" i="9"/>
  <c r="D5" i="9"/>
  <c r="K5" i="9"/>
  <c r="L5" i="9"/>
  <c r="B34" i="9"/>
  <c r="B36" i="9"/>
  <c r="B2" i="5"/>
  <c r="B3" i="5"/>
  <c r="C3" i="5"/>
  <c r="I3" i="5"/>
  <c r="K3" i="5"/>
  <c r="B4" i="5"/>
  <c r="C4" i="5"/>
  <c r="E4" i="5"/>
  <c r="I4" i="5"/>
  <c r="K4" i="5"/>
  <c r="D5" i="5"/>
  <c r="J5" i="5"/>
  <c r="K5" i="5"/>
  <c r="H27" i="5"/>
  <c r="J27" i="5"/>
  <c r="K27" i="5"/>
  <c r="H28" i="5"/>
  <c r="J28" i="5"/>
  <c r="K28" i="5"/>
  <c r="H29" i="5"/>
  <c r="J29" i="5"/>
  <c r="K29" i="5"/>
  <c r="B2" i="6"/>
  <c r="B3" i="6"/>
  <c r="C3" i="6"/>
  <c r="J3" i="6"/>
  <c r="L3" i="6"/>
  <c r="B4" i="6"/>
  <c r="C4" i="6"/>
  <c r="E4" i="6"/>
  <c r="J4" i="6"/>
  <c r="L4" i="6"/>
  <c r="D5" i="6"/>
  <c r="K5" i="6"/>
  <c r="L5" i="6"/>
  <c r="B27" i="6"/>
  <c r="H31" i="6"/>
  <c r="I31" i="6"/>
  <c r="K31" i="6"/>
  <c r="B37" i="6"/>
  <c r="B3" i="4"/>
  <c r="B3" i="10" s="1"/>
  <c r="B6" i="4"/>
  <c r="F6" i="4"/>
  <c r="B9" i="4"/>
  <c r="D9" i="4"/>
  <c r="G9" i="4"/>
  <c r="I9" i="4"/>
  <c r="B10" i="4"/>
  <c r="D10" i="4"/>
  <c r="G10" i="4"/>
  <c r="B11" i="4"/>
  <c r="D11" i="4"/>
  <c r="G11" i="4"/>
  <c r="I11" i="4"/>
  <c r="B12" i="4"/>
  <c r="G12" i="4"/>
  <c r="B13" i="4"/>
  <c r="G13" i="4"/>
  <c r="R30" i="3"/>
  <c r="B31" i="3"/>
  <c r="R31" i="3"/>
  <c r="B32" i="3"/>
  <c r="R32" i="3"/>
  <c r="C33" i="3"/>
  <c r="R29" i="3" s="1"/>
  <c r="R33" i="3"/>
  <c r="C34" i="3"/>
  <c r="R34" i="3"/>
  <c r="C35" i="3"/>
  <c r="D35" i="3"/>
  <c r="F35" i="3"/>
  <c r="G35" i="3"/>
  <c r="H35" i="3"/>
  <c r="I35" i="3"/>
  <c r="J35" i="3"/>
  <c r="K35" i="3"/>
  <c r="L35" i="3"/>
  <c r="M35" i="3"/>
  <c r="N35" i="3"/>
  <c r="R35" i="3"/>
  <c r="C38" i="3"/>
  <c r="D38" i="3"/>
  <c r="C51" i="3"/>
  <c r="R53" i="3"/>
  <c r="R54" i="3"/>
  <c r="E55" i="3"/>
  <c r="Q55" i="3"/>
  <c r="G77" i="3"/>
  <c r="G78" i="3"/>
  <c r="F20" i="8" s="1"/>
  <c r="E84" i="3"/>
  <c r="C103" i="3"/>
  <c r="C101" i="3"/>
  <c r="C104" i="3" s="1"/>
  <c r="G104" i="3"/>
  <c r="H104" i="3" s="1"/>
  <c r="C105" i="3"/>
  <c r="D105" i="3" s="1"/>
  <c r="E105" i="3" s="1"/>
  <c r="F105" i="3" s="1"/>
  <c r="G105" i="3" s="1"/>
  <c r="H105" i="3" s="1"/>
  <c r="J31" i="6"/>
  <c r="B8" i="2"/>
  <c r="B9" i="2"/>
  <c r="B10" i="2"/>
  <c r="B11" i="2"/>
  <c r="B19" i="2"/>
  <c r="B20" i="2"/>
  <c r="B21" i="2"/>
  <c r="B22" i="2"/>
  <c r="B23" i="2"/>
  <c r="B25" i="2"/>
  <c r="B2" i="7"/>
  <c r="B3" i="7"/>
  <c r="C3" i="7"/>
  <c r="O3" i="7"/>
  <c r="B4" i="7"/>
  <c r="C4" i="7"/>
  <c r="E4" i="7"/>
  <c r="P4" i="7"/>
  <c r="Q4" i="7"/>
  <c r="D5" i="7"/>
  <c r="P5" i="7"/>
  <c r="Q5" i="7"/>
  <c r="B8" i="7"/>
  <c r="F8" i="7"/>
  <c r="B20" i="7"/>
  <c r="E20" i="7"/>
  <c r="F20" i="7"/>
  <c r="B21" i="7"/>
  <c r="E21" i="7"/>
  <c r="F21" i="7"/>
  <c r="T21" i="7"/>
  <c r="U21" i="7"/>
  <c r="V21" i="7"/>
  <c r="W21" i="7"/>
  <c r="X21" i="7"/>
  <c r="Z21" i="7"/>
  <c r="AA21" i="7"/>
  <c r="AD21" i="7" s="1"/>
  <c r="AC21" i="7"/>
  <c r="AE21" i="7"/>
  <c r="B22" i="7"/>
  <c r="E22" i="7"/>
  <c r="F22" i="7"/>
  <c r="T22" i="7"/>
  <c r="U22" i="7"/>
  <c r="V22" i="7"/>
  <c r="W22" i="7"/>
  <c r="X22" i="7"/>
  <c r="Z22" i="7"/>
  <c r="AA22" i="7"/>
  <c r="AD22" i="7" s="1"/>
  <c r="AC22" i="7"/>
  <c r="AE22" i="7"/>
  <c r="B23" i="7"/>
  <c r="E23" i="7"/>
  <c r="F23" i="7"/>
  <c r="T23" i="7"/>
  <c r="U23" i="7"/>
  <c r="V23" i="7"/>
  <c r="W23" i="7"/>
  <c r="X23" i="7"/>
  <c r="Z23" i="7"/>
  <c r="AA23" i="7"/>
  <c r="AD23" i="7" s="1"/>
  <c r="AC23" i="7"/>
  <c r="AE23" i="7"/>
  <c r="B24" i="7"/>
  <c r="E24" i="7"/>
  <c r="F24" i="7"/>
  <c r="B25" i="7"/>
  <c r="E25" i="7"/>
  <c r="F25" i="7"/>
  <c r="T25" i="7"/>
  <c r="U25" i="7"/>
  <c r="V25" i="7"/>
  <c r="W25" i="7"/>
  <c r="X25" i="7"/>
  <c r="B27" i="7"/>
  <c r="E27" i="7"/>
  <c r="F27" i="7"/>
  <c r="T27" i="7"/>
  <c r="U27" i="7"/>
  <c r="V27" i="7"/>
  <c r="W27" i="7"/>
  <c r="X27" i="7"/>
  <c r="B28" i="7"/>
  <c r="E28" i="7"/>
  <c r="F28" i="7"/>
  <c r="T28" i="7"/>
  <c r="U28" i="7"/>
  <c r="V28" i="7"/>
  <c r="W28" i="7"/>
  <c r="X28" i="7"/>
  <c r="B29" i="7"/>
  <c r="E29" i="7"/>
  <c r="F29" i="7"/>
  <c r="B30" i="7"/>
  <c r="E30" i="7"/>
  <c r="F30" i="7"/>
  <c r="B31" i="7"/>
  <c r="E31" i="7"/>
  <c r="F31" i="7"/>
  <c r="B32" i="7"/>
  <c r="E32" i="7"/>
  <c r="F32" i="7"/>
  <c r="B33" i="7"/>
  <c r="E33" i="7"/>
  <c r="F33" i="7"/>
  <c r="B2" i="8"/>
  <c r="B3" i="8"/>
  <c r="C3" i="8"/>
  <c r="L3" i="8"/>
  <c r="M3" i="8"/>
  <c r="B4" i="8"/>
  <c r="C4" i="8"/>
  <c r="E4" i="8"/>
  <c r="L4" i="8"/>
  <c r="M4" i="8"/>
  <c r="E5" i="8"/>
  <c r="L5" i="8"/>
  <c r="M5" i="8"/>
  <c r="D11" i="8"/>
  <c r="D12" i="8"/>
  <c r="D13" i="8"/>
  <c r="D14" i="8"/>
  <c r="D19" i="8"/>
  <c r="D20" i="8"/>
  <c r="E20" i="8"/>
  <c r="D21" i="8"/>
  <c r="D22" i="8"/>
  <c r="D23" i="8"/>
  <c r="D24" i="8"/>
  <c r="D29" i="8"/>
  <c r="D30" i="8"/>
  <c r="D31" i="8"/>
  <c r="D32" i="8"/>
  <c r="D33" i="8"/>
  <c r="D34" i="8"/>
  <c r="D35" i="8"/>
  <c r="D36" i="8"/>
  <c r="D37" i="8"/>
  <c r="D38" i="8"/>
  <c r="D39" i="8"/>
  <c r="D40" i="8"/>
  <c r="D41" i="8"/>
  <c r="B8" i="5" l="1"/>
  <c r="H26" i="6"/>
  <c r="H7" i="6"/>
  <c r="B7" i="6"/>
  <c r="D103" i="3"/>
  <c r="G20" i="7"/>
  <c r="O31" i="3"/>
  <c r="B15" i="6"/>
  <c r="H18" i="6"/>
  <c r="H22" i="5"/>
  <c r="G27" i="7"/>
  <c r="G25" i="7"/>
  <c r="G31" i="7"/>
  <c r="G33" i="7"/>
  <c r="G28" i="7"/>
  <c r="G24" i="7"/>
  <c r="G23" i="7"/>
  <c r="G22" i="7"/>
  <c r="G21" i="7"/>
  <c r="G32" i="7"/>
  <c r="G29" i="7"/>
  <c r="G30" i="7"/>
  <c r="F51" i="3"/>
  <c r="AF23" i="7"/>
  <c r="AB23" i="7"/>
  <c r="AF22" i="7"/>
  <c r="AB22" i="7"/>
  <c r="AF21" i="7"/>
  <c r="AB21" i="7"/>
  <c r="L31" i="6"/>
  <c r="B22" i="5"/>
  <c r="H8" i="5"/>
  <c r="E103" i="3" l="1"/>
  <c r="F103" i="3" s="1"/>
  <c r="G103" i="3" s="1"/>
  <c r="H10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7" authorId="0" shapeId="0" xr:uid="{00000000-0006-0000-0200-000001000000}">
      <text>
        <r>
          <rPr>
            <b/>
            <sz val="8"/>
            <color indexed="32"/>
            <rFont val="Tahoma"/>
            <family val="2"/>
          </rPr>
          <t xml:space="preserve">Si los datos no están disponibles, no introduzca ceros; deje las celdas de la tabla en blanco. </t>
        </r>
      </text>
    </comment>
    <comment ref="B78" authorId="0" shapeId="0" xr:uid="{00000000-0006-0000-0200-00000200000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<sst xmlns="http://schemas.openxmlformats.org/spreadsheetml/2006/main" count="582" uniqueCount="417">
  <si>
    <t>TABLERO DE MANDO: VIH</t>
  </si>
  <si>
    <t>VIH - SSF - El Salvador.</t>
  </si>
  <si>
    <t xml:space="preserve">Subvención N°: SLV - H - MINSAL </t>
  </si>
  <si>
    <t>Cuadro de mando: VIH - SSF - El Salvador.</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</si>
  <si>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</si>
  <si>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</si>
  <si>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</si>
  <si>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</si>
  <si>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</si>
  <si>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</si>
  <si>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</si>
  <si>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</si>
  <si>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</si>
  <si>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</si>
  <si>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</si>
  <si>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</si>
  <si>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</si>
  <si>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</si>
  <si>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</si>
  <si>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</si>
  <si>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</si>
  <si>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</si>
  <si>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</si>
  <si>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</si>
  <si>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</si>
  <si>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</si>
  <si>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</si>
  <si>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</si>
  <si>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</si>
  <si>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</si>
  <si>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</si>
  <si>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</si>
  <si>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</si>
  <si>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</si>
  <si>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</si>
  <si>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</si>
  <si>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</si>
  <si>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</si>
  <si>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</si>
  <si>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</si>
  <si>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</si>
  <si>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</si>
  <si>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</si>
  <si>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</si>
  <si>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</si>
  <si>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</si>
  <si>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</si>
  <si>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</si>
  <si>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</si>
  <si>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</si>
  <si>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INNOVANDO SERVICIOS, REDUCIENDO RIESGOS, RENOVANDO VIDAS EN EL SALVADOR</t>
  </si>
  <si>
    <t>Subvención nº:</t>
  </si>
  <si>
    <t>SLV - H - MINSAL</t>
  </si>
  <si>
    <t>Componente:</t>
  </si>
  <si>
    <t>VIH / SIDA</t>
  </si>
  <si>
    <t>Financiación total:</t>
  </si>
  <si>
    <t>Receptor Principal:</t>
  </si>
  <si>
    <t xml:space="preserve">Ministerio de Salud </t>
  </si>
  <si>
    <t>Convocatoria:</t>
  </si>
  <si>
    <t>SSF/NMF</t>
  </si>
  <si>
    <t>Fase:</t>
  </si>
  <si>
    <t>Fase 2</t>
  </si>
  <si>
    <t>Fecha de inicio (dd/mm/aa):</t>
  </si>
  <si>
    <t>01 de enero del 2017</t>
  </si>
  <si>
    <t>Agente Local del Fondo:</t>
  </si>
  <si>
    <t>JACOBS</t>
  </si>
  <si>
    <t>Ultima calificación:</t>
  </si>
  <si>
    <t>B2</t>
  </si>
  <si>
    <t>Gerente de Cartera del Fondo:</t>
  </si>
  <si>
    <t>Periodo de referencia del que se informa</t>
  </si>
  <si>
    <t>Periodo:</t>
  </si>
  <si>
    <t>P1</t>
  </si>
  <si>
    <t>Desde:</t>
  </si>
  <si>
    <t>Hasta:</t>
  </si>
  <si>
    <t>Fecha de introducción de la información:</t>
  </si>
  <si>
    <t>Elaborado por:</t>
  </si>
  <si>
    <t>UAFM/FE/MINSAL.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</si>
  <si>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</si>
  <si>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</si>
  <si>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</si>
  <si>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</si>
  <si>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</si>
  <si>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</si>
  <si>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</si>
  <si>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</si>
  <si>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</si>
  <si>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</si>
  <si>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</si>
  <si>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</si>
  <si>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</si>
  <si>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</si>
  <si>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</si>
  <si>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</si>
  <si>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</si>
  <si>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</si>
  <si>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</si>
  <si>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</si>
  <si>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</si>
  <si>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</si>
  <si>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 del presupuesto desembolsado</t>
  </si>
  <si>
    <t>Presupuesto acumulado</t>
  </si>
  <si>
    <t>Desembolsos  acumulados</t>
  </si>
  <si>
    <t>Total</t>
  </si>
  <si>
    <t>F3: Desembolsos y gastos</t>
  </si>
  <si>
    <t>Anterior al periodo de referencia</t>
  </si>
  <si>
    <t>Periodo de referencia actual</t>
  </si>
  <si>
    <t>Desembolsado por el Fondo Mundial</t>
  </si>
  <si>
    <t xml:space="preserve">Gastos </t>
  </si>
  <si>
    <t xml:space="preserve">Compromisos </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</si>
  <si>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</si>
  <si>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</si>
  <si>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</si>
  <si>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</si>
  <si>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</si>
  <si>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</si>
  <si>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</si>
  <si>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</si>
  <si>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</si>
  <si>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</si>
  <si>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</si>
  <si>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</si>
  <si>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</si>
  <si>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</si>
  <si>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</si>
  <si>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 xml:space="preserve">Reportar cuales son no cumplidas con sus justificaciones </t>
  </si>
  <si>
    <t>M2: Estado de los principales puestos directivos del RP</t>
  </si>
  <si>
    <t>Planificados</t>
  </si>
  <si>
    <t>Cubiertos</t>
  </si>
  <si>
    <t>Vacantes</t>
  </si>
  <si>
    <t>Unidad de gestión de proyecto</t>
  </si>
  <si>
    <t xml:space="preserve">M3: Acuerdos contractuales (gestores de compra de bienes y servicios) </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</si>
  <si>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</si>
  <si>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</si>
  <si>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</si>
  <si>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</si>
  <si>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</si>
  <si>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</si>
  <si>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</si>
  <si>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</si>
  <si>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</si>
  <si>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</si>
  <si>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</si>
  <si>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</si>
  <si>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</si>
  <si>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</si>
  <si>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</si>
  <si>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Compromisos ( Compra UACI)</t>
  </si>
  <si>
    <t>Gastos</t>
  </si>
  <si>
    <t>Presupuesto aprobado acumulado*</t>
  </si>
  <si>
    <t>Obligaciones acumuladas</t>
  </si>
  <si>
    <t>Gastos acumulados</t>
  </si>
  <si>
    <t>a que corresponde el gasto ejecutado?</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</si>
  <si>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</si>
  <si>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</si>
  <si>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</si>
  <si>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</si>
  <si>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</si>
  <si>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</si>
  <si>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</si>
  <si>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</si>
  <si>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</si>
  <si>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</si>
  <si>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</si>
  <si>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</si>
  <si>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VIH/SIDA</t>
  </si>
  <si>
    <t>Efavirenz 600 mg/Emtricitabina 200 mg/tenofovir 300 mg</t>
  </si>
  <si>
    <t>Información de programa:</t>
  </si>
  <si>
    <t xml:space="preserve">     Introduzca los datos de desempeño en todas las celdas amarillas.</t>
  </si>
  <si>
    <t>Indicadores de programa (Marco de Referencia)</t>
  </si>
  <si>
    <t>Código</t>
  </si>
  <si>
    <t>¿Directamente vinculados?</t>
  </si>
  <si>
    <t>Comentarios</t>
  </si>
  <si>
    <t>3 PRIMEROS</t>
  </si>
  <si>
    <t>TCS-1 Número y porcentaje de adultos y niños elegible que actualmente recibe terapia antirretroviral</t>
  </si>
  <si>
    <t>Top Ten</t>
  </si>
  <si>
    <t>Yes</t>
  </si>
  <si>
    <t>Meta</t>
  </si>
  <si>
    <r>
      <t xml:space="preserve">La meta proyectada de usuarios en TAR (10,799) se calculo en base a la cantidad de Personas viviendo con VIH estimadas para el año 2017. 
Para el año 2017 de estas 10799 personas viviendo con VIH, </t>
    </r>
    <r>
      <rPr>
        <b/>
        <sz val="10"/>
        <rFont val="Arial"/>
        <family val="2"/>
      </rPr>
      <t>9,076</t>
    </r>
    <r>
      <rPr>
        <b/>
        <sz val="10"/>
        <color indexed="16"/>
        <rFont val="Arial"/>
        <family val="2"/>
      </rPr>
      <t xml:space="preserve"> </t>
    </r>
    <r>
      <rPr>
        <sz val="10"/>
        <rFont val="Arial"/>
        <family val="2"/>
      </rPr>
      <t>se encuentran recibiendo TAR, debido a que son las que cumplen con los criterios  para inicio de la TAR ( CD4 menor e igual a 500). He de recordar que en el País no existe lista de espera. Para el semestre de enero a junio del presente año hubo retraso en la entrega de los medicamentos Ritonavir (215 pacientes) y Raltegravir (1solo paciente) sin dejar al usuario final desabastecido ya que se realizaron diferentes gestiones para evitar el desabastecimiento, entre ellas: Solicitar préstamos al ISSS  para cubrir la demanda existente. El Ritonavir ingreso el 9/8/2017 y el Raltegravir esta pendiente de ingresar debido a que el proveedor a informado que la liberación del lote esta demorada por el departamento de control de calidad, pero aun hay existencia del préstamo solicitado al ISSS.</t>
    </r>
  </si>
  <si>
    <t xml:space="preserve">Agregar que se ha realizado visita al Hospital San Rafael. </t>
  </si>
  <si>
    <t>Logro</t>
  </si>
  <si>
    <r>
      <t>KP-3</t>
    </r>
    <r>
      <rPr>
        <vertAlign val="superscript"/>
        <sz val="14"/>
        <rFont val="Arial"/>
        <family val="2"/>
      </rPr>
      <t>a</t>
    </r>
    <r>
      <rPr>
        <sz val="14"/>
        <rFont val="Arial"/>
        <family val="2"/>
      </rPr>
      <t xml:space="preserve">  Número y porcentaje de hombres que tienen sexo con hombres que se sometieron a las pruebas y consejería del VIH y que recibieron sus resultados</t>
    </r>
  </si>
  <si>
    <r>
      <t>Meta FM + PEPFAR:</t>
    </r>
    <r>
      <rPr>
        <sz val="10"/>
        <rFont val="Arial"/>
        <family val="2"/>
      </rPr>
      <t xml:space="preserve"> 14,618 personas HSH que se han realizado la prueba de VIH y que conocen sus resultados (</t>
    </r>
    <r>
      <rPr>
        <b/>
        <sz val="10"/>
        <rFont val="Arial"/>
        <family val="2"/>
      </rPr>
      <t>logro Nacional 28%</t>
    </r>
    <r>
      <rPr>
        <sz val="10"/>
        <rFont val="Arial"/>
        <family val="2"/>
      </rPr>
      <t xml:space="preserve">)
</t>
    </r>
    <r>
      <rPr>
        <b/>
        <u/>
        <sz val="10"/>
        <rFont val="Arial"/>
        <family val="2"/>
      </rPr>
      <t xml:space="preserve">Meta FM: 12,618 </t>
    </r>
    <r>
      <rPr>
        <sz val="10"/>
        <rFont val="Arial"/>
        <family val="2"/>
      </rPr>
      <t xml:space="preserve">HSH a los cuales se les debe hacer la prueba de VIH y deben conocer sus resultados. 
</t>
    </r>
    <r>
      <rPr>
        <b/>
        <u/>
        <sz val="10"/>
        <rFont val="Arial"/>
        <family val="2"/>
      </rPr>
      <t>Número total de pruebas realizadas FM (PLAN + MINSAL</t>
    </r>
    <r>
      <rPr>
        <b/>
        <sz val="10"/>
        <rFont val="Arial"/>
        <family val="2"/>
      </rPr>
      <t>)= 7513</t>
    </r>
    <r>
      <rPr>
        <sz val="10"/>
        <rFont val="Arial"/>
        <family val="2"/>
      </rPr>
      <t xml:space="preserve"> pruebas realizadas a esta población
</t>
    </r>
    <r>
      <rPr>
        <b/>
        <u/>
        <sz val="10"/>
        <rFont val="Arial"/>
        <family val="2"/>
      </rPr>
      <t xml:space="preserve">Pruebas realizadas por Unidades Móviles de PLAN: </t>
    </r>
    <r>
      <rPr>
        <sz val="10"/>
        <rFont val="Arial"/>
        <family val="2"/>
      </rPr>
      <t xml:space="preserve"> 5,240 
</t>
    </r>
    <r>
      <rPr>
        <b/>
        <u/>
        <sz val="10"/>
        <rFont val="Arial"/>
        <family val="2"/>
      </rPr>
      <t>Pruebas realizadas a través de referencia efectivas a UCSF y actividades extramurales:</t>
    </r>
    <r>
      <rPr>
        <b/>
        <sz val="10"/>
        <rFont val="Arial"/>
        <family val="2"/>
      </rPr>
      <t xml:space="preserve"> </t>
    </r>
    <r>
      <rPr>
        <sz val="10"/>
        <rFont val="Arial"/>
        <family val="2"/>
      </rPr>
      <t xml:space="preserve">2,273
</t>
    </r>
    <r>
      <rPr>
        <b/>
        <sz val="10"/>
        <rFont val="Arial"/>
        <family val="2"/>
      </rPr>
      <t xml:space="preserve">
</t>
    </r>
    <r>
      <rPr>
        <b/>
        <u/>
        <sz val="10"/>
        <color indexed="8"/>
        <rFont val="Arial"/>
        <family val="2"/>
      </rPr>
      <t>Logro FM:</t>
    </r>
    <r>
      <rPr>
        <sz val="10"/>
        <color indexed="8"/>
        <rFont val="Arial"/>
        <family val="2"/>
      </rPr>
      <t xml:space="preserve"> </t>
    </r>
    <r>
      <rPr>
        <b/>
        <sz val="10"/>
        <color indexed="8"/>
        <rFont val="Arial"/>
        <family val="2"/>
      </rPr>
      <t xml:space="preserve">4079/12619= 32.3% </t>
    </r>
    <r>
      <rPr>
        <sz val="10"/>
        <color indexed="8"/>
        <rFont val="Arial"/>
        <family val="2"/>
      </rPr>
      <t xml:space="preserve">de post consejerías registradas, pendiente de recibir producción de PEPFAR.
</t>
    </r>
    <r>
      <rPr>
        <sz val="10"/>
        <rFont val="Arial"/>
        <family val="2"/>
      </rPr>
      <t xml:space="preserve">Post consejerías registradas: 4,079  esto debido a que el SUMEVE ha experimentado modificaciones para poder registrar las post consejerías y los CUIs de los usuarios, estos cambios fueron implementados a nivel de todas las UCSF y hospitales a partir de junio del presente año, lo que ha traído retrasos en la digitación y subregistro de la información. El PNVIH para superar esta situación enviará a los establecimientos de salud memorándum solicitando un barrido administrativo de las post consejerías con el fin de rescatar la información en el SUMEVE. Por lo tanto la información brindada en este Tablero de Mando es preliminar. </t>
    </r>
  </si>
  <si>
    <t>KP-3c Número y porcentaje de trabajadores sexuales que se sometieron a las pruebas y consejería del VIH y que recibieron sus resultados</t>
  </si>
  <si>
    <t xml:space="preserve"> Top Ten</t>
  </si>
  <si>
    <r>
      <t xml:space="preserve">Meta FM + PEPFAR: </t>
    </r>
    <r>
      <rPr>
        <b/>
        <sz val="10"/>
        <rFont val="Arial"/>
        <family val="2"/>
      </rPr>
      <t>7264</t>
    </r>
    <r>
      <rPr>
        <sz val="10"/>
        <rFont val="Arial"/>
        <family val="2"/>
      </rPr>
      <t xml:space="preserve"> MTS que se han realizado la prueba y que conocen sus resultados. 
</t>
    </r>
    <r>
      <rPr>
        <b/>
        <u/>
        <sz val="10"/>
        <rFont val="Arial"/>
        <family val="2"/>
      </rPr>
      <t>Meta FM:</t>
    </r>
    <r>
      <rPr>
        <sz val="10"/>
        <rFont val="Arial"/>
        <family val="2"/>
      </rPr>
      <t xml:space="preserve">  aporta el 94% equivalente a</t>
    </r>
    <r>
      <rPr>
        <b/>
        <sz val="10"/>
        <rFont val="Arial"/>
        <family val="2"/>
      </rPr>
      <t xml:space="preserve"> 6,798 </t>
    </r>
    <r>
      <rPr>
        <sz val="10"/>
        <rFont val="Arial"/>
        <family val="2"/>
      </rPr>
      <t>pruebas con post consejerías para esta población. (</t>
    </r>
    <r>
      <rPr>
        <b/>
        <sz val="10"/>
        <rFont val="Arial"/>
        <family val="2"/>
      </rPr>
      <t>logro Nacional 45%</t>
    </r>
    <r>
      <rPr>
        <sz val="10"/>
        <rFont val="Arial"/>
        <family val="2"/>
      </rPr>
      <t xml:space="preserve">)
</t>
    </r>
    <r>
      <rPr>
        <b/>
        <u/>
        <sz val="10"/>
        <rFont val="Arial"/>
        <family val="2"/>
      </rPr>
      <t xml:space="preserve">Número total de pruebas realizadas por FM (PLAN + MINSAL)=  </t>
    </r>
    <r>
      <rPr>
        <b/>
        <sz val="10"/>
        <rFont val="Arial"/>
        <family val="2"/>
      </rPr>
      <t>4,705</t>
    </r>
    <r>
      <rPr>
        <sz val="10"/>
        <rFont val="Arial"/>
        <family val="2"/>
      </rPr>
      <t xml:space="preserve"> pruebas 
</t>
    </r>
    <r>
      <rPr>
        <b/>
        <u/>
        <sz val="10"/>
        <rFont val="Arial"/>
        <family val="2"/>
      </rPr>
      <t>Pruebas realizadas por Unidades Móviles de PLAN:</t>
    </r>
    <r>
      <rPr>
        <sz val="10"/>
        <rFont val="Arial"/>
        <family val="2"/>
      </rPr>
      <t xml:space="preserve"> </t>
    </r>
    <r>
      <rPr>
        <b/>
        <sz val="10"/>
        <rFont val="Arial"/>
        <family val="2"/>
      </rPr>
      <t>2834</t>
    </r>
    <r>
      <rPr>
        <sz val="10"/>
        <rFont val="Arial"/>
        <family val="2"/>
      </rPr>
      <t xml:space="preserve"> pruebas
</t>
    </r>
    <r>
      <rPr>
        <b/>
        <u/>
        <sz val="10"/>
        <rFont val="Arial"/>
        <family val="2"/>
      </rPr>
      <t>Pruebas realizadas a través de referencias efectivas a UCSF+ actividades extramurales:</t>
    </r>
    <r>
      <rPr>
        <sz val="10"/>
        <rFont val="Arial"/>
        <family val="2"/>
      </rPr>
      <t xml:space="preserve"> </t>
    </r>
    <r>
      <rPr>
        <b/>
        <sz val="10"/>
        <rFont val="Arial"/>
        <family val="2"/>
      </rPr>
      <t xml:space="preserve">1,871 </t>
    </r>
    <r>
      <rPr>
        <sz val="10"/>
        <rFont val="Arial"/>
        <family val="2"/>
      </rPr>
      <t xml:space="preserve">pruebas
</t>
    </r>
    <r>
      <rPr>
        <b/>
        <u/>
        <sz val="10"/>
        <rFont val="Arial"/>
        <family val="2"/>
      </rPr>
      <t>Logro FM</t>
    </r>
    <r>
      <rPr>
        <b/>
        <sz val="10"/>
        <rFont val="Arial"/>
        <family val="2"/>
      </rPr>
      <t xml:space="preserve">: 3242/6798= 48% </t>
    </r>
    <r>
      <rPr>
        <sz val="10"/>
        <rFont val="Arial"/>
        <family val="2"/>
      </rPr>
      <t xml:space="preserve">de post consejerías registradas, pendiente recibir producción de PEPFAR
</t>
    </r>
    <r>
      <rPr>
        <b/>
        <sz val="10"/>
        <rFont val="Arial"/>
        <family val="2"/>
      </rPr>
      <t xml:space="preserve">
</t>
    </r>
    <r>
      <rPr>
        <sz val="10"/>
        <rFont val="Arial"/>
        <family val="2"/>
      </rPr>
      <t>Esto debido a que el SUMEVE ha experimentado modificaciones para poder registrar las post consejerías y los CUIs de los usuarios, estos cambios fueron implementados a nivel de todas las UCSF y hospitales a partir de junio del presente año, lo que ha traído retrasos en la digitación y subregistro de la misma. El PNVIH para superar esta situación enviará a los establecimientos de salud memorándum solicitando un barrido administrativo de las post consejerías con el fin de rescatar la información en el SUMEVE. Por lo tanto la información brindada en este Tablero de Mando es preliminar. Pendiente de recibir producción de PEPFAR</t>
    </r>
  </si>
  <si>
    <t>KP-3b Número y porcentaje de personas transgénero que se sometieron a las pruebas y consejería del VIH y que recibieron sus resultados</t>
  </si>
  <si>
    <r>
      <t>Meta 100% FM:</t>
    </r>
    <r>
      <rPr>
        <b/>
        <sz val="10"/>
        <rFont val="Arial"/>
        <family val="2"/>
      </rPr>
      <t xml:space="preserve"> 1126  </t>
    </r>
    <r>
      <rPr>
        <sz val="10"/>
        <rFont val="Arial"/>
        <family val="2"/>
      </rPr>
      <t xml:space="preserve">Trans que se han realizado la prueba y que han recibido post consejerías.
</t>
    </r>
    <r>
      <rPr>
        <b/>
        <u/>
        <sz val="10"/>
        <rFont val="Arial"/>
        <family val="2"/>
      </rPr>
      <t>Total de pruebas realizadas:</t>
    </r>
    <r>
      <rPr>
        <b/>
        <sz val="10"/>
        <rFont val="Arial"/>
        <family val="2"/>
      </rPr>
      <t xml:space="preserve"> 421
</t>
    </r>
    <r>
      <rPr>
        <b/>
        <u/>
        <sz val="10"/>
        <rFont val="Arial"/>
        <family val="2"/>
      </rPr>
      <t>Pruebas realizadas con Unidades móviles de PLAN:</t>
    </r>
    <r>
      <rPr>
        <b/>
        <sz val="10"/>
        <rFont val="Arial"/>
        <family val="2"/>
      </rPr>
      <t xml:space="preserve"> 341
</t>
    </r>
    <r>
      <rPr>
        <b/>
        <u/>
        <sz val="10"/>
        <rFont val="Arial"/>
        <family val="2"/>
      </rPr>
      <t xml:space="preserve">Pruebas realizadas a través de referencias efectivas a UCSF y actividades extramurales: </t>
    </r>
    <r>
      <rPr>
        <b/>
        <sz val="10"/>
        <rFont val="Arial"/>
        <family val="2"/>
      </rPr>
      <t xml:space="preserve">80
</t>
    </r>
    <r>
      <rPr>
        <b/>
        <u/>
        <sz val="10"/>
        <rFont val="Arial"/>
        <family val="2"/>
      </rPr>
      <t>Logro:</t>
    </r>
    <r>
      <rPr>
        <b/>
        <sz val="10"/>
        <rFont val="Arial"/>
        <family val="2"/>
      </rPr>
      <t xml:space="preserve"> 399/1126=  logro Nacional 35%</t>
    </r>
    <r>
      <rPr>
        <sz val="10"/>
        <rFont val="Arial"/>
        <family val="2"/>
      </rPr>
      <t xml:space="preserve"> post consejerías registradas.
A la fecha el SUMEVE registra que para esta población se ha realizado 421 pruebas de las cuales solo se tiene registradas 399 post consejerías, esto debido a que el SUMEVE ha experimentado modificaciones parta poder registrar las post consejerías y los CUIs de los usuarios, estos cambios fueron implementados a nivel de todas las UCSF y hospitales a partir de junio del presente año, lo que ha traído retrasos en la digitación y subregistro de la misma. El PNVIH para superar esta situación enviará a los establecimientos de salud memorándum solicitando un barrido administrativo de las post consejerías con el fin de rescatar la información en el SUMEVE. Por lo tanto la información brindada en este Tablero de Mando es preliminar.</t>
    </r>
  </si>
  <si>
    <t>TCS-3 Porcentaje de adultos y niños los cuales 12 meses despues de haber iniciado la TAR cuentan con una carga viral indetectable (&lt; 1000 copias)</t>
  </si>
  <si>
    <t>Este indicador mide el % de personas que inician tratamiento ARV y que 12 meses después de iniciarlo reporten una CV &lt; 1000 copias entre todas las personas con nuevo diagnostico que tengan aunque sea una CV en los 12 meses del diagnóstico.
La cohorte a presentar para el reporte del año 2017 es la del año 2015, durante este año se diagnosticaron 896 casos nuevos de los cuales 609 contaban con una CV y de estos 497 reportaron una CV &lt; de 1000 copias, obteniendo un logro del 81.6%</t>
  </si>
  <si>
    <t>KP-3e Número de personas privadas de libertad que se sometieron a las pruebas y consejería del VIH y que recibieron sus resultados</t>
  </si>
  <si>
    <t>Dato pendiente aún no se tiene el consolidado debido a los cambios que ha tenido el SUMEVE en la incorporación de las post consejerías.</t>
  </si>
  <si>
    <t>INDICADORES DE IMPACTO Y RESULTADOS</t>
  </si>
  <si>
    <r>
      <t>HIV I-9</t>
    </r>
    <r>
      <rPr>
        <vertAlign val="superscript"/>
        <sz val="14"/>
        <rFont val="Arial"/>
        <family val="2"/>
      </rPr>
      <t>a</t>
    </r>
    <r>
      <rPr>
        <sz val="14"/>
        <rFont val="Arial"/>
        <family val="2"/>
      </rPr>
      <t xml:space="preserve">    % de Hombres que tienen relaciones sexuales con hombres infectados por el VIH </t>
    </r>
  </si>
  <si>
    <t>Impacto</t>
  </si>
  <si>
    <t>Dato pendiente de ser enviado por el PNVIH</t>
  </si>
  <si>
    <t>Este dato se brindará en el próximo Tablero de Mando ya que al sistema SIAP de las VICITS se le esta realizando actualizaciones y depuración. Dato pendiente de ser enviado por el PNVIH Dato pendiente de ser enviado por el PNVIH</t>
  </si>
  <si>
    <t>HIV I-10   % de Trabajadoras sexuales  femeninas y masculinos infectados por el VIH</t>
  </si>
  <si>
    <t>HIV I-9b   % de Población Transgénero infectada por el VIH</t>
  </si>
  <si>
    <r>
      <t>HIV O-4</t>
    </r>
    <r>
      <rPr>
        <vertAlign val="superscript"/>
        <sz val="14"/>
        <rFont val="Arial"/>
        <family val="2"/>
      </rPr>
      <t xml:space="preserve">a  </t>
    </r>
    <r>
      <rPr>
        <sz val="14"/>
        <rFont val="Arial"/>
        <family val="2"/>
      </rPr>
      <t xml:space="preserve"> % de Hombres que reportan haber utilizado condón en su ultima relación sexual anal con una pareja masculina</t>
    </r>
  </si>
  <si>
    <t>Resultados</t>
  </si>
  <si>
    <t>Durante este semestre se han atendido 1014 HSH en las clínicas VICITS de los cuales  646 declararon haber tenido una practica sexual anal, de estos 354 declararon haber usado un condón en la ultima relación anal con otro hombre, alcanzando un logro del 55% con respecto a la población que declaro tener una practica anal.</t>
  </si>
  <si>
    <t xml:space="preserve">HIV O-4b % de personas transgénero que practican el trabajo sexual que reporta haber utilizado condón con su último cliente </t>
  </si>
  <si>
    <t xml:space="preserve">Resultados </t>
  </si>
  <si>
    <t>La meta para este indicador (44%) fue establecida a partir de la línea de base de año 2016 (42%)
Durante este semestre se han atendido 259 Mujeres trans  en las clínicas VICITS  de las cuales 75 declaran ejercer el trabajo sexual y de estas  65 refirieron haber utilizado un condón con su último cliente, alcanzando un logro del  86%.</t>
  </si>
  <si>
    <t>De las 625 TS atendidas durante el período de enero a junio 2017, 604 declararon haber utilizado un condón con su último cliente, alcanzando un logro del 97%</t>
  </si>
  <si>
    <t xml:space="preserve">HIV O-5   % de Trabajadoras del sexo que practican el trabajo sexual que reporta haber utilizado condón con su último cliente </t>
  </si>
  <si>
    <t>HIV O-1: % de adultos y niños con VIH quienes continúan en tratamiento 12 meses después de haber iniciado la terapia</t>
  </si>
  <si>
    <r>
      <t>Meta</t>
    </r>
    <r>
      <rPr>
        <sz val="10"/>
        <rFont val="Arial"/>
        <family val="2"/>
      </rPr>
      <t xml:space="preserve">: 85%
</t>
    </r>
    <r>
      <rPr>
        <b/>
        <u/>
        <sz val="10"/>
        <rFont val="Arial"/>
        <family val="2"/>
      </rPr>
      <t>Logro</t>
    </r>
    <r>
      <rPr>
        <sz val="10"/>
        <rFont val="Arial"/>
        <family val="2"/>
      </rPr>
      <t>: 76.9%
Durante el período de la cohorte de enero a diciembre 2016 iniciaron TAR 981 usuarios de los cuales 752 han permanecido en terapia hasta la fecha ya que el cohorte de este indicador llega hasta diciembre 2017, obteniendo un resultado preliminar de un 76.9%</t>
    </r>
  </si>
  <si>
    <t xml:space="preserve"> </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</si>
  <si>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</si>
  <si>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</si>
  <si>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</si>
  <si>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</si>
  <si>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</si>
  <si>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</si>
  <si>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</si>
  <si>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</si>
  <si>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</si>
  <si>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</si>
  <si>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</si>
  <si>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</si>
  <si>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</si>
  <si>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El ciclo de información de esta Subvención es Anual por lo tanto a la fecha no se han remitido ningun reporte al FM</t>
  </si>
  <si>
    <t>Último desembolso de fondos: Días calendario</t>
  </si>
  <si>
    <t>El RP MINSAL cuenta con los principales puestos directivos, no hay puestos vacantes.</t>
  </si>
  <si>
    <t>El RP MINSAL no cuenta con subreceptores</t>
  </si>
  <si>
    <t>Nivel de existencias expresado en meses de tratamiento para todos los pacientes actuales.</t>
  </si>
  <si>
    <t>Meses de existencias de seguridad</t>
  </si>
  <si>
    <t>Diferencia entre existencias actuales y existencias de seguridad</t>
  </si>
  <si>
    <t xml:space="preserve">                P7</t>
  </si>
  <si>
    <t>máx.</t>
  </si>
  <si>
    <t>Clasificación</t>
  </si>
  <si>
    <t>Indicadores de programa:</t>
  </si>
  <si>
    <t>KP-3c Número y porcentaje de trabajadoras sexuales que se sometieron a las pruebas y consejería del VIH y que recibieron sus resultados</t>
  </si>
  <si>
    <t>Comentario:</t>
  </si>
  <si>
    <t>Indicadores</t>
  </si>
  <si>
    <t>Lograda al 30 de junio</t>
  </si>
  <si>
    <t>0% - 59%</t>
  </si>
  <si>
    <t>60% - 89%</t>
  </si>
  <si>
    <t>&gt; 90%</t>
  </si>
  <si>
    <t>¿Cumplen lo acordado la adquisición y la contratación?</t>
  </si>
  <si>
    <t>Gestión</t>
  </si>
  <si>
    <t>Comentarios resumidos</t>
  </si>
  <si>
    <t>Recomendaciones</t>
  </si>
  <si>
    <t xml:space="preserve">El resultado alcanzado refleja el trabajo  realizado en conjunto  por la integración intersectorial,   desde hace 7 años, entre el Programa Nacional de VIH, personal de centros penales, personal de salud y grupos de apoyo que a traves de la metodología de pares se han capacitado a facilitadores de la población privada de libertad quienes posteriormente son los encargados de realizar las  intervenciones  de prevención, adherencia, estigma y discriminación, pre y pos consejerías; con las unidades móviles institucionales ( personal de laboratorio)  se les brinda tamizaje con la prueba del VIH a  esta población privada de libertad. Meta alcanzada y superada con un logro de cobertura del 107%. </t>
  </si>
  <si>
    <t>INDICADORES DE IMPACTO</t>
  </si>
  <si>
    <r>
      <t xml:space="preserve">Durante años anteriores este indicador no se reportaba, desde el año pasado durante la entrevista de la historia clínica en las VICITS, se realiza la segregación de cuantas mujeres trans ejercer el TS y a estas se les consulta cuantas han usado el condón con su último cliente, para el año pasado fueron pocas las que habían registradas como TS por lo que la línea de base de este indicador fue del 42%, para este año se ha realizado la segregación y se ha consultado a todas las Trans sobre si practica el TS y si usó condón con su último cliente y es de donde sale el resultado mostrado.
</t>
    </r>
    <r>
      <rPr>
        <b/>
        <u/>
        <sz val="11"/>
        <color indexed="8"/>
        <rFont val="Calibri"/>
        <family val="2"/>
      </rPr>
      <t>Numerador:</t>
    </r>
    <r>
      <rPr>
        <sz val="11"/>
        <color indexed="8"/>
        <rFont val="Calibri"/>
        <family val="2"/>
      </rPr>
      <t xml:space="preserve"> Número de mujeres trans que declaran practicar el TS y haber utilizado un condón con su último cliente. (65)
</t>
    </r>
    <r>
      <rPr>
        <b/>
        <u/>
        <sz val="11"/>
        <color indexed="8"/>
        <rFont val="Calibri"/>
        <family val="2"/>
      </rPr>
      <t>Denominador:</t>
    </r>
    <r>
      <rPr>
        <sz val="11"/>
        <color indexed="8"/>
        <rFont val="Calibri"/>
        <family val="2"/>
      </rPr>
      <t xml:space="preserve"> Número Total de mujeres Trans que declarar ejercer el TS. (75).
La interpretación del resultado es el siguiente de las 75 mujeres trans que declararon practicar el TS 65 dijeron haber utilizado un condón con su último cliente, esto resulta ser un 86% de las mujeres trans que practican el TS entrevistadas en las clínicas VICITS, notablemente se puede observar que este indicador supera el 100% de la meta establecida (44%) debido a que para la línea de base se utilizo la información con la que se contaba en el sistema al momento de la propuesta.
El instrumento con que se mide este indicador es a través de las preguntas que se realizan durante la historia clínica de las VICITS cuya información es sistematizada en el SIAP</t>
    </r>
  </si>
  <si>
    <t>¿Se están ejecutando los fondos de acuerdo al presupuesto?</t>
  </si>
  <si>
    <t>Financiera</t>
  </si>
  <si>
    <t>F1</t>
  </si>
  <si>
    <t>F2</t>
  </si>
  <si>
    <t>F3</t>
  </si>
  <si>
    <t>F4</t>
  </si>
  <si>
    <t>¿Están las adquisiciones y contrataciones ejecutándose en el tiempo previsto?</t>
  </si>
  <si>
    <t>M1</t>
  </si>
  <si>
    <t>M2</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</si>
  <si>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</si>
  <si>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</si>
  <si>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</si>
  <si>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</si>
  <si>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</si>
  <si>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</si>
  <si>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</si>
  <si>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</si>
  <si>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</si>
  <si>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</si>
  <si>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</si>
  <si>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</si>
  <si>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</si>
  <si>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</si>
  <si>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</si>
  <si>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 xml:space="preserve">Indicador kp -3a. MINSAL debera coordinar como reportar la pre y post consejerias alcanzadas por PEPFAR / PASMO en el periodo, que abonan al indicador. </t>
  </si>
  <si>
    <t xml:space="preserve">Indicador kp -3c. MINSAL debera coordinar como reportar la pre y post consejerias alcanzadas por PEPFAR / PASMO en el periodo, que abonan al indicador. </t>
  </si>
  <si>
    <t>Indicador HIV 04 b, presentar el instrumento utilizado para recoleccion del dato, y explicar como esta construido el indicador (el comité solicita clarificar y amplir la justificacion de este indicador y explicar la metodologia de calculo)</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</si>
  <si>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</si>
  <si>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</si>
  <si>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</si>
  <si>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</si>
  <si>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</si>
  <si>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</si>
  <si>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</si>
  <si>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</si>
  <si>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</si>
  <si>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</si>
  <si>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</si>
  <si>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</si>
  <si>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</si>
  <si>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</si>
  <si>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</si>
  <si>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Ronda 1</t>
  </si>
  <si>
    <t>Fase 1</t>
  </si>
  <si>
    <t>A1</t>
  </si>
  <si>
    <t>CA (Crown Agents)</t>
  </si>
  <si>
    <t>PASER</t>
  </si>
  <si>
    <t>Antigua y Barbuda</t>
  </si>
  <si>
    <t>MALARIA</t>
  </si>
  <si>
    <t>€</t>
  </si>
  <si>
    <t>Ronda 2</t>
  </si>
  <si>
    <t>A2</t>
  </si>
  <si>
    <t>DEL (Deloitte)</t>
  </si>
  <si>
    <t>Cicloserina 250mg</t>
  </si>
  <si>
    <t>Antillas Holandesas</t>
  </si>
  <si>
    <t>TB</t>
  </si>
  <si>
    <t>Ronda 3</t>
  </si>
  <si>
    <t>RCC</t>
  </si>
  <si>
    <t>B1</t>
  </si>
  <si>
    <t>DTT (DTT Emerging Markets)</t>
  </si>
  <si>
    <t>Kanamicina 1gr</t>
  </si>
  <si>
    <t>Argentina</t>
  </si>
  <si>
    <t>VIHSIDA / TB</t>
  </si>
  <si>
    <t>Ronda 4</t>
  </si>
  <si>
    <t>FIN (Finconsult)</t>
  </si>
  <si>
    <t>Etionamida 250mg</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</si>
  <si>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</si>
  <si>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</si>
  <si>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</si>
  <si>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</si>
  <si>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</si>
  <si>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</si>
  <si>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</si>
  <si>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</si>
  <si>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</si>
  <si>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</si>
  <si>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</si>
  <si>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</si>
  <si>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</si>
  <si>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</si>
  <si>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</si>
  <si>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</si>
  <si>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</si>
  <si>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</si>
  <si>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</si>
  <si>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</si>
  <si>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</si>
  <si>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</si>
  <si>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</si>
  <si>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</si>
  <si>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</si>
  <si>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</si>
  <si>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</si>
  <si>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</si>
  <si>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</si>
  <si>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</si>
  <si>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</si>
  <si>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</si>
  <si>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</si>
  <si>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</si>
  <si>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</si>
  <si>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</si>
  <si>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</si>
  <si>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</si>
  <si>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</si>
  <si>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</si>
  <si>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</si>
  <si>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</si>
  <si>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</si>
  <si>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</si>
  <si>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</si>
  <si>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</si>
  <si>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</si>
  <si>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</si>
  <si>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</si>
  <si>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</si>
  <si>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</si>
  <si>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</si>
  <si>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</si>
  <si>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</si>
  <si>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</si>
  <si>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</si>
  <si>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</si>
  <si>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</si>
  <si>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</si>
  <si>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</si>
  <si>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</si>
  <si>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</si>
  <si>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</si>
  <si>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</si>
  <si>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</si>
  <si>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07 de mayo 18</t>
  </si>
  <si>
    <t>JAIME BRIZ DE FELIPE</t>
  </si>
  <si>
    <t xml:space="preserve">La meta para este indicador es de 10,799 personas viviendo con VIH que se encuentran recibiendo TAR.
Actualmente el Ministerio de Salud esta brindando TAR a 9,208  usuarios los cuales cumplen criterios de inicio de terapia según las últimas guias clínicas, no existiendo listas de espera. </t>
  </si>
  <si>
    <t xml:space="preserve">Meta FM + PEPFAR: 14,618 personas HSH que se han realizado la prueba de VIH y que conocen sus resultados (logro Nacional 27%)
Meta FM: 12,619 HSH a los cuales se les debe hacer la prueba de VIH y deben conocer sus resultados. 
Número total de post consejerías brindadas FM (PLAN + MINSAL)= 12,362 post consejerías brindadas a esta población
Post consejerías brindadas por Unidades Móviles de PLAN:  7,541
Post consejerias brindadas a través de referencia efectivas a UCSF y actividades extramurales:4,821
Logro FM: 12,362/54140= 23% meta alcanzada para un logro de 85% de post consejerías registradas
PEPFAR: realizo 3,501 post consejerías a HSH
Logro Nacional ( PEPFAR + FM): 15,863/54140=29.3% meta alcanzada para un logro de 109%
Este indicador se logro alcanzar a través de las actividades realizadas con las unidades móviles de Plan y el trabajo conjunto de los subreceptores de PLAN y el personal de salud de las diferentes UCSF que poseen laboratorio a través de coordinaciones efectivas  y el trabajo de PEPFAR.-
</t>
  </si>
  <si>
    <t xml:space="preserve">Meta FM + PEPFAR: 7264 TS que se han realizado la prueba de VIH y que conocen sus resultados (logro Nacional 55%)
Meta FM: 12,619 TS a los cuales se les debe hacer la prueba de VIH y deben conocer sus resultados. 
Número total de post consejerías brindadas FM (PLAN + MINSAL)= 6,026 post consejerías brindadas a esta población
Post consejerías brindadas por Unidades Móviles de PLAN:  4,076
Post consejerias brindadas a través de referencia efectivas a UCSF y actividades extramurales:1,950
Logro FM: 6,026/13,305= 45% meta alcanzada para un logro de 83% de post consejerías registradas
PEPFAR: realizo 1,122 post consejerías a TS
Logro Nacional ( PEPFAR + FM): 7,148/13.305= 54% meta alcanzada para un logro de 98%
Este indicador se logro alcanzar a través de las actividades realizadas con las unidades móviles de Plan y el trabajo conjunto de los subreceptores de PLAN y el personal de salud de las diferentes UCSF que poseen laboratorio a través de coordinaciones efectivas y el trabajo de PEPFAR
</t>
  </si>
  <si>
    <t xml:space="preserve">Meta FM : 1,126 que se han realizado la prueba de VIH y que conocen sus resultados (logro Nacional 56% %)
Número total de post consejerías FM (PLAN + MINSAL)= 824 post consejerías brindadas a esta población
Post consejerías brindadas por Unidades Móviles de PLAN:  586
Post consejerias brindadas a través de referencia efectivas a UCSF y actividades extramurales:238
Logro FM: 824/2011= 41% de meta alcanzada para un logro de 73% de post consejerías registradas a poblacion de Mujeres Trans
Este indicador se logro alcanzar a través de las actividades realizadas con las unidades móviles de Plan y el trabajo conjunto de los subreceptores de PLAN y el personal de salud de las diferentes UCSF que poseen laboratorio a través de coordinaciones efectivas.
</t>
  </si>
  <si>
    <t>De los 609 usuarios que iniciaron TAR durante la cohorte del año 2015 , 497 se encuentran con CV indetectable, alcanzando una meta de 81.6% para un logro del 120% en este período.</t>
  </si>
  <si>
    <t xml:space="preserve">La meta para este indicador es de 22852 post cnsejerías (70%) y se alcanzo a realizar 15,162 lo que representa un 54.6% para un logro de 78%.
Para los indicadores de post consejerías se cambio en el formulario de post consejerias el cual se inicio a utilizar a partir de julio del 2,017, por lo que existe un considerado porcentaje de formularios pendiente de incorporar en el sistema debido al proceso de adaptacion a la nueva dinamica de registro. </t>
  </si>
  <si>
    <t>Esta información se obtiene de las atenciones que se brindan en las clínicas VICITS a traves de los expedientes clinicos de cada uno de los usuarios.</t>
  </si>
  <si>
    <t>Un 58% de los usuarios HSH  que asisten a las clinicas VICITS respondieron haber utilizado el condón en su última relacion sexo anal.</t>
  </si>
  <si>
    <t>De 578 mujeres trans que consultaron en las clínicas VICITS 159 indicaron que realizan trabajo sexual  y de estas 135  declararon haber utilizado un condón con su último cliente alcanzando un 84% de la meta.</t>
  </si>
  <si>
    <t xml:space="preserve">Un 95% de las TS que asisten a las clinicas VICITS respondieron haber utilizado condón con su último cliente.
</t>
  </si>
  <si>
    <t>De los 897 usuarios que iniciaron TAR registrados en el SUMEVE, 787 permanecieron en TAR 12 meses después de haber iniciado la terapia, alcanzando un logro de un 87.7%. Para alcanzar estos resultados se ha reforzado la estrategia de adherencia que se ha establecido en los hospitales que brindan la TAR con apoyo de Capacity y los promotores de salud del MINSAL, a través de llamadas telefónicas y visitas domiciliares.</t>
  </si>
  <si>
    <t>Para este período se han presentado a tiempo todas las condiciones precedentes, se esta pendiente de retroalimentacion del FM para darlas por cumplidas</t>
  </si>
  <si>
    <t>Actualmente el 100% de los usuarios que consultan a los Hospitales con TAR y que cumplen criterios para iniciar la misma se encuentran recibiendo tratamiento.
En relación a la meta del año 2017 un  85% de los pacientes estimados  viviendo con VIH se encuentran en TAR.</t>
  </si>
  <si>
    <t>Para este indicador se obtuvo un logro del 98% esto debido al trabajo de las Unidades Móviles de PLAN y la coordinación entre los Sub receptores con las diferentes UCSF para la realización de referencias efectivas y actividades extramurales.</t>
  </si>
  <si>
    <t>95.3%</t>
  </si>
  <si>
    <t>Con presupuesto del Fondo Mundial actualmente no se adquieren ARV, 
 Casi un 50% de los usuarios VIH (+) utilizan Efavirenz + emtricitabina + tenofovir ( ATRIPLA) por lo cual es el que se esta reportando.
De este no se ha tenido desabastecimiento, ni vencimientos  durante el período de enero a diciembre del  año 2017 y se cuenta con existencias para 9 meses dándole cobertura a los 3,734 pacientes que actualmente se encuentran recibiendo dicho medicamento.</t>
  </si>
  <si>
    <t>Para el primer semestre se tuvo retrasos en la adquisición de 2 ARV situación que se solvento con préstamos al ISSS. En cuanto a reactivos no se presento retraso durante este período, ya que se contaba con los reactivos que fueron adquiridos con presupuesto 2016 y recibidos a inicios del año en curso.</t>
  </si>
  <si>
    <t>Se ha realizado un esfuerzo conjunto con PLAN Internacional logrando así mejorar la cobertura de años anteriores, aún existen muchas barreras que superar y que dificultanel abrodaje hacia esta poblción tales como:  dificultad en encontrar el número de HSH estimados por Departamentos, altos grados de delincuencia hacia estas poblaciones y la población en general.
El número de referencias efectivas y actividades extramurales registradas durante el período de enero a diciembre 2017 en el SUMEVE para esta población es de  4,821</t>
  </si>
  <si>
    <t>1 de julio de 2017</t>
  </si>
  <si>
    <t>Intereses percibidos en cuenta de ahorro del 1 de enero al 31 de diciembre de 2017</t>
  </si>
  <si>
    <t>El presupuesto aprobado por Fondo Mundial para el año 1: Enero a Diciembre 2017  fue por la cantidad de $2,556,011.00; durante ese periodo el donante realizo desembolsos por la  suman total presupuestado $ 2,556,011.00 el cual representa el 100% del presupuesto asignado para ese periodo.</t>
  </si>
  <si>
    <t>FSS - Financiamiento de la atención sanitaria</t>
  </si>
  <si>
    <t>Gestión de programas</t>
  </si>
  <si>
    <t>Prevención - Hombres que tienen relaciones sexuales con hombres y personas transgénero</t>
  </si>
  <si>
    <t>Programas de prevención integral para trabajadores del sexo y sus clientes</t>
  </si>
  <si>
    <t>Programas de prevención para otras poblaciones vulnerables</t>
  </si>
  <si>
    <t>PTMI</t>
  </si>
  <si>
    <t>SSRS: Recursos humanos para la salud, incluidos trabajadores de salud comunitarios</t>
  </si>
  <si>
    <t>SSRS: Sistemas de información en salud y monitoreo y evaluación</t>
  </si>
  <si>
    <t>TB/VIH</t>
  </si>
  <si>
    <t>Tratamiento, atención y apoyo</t>
  </si>
  <si>
    <t>%</t>
  </si>
  <si>
    <t>F2: Presupuesto y gastos reales por Módulo de la subvención</t>
  </si>
  <si>
    <t>Módulos de la subvención</t>
  </si>
  <si>
    <t xml:space="preserve">La ejecución acumulada del proyecto por modulos se observa en la gráfica que el módulo que ha alcanzado un 88% de ejecución es el de tratamiento, atención y apoyo ya que se han pagado todas las compras de reactivos de carga viral y CD4 que fueron adquiridos para el año. Asi tambien el modulo de SSRS: Recursos humanos para la salud, incluidos trabajadores de salud comunitaria unicamente se alcanzo una ejecución del 2%  debido a que no fue factible la contratación del Diplomado Virtual,  reprogramandose los fondos para pagos de reactivos del año 2016 y que fueron pagadas en octubre 2017. </t>
  </si>
  <si>
    <t>Al cierre del periodo 2017 se observa en la gráfica un gasto del 53%, un compromisos del 12% en relación a los $ 2,556,011.00 del presupuesto anual aprobado. Los compromisos (reactivos, medicamentos y alimentación) de lo cual a la fecha hemos pagado el 91% el 9% son capacitaciones que se pagan según realización y la auditoria. así mismo se reprogramaron fondos por un  monto de $159,050.79; y se recalendarizo un monto de $ 311,189.79  para  ejecutarse durante el año 2018</t>
  </si>
  <si>
    <t xml:space="preserve">Saldo en Caja al 31 de Diciembre MINSAL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</si>
</sst>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64" formatCode="_([$€]* #,##0.00_);_([$€]* \(#,##0.00\);_([$€]* \-??_);_(@_)"/>
    <numFmt numFmtId="165" formatCode="_(* #,##0.00_);_(* \(#,##0.00\);_(* \-??_);_(@_)"/>
    <numFmt numFmtId="166" formatCode="_(\Q* #,##0.00_);_(\Q* \(#,##0.00\);_(\Q* \-??_);_(@_)"/>
    <numFmt numFmtId="167" formatCode="d&quot; de &quot;mmm&quot; de &quot;yy"/>
    <numFmt numFmtId="168" formatCode="\Q#,##0_);[Red]&quot;(Q&quot;#,##0\)"/>
    <numFmt numFmtId="169" formatCode="_(* #,##0_);_(* \(#,##0\);_(* \-??_);_(@_)"/>
    <numFmt numFmtId="170" formatCode="\$#,##0"/>
    <numFmt numFmtId="171" formatCode="\$#,##0.00"/>
    <numFmt numFmtId="172" formatCode="#.##0"/>
    <numFmt numFmtId="173" formatCode="[$$-409]#,##0"/>
    <numFmt numFmtId="174" formatCode="_(\$* #,##0.00_);_(\$* \(#,##0.00\);_(\$* \-??_);_(@_)"/>
    <numFmt numFmtId="175" formatCode="#.##000"/>
    <numFmt numFmtId="176" formatCode="_-[$$-240A]* #,##0.00000_-;\-[$$-240A]* #,##0.00000_-;_-[$$-240A]* \-?????_-;_-@_-"/>
    <numFmt numFmtId="177" formatCode="000%"/>
    <numFmt numFmtId="178" formatCode="_-\$* #,##0.00_-;&quot;-$&quot;* #,##0.00_-;_-\$* \-??_-;_-@_-"/>
    <numFmt numFmtId="179" formatCode="_-[$$-240A]* #,##0.00_-;\-[$$-240A]* #,##0.00_-;_-[$$-240A]* \-?????_-;_-@_-"/>
    <numFmt numFmtId="180" formatCode="_-[$$-240A]* #,##0.00_-;\-[$$-240A]* #,##0.00_-;_-[$$-240A]* \-??_-;_-@_-"/>
    <numFmt numFmtId="181" formatCode="\$#,##0.000"/>
    <numFmt numFmtId="182" formatCode="0.0"/>
    <numFmt numFmtId="183" formatCode="#"/>
    <numFmt numFmtId="184" formatCode="#,#00.0%"/>
    <numFmt numFmtId="185" formatCode="#,##0.0"/>
    <numFmt numFmtId="186" formatCode="#,#00.00%"/>
    <numFmt numFmtId="187" formatCode="#,##0.0%"/>
    <numFmt numFmtId="188" formatCode="#,#00%"/>
    <numFmt numFmtId="189" formatCode="#.00"/>
    <numFmt numFmtId="190" formatCode="#.0"/>
    <numFmt numFmtId="191" formatCode="dd\/mm\/yyyy"/>
    <numFmt numFmtId="192" formatCode="[$$-409]#,##0_);\([$$-409]#,##0\)"/>
    <numFmt numFmtId="193" formatCode="d/mmm/yyyy;@"/>
    <numFmt numFmtId="194" formatCode="dd\/mm\/yy\ hh:mm"/>
    <numFmt numFmtId="195" formatCode="000"/>
    <numFmt numFmtId="196" formatCode="#,###.0%"/>
    <numFmt numFmtId="197" formatCode=";;;"/>
    <numFmt numFmtId="198" formatCode=";;;&quot;Financial Variance in %&quot;"/>
    <numFmt numFmtId="199" formatCode="#.##"/>
    <numFmt numFmtId="200" formatCode="#.#"/>
    <numFmt numFmtId="201" formatCode="0.0%"/>
    <numFmt numFmtId="202" formatCode="_(\$* #,##0_);_(\$* \(#,##0\);_(\$* \-??_);_(@_)"/>
    <numFmt numFmtId="203" formatCode="_-[$$-240A]* #,##0.0_-;\-[$$-240A]* #,##0.0_-;_-[$$-240A]* \-?????_-;_-@_-"/>
  </numFmts>
  <fonts count="109">
    <font>
      <sz val="11"/>
      <color indexed="8"/>
      <name val="Calibri"/>
      <family val="2"/>
    </font>
    <font>
      <sz val="10"/>
      <name val="Arial"/>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sz val="11"/>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color indexed="10"/>
      <name val="Calibri"/>
      <family val="2"/>
    </font>
    <font>
      <b/>
      <sz val="14"/>
      <color indexed="40"/>
      <name val="Calibri"/>
      <family val="2"/>
    </font>
    <font>
      <b/>
      <sz val="14"/>
      <color indexed="44"/>
      <name val="Calibri"/>
      <family val="2"/>
    </font>
    <font>
      <sz val="11"/>
      <color indexed="40"/>
      <name val="Calibri"/>
      <family val="2"/>
    </font>
    <font>
      <b/>
      <sz val="14"/>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sz val="14"/>
      <name val="Arial"/>
      <family val="2"/>
    </font>
    <font>
      <b/>
      <sz val="10"/>
      <color indexed="16"/>
      <name val="Arial"/>
      <family val="2"/>
    </font>
    <font>
      <vertAlign val="superscript"/>
      <sz val="14"/>
      <name val="Arial"/>
      <family val="2"/>
    </font>
    <font>
      <b/>
      <u/>
      <sz val="10"/>
      <name val="Arial"/>
      <family val="2"/>
    </font>
    <font>
      <b/>
      <u/>
      <sz val="10"/>
      <color indexed="8"/>
      <name val="Arial"/>
      <family val="2"/>
    </font>
    <font>
      <b/>
      <sz val="10"/>
      <color indexed="8"/>
      <name val="Arial"/>
      <family val="2"/>
    </font>
    <font>
      <sz val="48"/>
      <color indexed="8"/>
      <name val="Calibri"/>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sz val="11"/>
      <color indexed="29"/>
      <name val="Calibri"/>
      <family val="2"/>
    </font>
    <font>
      <b/>
      <sz val="9"/>
      <name val="Calibri"/>
      <family val="2"/>
    </font>
    <font>
      <sz val="18"/>
      <color indexed="8"/>
      <name val="Calibri"/>
      <family val="2"/>
    </font>
    <font>
      <b/>
      <u/>
      <sz val="11"/>
      <color indexed="8"/>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charset val="2"/>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1"/>
      <color indexed="8"/>
      <name val="Calibri"/>
      <family val="2"/>
    </font>
    <font>
      <sz val="9"/>
      <color indexed="8"/>
      <name val="Arial"/>
      <family val="2"/>
      <charset val="1"/>
    </font>
    <font>
      <sz val="9"/>
      <name val="Arial"/>
      <family val="2"/>
    </font>
  </fonts>
  <fills count="19">
    <fill>
      <patternFill patternType="none"/>
    </fill>
    <fill>
      <patternFill patternType="gray125"/>
    </fill>
    <fill>
      <patternFill patternType="solid">
        <fgColor indexed="18"/>
        <bgColor indexed="56"/>
      </patternFill>
    </fill>
    <fill>
      <patternFill patternType="solid">
        <fgColor indexed="62"/>
        <bgColor indexed="56"/>
      </patternFill>
    </fill>
    <fill>
      <patternFill patternType="solid">
        <fgColor indexed="47"/>
        <bgColor indexed="41"/>
      </patternFill>
    </fill>
    <fill>
      <patternFill patternType="solid">
        <fgColor indexed="44"/>
        <bgColor indexed="24"/>
      </patternFill>
    </fill>
    <fill>
      <patternFill patternType="solid">
        <fgColor indexed="43"/>
        <bgColor indexed="41"/>
      </patternFill>
    </fill>
    <fill>
      <patternFill patternType="solid">
        <fgColor indexed="9"/>
        <bgColor indexed="26"/>
      </patternFill>
    </fill>
    <fill>
      <patternFill patternType="solid">
        <fgColor indexed="57"/>
        <bgColor indexed="38"/>
      </patternFill>
    </fill>
    <fill>
      <patternFill patternType="solid">
        <fgColor indexed="22"/>
        <bgColor indexed="31"/>
      </patternFill>
    </fill>
    <fill>
      <patternFill patternType="solid">
        <fgColor indexed="61"/>
        <bgColor indexed="29"/>
      </patternFill>
    </fill>
    <fill>
      <patternFill patternType="solid">
        <fgColor indexed="41"/>
        <bgColor indexed="43"/>
      </patternFill>
    </fill>
    <fill>
      <patternFill patternType="solid">
        <fgColor indexed="26"/>
        <bgColor indexed="9"/>
      </patternFill>
    </fill>
    <fill>
      <patternFill patternType="solid">
        <fgColor indexed="25"/>
        <bgColor indexed="60"/>
      </patternFill>
    </fill>
    <fill>
      <patternFill patternType="solid">
        <fgColor indexed="13"/>
        <bgColor indexed="34"/>
      </patternFill>
    </fill>
    <fill>
      <patternFill patternType="solid">
        <fgColor indexed="11"/>
        <bgColor indexed="49"/>
      </patternFill>
    </fill>
    <fill>
      <patternFill patternType="solid">
        <fgColor indexed="42"/>
        <bgColor indexed="27"/>
      </patternFill>
    </fill>
    <fill>
      <patternFill patternType="solid">
        <fgColor theme="5" tint="0.39997558519241921"/>
        <bgColor indexed="41"/>
      </patternFill>
    </fill>
    <fill>
      <patternFill patternType="solid">
        <fgColor theme="5" tint="0.39997558519241921"/>
        <bgColor indexed="64"/>
      </patternFill>
    </fill>
  </fills>
  <borders count="166">
    <border>
      <left/>
      <right/>
      <top/>
      <bottom/>
      <diagonal/>
    </border>
    <border>
      <left/>
      <right/>
      <top/>
      <bottom style="medium">
        <color indexed="30"/>
      </bottom>
      <diagonal/>
    </border>
    <border>
      <left style="thin">
        <color indexed="32"/>
      </left>
      <right style="thin">
        <color indexed="32"/>
      </right>
      <top style="thin">
        <color indexed="32"/>
      </top>
      <bottom style="thin">
        <color indexed="32"/>
      </bottom>
      <diagonal/>
    </border>
    <border>
      <left/>
      <right/>
      <top style="thin">
        <color indexed="32"/>
      </top>
      <bottom/>
      <diagonal/>
    </border>
    <border>
      <left style="thin">
        <color indexed="32"/>
      </left>
      <right style="thin">
        <color indexed="32"/>
      </right>
      <top style="thin">
        <color indexed="32"/>
      </top>
      <bottom/>
      <diagonal/>
    </border>
    <border>
      <left style="thin">
        <color indexed="32"/>
      </left>
      <right style="thin">
        <color indexed="32"/>
      </right>
      <top/>
      <bottom style="thin">
        <color indexed="32"/>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bottom/>
      <diagonal/>
    </border>
    <border>
      <left style="thin">
        <color indexed="32"/>
      </left>
      <right/>
      <top/>
      <bottom/>
      <diagonal/>
    </border>
    <border>
      <left/>
      <right style="thin">
        <color indexed="32"/>
      </right>
      <top/>
      <bottom/>
      <diagonal/>
    </border>
    <border>
      <left/>
      <right/>
      <top/>
      <bottom style="medium">
        <color indexed="60"/>
      </bottom>
      <diagonal/>
    </border>
    <border>
      <left style="medium">
        <color indexed="60"/>
      </left>
      <right style="medium">
        <color indexed="60"/>
      </right>
      <top style="medium">
        <color indexed="60"/>
      </top>
      <bottom style="medium">
        <color indexed="60"/>
      </bottom>
      <diagonal/>
    </border>
    <border>
      <left/>
      <right/>
      <top style="medium">
        <color indexed="60"/>
      </top>
      <bottom/>
      <diagonal/>
    </border>
    <border>
      <left style="medium">
        <color indexed="16"/>
      </left>
      <right style="medium">
        <color indexed="16"/>
      </right>
      <top style="medium">
        <color indexed="16"/>
      </top>
      <bottom style="thin">
        <color indexed="16"/>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16"/>
      </left>
      <right style="thin">
        <color indexed="16"/>
      </right>
      <top/>
      <bottom style="thin">
        <color indexed="16"/>
      </bottom>
      <diagonal/>
    </border>
    <border>
      <left style="thin">
        <color indexed="16"/>
      </left>
      <right style="thin">
        <color indexed="16"/>
      </right>
      <top style="thin">
        <color indexed="16"/>
      </top>
      <bottom/>
      <diagonal/>
    </border>
    <border>
      <left style="medium">
        <color indexed="16"/>
      </left>
      <right style="medium">
        <color indexed="16"/>
      </right>
      <top style="thin">
        <color indexed="16"/>
      </top>
      <bottom style="medium">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thin">
        <color indexed="32"/>
      </left>
      <right style="thin">
        <color indexed="32"/>
      </right>
      <top style="thin">
        <color indexed="32"/>
      </top>
      <bottom style="medium">
        <color indexed="16"/>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32"/>
      </left>
      <right style="medium">
        <color indexed="32"/>
      </right>
      <top style="medium">
        <color indexed="32"/>
      </top>
      <bottom style="medium">
        <color indexed="32"/>
      </bottom>
      <diagonal/>
    </border>
    <border>
      <left style="medium">
        <color indexed="60"/>
      </left>
      <right/>
      <top style="medium">
        <color indexed="60"/>
      </top>
      <bottom style="thin">
        <color indexed="32"/>
      </bottom>
      <diagonal/>
    </border>
    <border>
      <left style="thin">
        <color indexed="60"/>
      </left>
      <right style="thin">
        <color indexed="60"/>
      </right>
      <top style="medium">
        <color indexed="60"/>
      </top>
      <bottom style="thin">
        <color indexed="32"/>
      </bottom>
      <diagonal/>
    </border>
    <border>
      <left/>
      <right style="medium">
        <color indexed="60"/>
      </right>
      <top style="medium">
        <color indexed="60"/>
      </top>
      <bottom/>
      <diagonal/>
    </border>
    <border>
      <left style="medium">
        <color indexed="60"/>
      </left>
      <right style="thin">
        <color indexed="32"/>
      </right>
      <top style="thin">
        <color indexed="32"/>
      </top>
      <bottom style="thin">
        <color indexed="32"/>
      </bottom>
      <diagonal/>
    </border>
    <border>
      <left style="thin">
        <color indexed="32"/>
      </left>
      <right style="medium">
        <color indexed="60"/>
      </right>
      <top style="thin">
        <color indexed="32"/>
      </top>
      <bottom style="thin">
        <color indexed="32"/>
      </bottom>
      <diagonal/>
    </border>
    <border>
      <left style="medium">
        <color indexed="60"/>
      </left>
      <right style="thin">
        <color indexed="32"/>
      </right>
      <top style="thin">
        <color indexed="32"/>
      </top>
      <bottom style="medium">
        <color indexed="60"/>
      </bottom>
      <diagonal/>
    </border>
    <border>
      <left style="thin">
        <color indexed="32"/>
      </left>
      <right style="thin">
        <color indexed="32"/>
      </right>
      <top style="thin">
        <color indexed="32"/>
      </top>
      <bottom style="medium">
        <color indexed="60"/>
      </bottom>
      <diagonal/>
    </border>
    <border>
      <left style="medium">
        <color indexed="16"/>
      </left>
      <right style="medium">
        <color indexed="16"/>
      </right>
      <top style="medium">
        <color indexed="16"/>
      </top>
      <bottom style="thin">
        <color indexed="32"/>
      </bottom>
      <diagonal/>
    </border>
    <border>
      <left style="medium">
        <color indexed="16"/>
      </left>
      <right style="thin">
        <color indexed="32"/>
      </right>
      <top style="thin">
        <color indexed="32"/>
      </top>
      <bottom style="thin">
        <color indexed="32"/>
      </bottom>
      <diagonal/>
    </border>
    <border>
      <left style="thin">
        <color indexed="32"/>
      </left>
      <right style="medium">
        <color indexed="16"/>
      </right>
      <top style="thin">
        <color indexed="32"/>
      </top>
      <bottom style="thin">
        <color indexed="32"/>
      </bottom>
      <diagonal/>
    </border>
    <border>
      <left style="medium">
        <color indexed="32"/>
      </left>
      <right style="thin">
        <color indexed="32"/>
      </right>
      <top style="thin">
        <color indexed="32"/>
      </top>
      <bottom style="thin">
        <color indexed="32"/>
      </bottom>
      <diagonal/>
    </border>
    <border>
      <left style="medium">
        <color indexed="16"/>
      </left>
      <right style="thin">
        <color indexed="32"/>
      </right>
      <top style="thin">
        <color indexed="32"/>
      </top>
      <bottom style="medium">
        <color indexed="16"/>
      </bottom>
      <diagonal/>
    </border>
    <border>
      <left style="thin">
        <color indexed="32"/>
      </left>
      <right style="medium">
        <color indexed="16"/>
      </right>
      <top style="thin">
        <color indexed="32"/>
      </top>
      <bottom style="medium">
        <color indexed="16"/>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medium">
        <color indexed="48"/>
      </left>
      <right style="thin">
        <color indexed="32"/>
      </right>
      <top style="medium">
        <color indexed="48"/>
      </top>
      <bottom style="thin">
        <color indexed="32"/>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medium">
        <color indexed="32"/>
      </left>
      <right style="thin">
        <color indexed="32"/>
      </right>
      <top/>
      <bottom style="thin">
        <color indexed="32"/>
      </bottom>
      <diagonal/>
    </border>
    <border>
      <left style="thin">
        <color indexed="32"/>
      </left>
      <right style="thin">
        <color indexed="32"/>
      </right>
      <top style="medium">
        <color indexed="32"/>
      </top>
      <bottom style="thin">
        <color indexed="32"/>
      </bottom>
      <diagonal/>
    </border>
    <border>
      <left style="thin">
        <color indexed="32"/>
      </left>
      <right style="medium">
        <color indexed="32"/>
      </right>
      <top style="medium">
        <color indexed="32"/>
      </top>
      <bottom style="thin">
        <color indexed="32"/>
      </bottom>
      <diagonal/>
    </border>
    <border>
      <left style="thin">
        <color indexed="58"/>
      </left>
      <right style="thin">
        <color indexed="58"/>
      </right>
      <top style="thin">
        <color indexed="58"/>
      </top>
      <bottom style="thin">
        <color indexed="58"/>
      </bottom>
      <diagonal/>
    </border>
    <border>
      <left/>
      <right/>
      <top/>
      <bottom style="medium">
        <color indexed="51"/>
      </bottom>
      <diagonal/>
    </border>
    <border>
      <left style="medium">
        <color indexed="51"/>
      </left>
      <right style="medium">
        <color indexed="51"/>
      </right>
      <top style="medium">
        <color indexed="51"/>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thin">
        <color indexed="16"/>
      </left>
      <right style="medium">
        <color indexed="51"/>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right style="thin">
        <color indexed="32"/>
      </right>
      <top/>
      <bottom style="thin">
        <color indexed="32"/>
      </bottom>
      <diagonal/>
    </border>
    <border>
      <left/>
      <right style="medium">
        <color indexed="51"/>
      </right>
      <top/>
      <bottom style="thin">
        <color indexed="32"/>
      </bottom>
      <diagonal/>
    </border>
    <border>
      <left/>
      <right style="medium">
        <color indexed="51"/>
      </right>
      <top/>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thin">
        <color indexed="28"/>
      </left>
      <right style="thin">
        <color indexed="28"/>
      </right>
      <top style="thin">
        <color indexed="28"/>
      </top>
      <bottom style="thin">
        <color indexed="28"/>
      </bottom>
      <diagonal/>
    </border>
    <border>
      <left style="thin">
        <color indexed="32"/>
      </left>
      <right style="medium">
        <color indexed="51"/>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style="medium">
        <color indexed="51"/>
      </right>
      <top style="thin">
        <color indexed="32"/>
      </top>
      <bottom/>
      <diagonal/>
    </border>
    <border>
      <left style="medium">
        <color indexed="51"/>
      </left>
      <right style="thin">
        <color indexed="32"/>
      </right>
      <top style="thin">
        <color indexed="32"/>
      </top>
      <bottom/>
      <diagonal/>
    </border>
    <border>
      <left style="thin">
        <color indexed="32"/>
      </left>
      <right style="thin">
        <color indexed="32"/>
      </right>
      <top style="thin">
        <color indexed="32"/>
      </top>
      <bottom style="medium">
        <color indexed="51"/>
      </bottom>
      <diagonal/>
    </border>
    <border>
      <left style="thin">
        <color indexed="32"/>
      </left>
      <right style="medium">
        <color indexed="51"/>
      </right>
      <top style="thin">
        <color indexed="32"/>
      </top>
      <bottom style="medium">
        <color indexed="51"/>
      </bottom>
      <diagonal/>
    </border>
    <border>
      <left style="thin">
        <color indexed="28"/>
      </left>
      <right style="thin">
        <color indexed="28"/>
      </right>
      <top style="thin">
        <color indexed="28"/>
      </top>
      <bottom style="medium">
        <color indexed="51"/>
      </bottom>
      <diagonal/>
    </border>
    <border>
      <left/>
      <right/>
      <top style="thin">
        <color indexed="30"/>
      </top>
      <bottom style="thin">
        <color indexed="30"/>
      </bottom>
      <diagonal/>
    </border>
    <border>
      <left style="medium">
        <color indexed="32"/>
      </left>
      <right style="medium">
        <color indexed="32"/>
      </right>
      <top style="medium">
        <color indexed="32"/>
      </top>
      <bottom style="thin">
        <color indexed="32"/>
      </bottom>
      <diagonal/>
    </border>
    <border>
      <left style="medium">
        <color indexed="32"/>
      </left>
      <right style="medium">
        <color indexed="32"/>
      </right>
      <top style="thin">
        <color indexed="32"/>
      </top>
      <bottom style="thin">
        <color indexed="32"/>
      </bottom>
      <diagonal/>
    </border>
    <border>
      <left style="thin">
        <color indexed="32"/>
      </left>
      <right style="medium">
        <color indexed="32"/>
      </right>
      <top style="thin">
        <color indexed="32"/>
      </top>
      <bottom style="thin">
        <color indexed="32"/>
      </bottom>
      <diagonal/>
    </border>
    <border>
      <left style="medium">
        <color indexed="32"/>
      </left>
      <right style="medium">
        <color indexed="32"/>
      </right>
      <top style="thin">
        <color indexed="32"/>
      </top>
      <bottom style="medium">
        <color indexed="32"/>
      </bottom>
      <diagonal/>
    </border>
    <border>
      <left style="medium">
        <color indexed="32"/>
      </left>
      <right style="thin">
        <color indexed="32"/>
      </right>
      <top style="thin">
        <color indexed="32"/>
      </top>
      <bottom style="medium">
        <color indexed="32"/>
      </bottom>
      <diagonal/>
    </border>
    <border>
      <left style="thin">
        <color indexed="32"/>
      </left>
      <right style="medium">
        <color indexed="32"/>
      </right>
      <top style="thin">
        <color indexed="32"/>
      </top>
      <bottom style="medium">
        <color indexed="32"/>
      </bottom>
      <diagonal/>
    </border>
    <border>
      <left style="thin">
        <color indexed="32"/>
      </left>
      <right style="thin">
        <color indexed="32"/>
      </right>
      <top style="thin">
        <color indexed="32"/>
      </top>
      <bottom style="medium">
        <color indexed="32"/>
      </bottom>
      <diagonal/>
    </border>
    <border>
      <left style="thin">
        <color indexed="32"/>
      </left>
      <right/>
      <top style="medium">
        <color indexed="32"/>
      </top>
      <bottom style="thin">
        <color indexed="32"/>
      </bottom>
      <diagonal/>
    </border>
    <border>
      <left/>
      <right style="medium">
        <color indexed="32"/>
      </right>
      <top style="medium">
        <color indexed="32"/>
      </top>
      <bottom style="thin">
        <color indexed="32"/>
      </bottom>
      <diagonal/>
    </border>
    <border>
      <left/>
      <right style="medium">
        <color indexed="32"/>
      </right>
      <top style="thin">
        <color indexed="32"/>
      </top>
      <bottom style="thin">
        <color indexed="32"/>
      </bottom>
      <diagonal/>
    </border>
    <border>
      <left style="thin">
        <color indexed="28"/>
      </left>
      <right/>
      <top style="thin">
        <color indexed="28"/>
      </top>
      <bottom style="thin">
        <color indexed="28"/>
      </bottom>
      <diagonal/>
    </border>
    <border>
      <left style="thin">
        <color indexed="32"/>
      </left>
      <right/>
      <top/>
      <bottom style="thin">
        <color indexed="3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bottom style="medium">
        <color indexed="18"/>
      </bottom>
      <diagonal/>
    </border>
    <border>
      <left style="medium">
        <color indexed="60"/>
      </left>
      <right style="dotted">
        <color indexed="32"/>
      </right>
      <top style="medium">
        <color indexed="60"/>
      </top>
      <bottom style="hair">
        <color indexed="32"/>
      </bottom>
      <diagonal/>
    </border>
    <border>
      <left style="dotted">
        <color indexed="32"/>
      </left>
      <right style="dotted">
        <color indexed="32"/>
      </right>
      <top style="medium">
        <color indexed="52"/>
      </top>
      <bottom style="hair">
        <color indexed="32"/>
      </bottom>
      <diagonal/>
    </border>
    <border>
      <left/>
      <right style="medium">
        <color indexed="60"/>
      </right>
      <top style="hair">
        <color indexed="23"/>
      </top>
      <bottom style="hair">
        <color indexed="23"/>
      </bottom>
      <diagonal/>
    </border>
    <border>
      <left style="medium">
        <color indexed="60"/>
      </left>
      <right style="medium">
        <color indexed="60"/>
      </right>
      <top/>
      <bottom style="hair">
        <color indexed="32"/>
      </bottom>
      <diagonal/>
    </border>
    <border>
      <left style="medium">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medium">
        <color indexed="60"/>
      </left>
      <right style="medium">
        <color indexed="60"/>
      </right>
      <top style="hair">
        <color indexed="32"/>
      </top>
      <bottom style="hair">
        <color indexed="32"/>
      </bottom>
      <diagonal/>
    </border>
    <border>
      <left style="medium">
        <color indexed="60"/>
      </left>
      <right style="dotted">
        <color indexed="32"/>
      </right>
      <top style="hair">
        <color indexed="32"/>
      </top>
      <bottom style="medium">
        <color indexed="60"/>
      </bottom>
      <diagonal/>
    </border>
    <border>
      <left style="dotted">
        <color indexed="32"/>
      </left>
      <right style="dotted">
        <color indexed="32"/>
      </right>
      <top style="hair">
        <color indexed="32"/>
      </top>
      <bottom style="medium">
        <color indexed="52"/>
      </bottom>
      <diagonal/>
    </border>
    <border>
      <left/>
      <right style="medium">
        <color indexed="60"/>
      </right>
      <top style="hair">
        <color indexed="23"/>
      </top>
      <bottom style="medium">
        <color indexed="60"/>
      </bottom>
      <diagonal/>
    </border>
    <border>
      <left style="medium">
        <color indexed="60"/>
      </left>
      <right style="medium">
        <color indexed="60"/>
      </right>
      <top/>
      <bottom style="medium">
        <color indexed="60"/>
      </bottom>
      <diagonal/>
    </border>
    <border>
      <left/>
      <right style="medium">
        <color indexed="52"/>
      </right>
      <top/>
      <bottom style="medium">
        <color indexed="52"/>
      </bottom>
      <diagonal/>
    </border>
    <border>
      <left style="medium">
        <color indexed="18"/>
      </left>
      <right style="medium">
        <color indexed="18"/>
      </right>
      <top style="medium">
        <color indexed="18"/>
      </top>
      <bottom/>
      <diagonal/>
    </border>
    <border>
      <left style="medium">
        <color indexed="18"/>
      </left>
      <right/>
      <top style="medium">
        <color indexed="18"/>
      </top>
      <bottom style="medium">
        <color indexed="18"/>
      </bottom>
      <diagonal/>
    </border>
    <border>
      <left style="medium">
        <color indexed="62"/>
      </left>
      <right/>
      <top style="medium">
        <color indexed="62"/>
      </top>
      <bottom style="hair">
        <color indexed="32"/>
      </bottom>
      <diagonal/>
    </border>
    <border>
      <left style="dotted">
        <color indexed="62"/>
      </left>
      <right style="dotted">
        <color indexed="32"/>
      </right>
      <top style="medium">
        <color indexed="62"/>
      </top>
      <bottom style="hair">
        <color indexed="32"/>
      </bottom>
      <diagonal/>
    </border>
    <border>
      <left/>
      <right style="medium">
        <color indexed="62"/>
      </right>
      <top style="medium">
        <color indexed="62"/>
      </top>
      <bottom style="hair">
        <color indexed="23"/>
      </bottom>
      <diagonal/>
    </border>
    <border>
      <left style="medium">
        <color indexed="18"/>
      </left>
      <right style="medium">
        <color indexed="18"/>
      </right>
      <top style="medium">
        <color indexed="18"/>
      </top>
      <bottom style="hair">
        <color indexed="18"/>
      </bottom>
      <diagonal/>
    </border>
    <border>
      <left style="medium">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right style="medium">
        <color indexed="62"/>
      </right>
      <top style="hair">
        <color indexed="23"/>
      </top>
      <bottom style="hair">
        <color indexed="23"/>
      </bottom>
      <diagonal/>
    </border>
    <border>
      <left style="medium">
        <color indexed="18"/>
      </left>
      <right style="medium">
        <color indexed="18"/>
      </right>
      <top style="hair">
        <color indexed="18"/>
      </top>
      <bottom style="hair">
        <color indexed="18"/>
      </bottom>
      <diagonal/>
    </border>
    <border>
      <left style="medium">
        <color indexed="62"/>
      </left>
      <right/>
      <top style="hair">
        <color indexed="32"/>
      </top>
      <bottom style="medium">
        <color indexed="62"/>
      </bottom>
      <diagonal/>
    </border>
    <border>
      <left style="dotted">
        <color indexed="62"/>
      </left>
      <right style="dotted">
        <color indexed="32"/>
      </right>
      <top style="hair">
        <color indexed="32"/>
      </top>
      <bottom style="medium">
        <color indexed="62"/>
      </bottom>
      <diagonal/>
    </border>
    <border>
      <left/>
      <right style="medium">
        <color indexed="62"/>
      </right>
      <top style="hair">
        <color indexed="23"/>
      </top>
      <bottom style="medium">
        <color indexed="62"/>
      </bottom>
      <diagonal/>
    </border>
    <border>
      <left style="medium">
        <color indexed="18"/>
      </left>
      <right style="medium">
        <color indexed="18"/>
      </right>
      <top style="hair">
        <color indexed="18"/>
      </top>
      <bottom style="medium">
        <color indexed="18"/>
      </bottom>
      <diagonal/>
    </border>
    <border>
      <left/>
      <right style="medium">
        <color indexed="52"/>
      </right>
      <top/>
      <bottom/>
      <diagonal/>
    </border>
    <border>
      <left style="medium">
        <color indexed="51"/>
      </left>
      <right style="hair">
        <color indexed="32"/>
      </right>
      <top style="medium">
        <color indexed="51"/>
      </top>
      <bottom style="hair">
        <color indexed="32"/>
      </bottom>
      <diagonal/>
    </border>
    <border>
      <left style="hair">
        <color indexed="32"/>
      </left>
      <right style="hair">
        <color indexed="32"/>
      </right>
      <top style="medium">
        <color indexed="51"/>
      </top>
      <bottom style="hair">
        <color indexed="32"/>
      </bottom>
      <diagonal/>
    </border>
    <border>
      <left style="hair">
        <color indexed="32"/>
      </left>
      <right style="medium">
        <color indexed="51"/>
      </right>
      <top style="medium">
        <color indexed="51"/>
      </top>
      <bottom style="hair">
        <color indexed="32"/>
      </bottom>
      <diagonal/>
    </border>
    <border>
      <left style="medium">
        <color indexed="51"/>
      </left>
      <right style="medium">
        <color indexed="51"/>
      </right>
      <top style="medium">
        <color indexed="51"/>
      </top>
      <bottom style="hair">
        <color indexed="51"/>
      </bottom>
      <diagonal/>
    </border>
    <border>
      <left style="medium">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hair">
        <color indexed="32"/>
      </left>
      <right style="medium">
        <color indexed="51"/>
      </right>
      <top style="hair">
        <color indexed="32"/>
      </top>
      <bottom style="hair">
        <color indexed="32"/>
      </bottom>
      <diagonal/>
    </border>
    <border>
      <left style="medium">
        <color indexed="51"/>
      </left>
      <right style="medium">
        <color indexed="51"/>
      </right>
      <top style="hair">
        <color indexed="51"/>
      </top>
      <bottom style="hair">
        <color indexed="51"/>
      </bottom>
      <diagonal/>
    </border>
    <border>
      <left style="medium">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medium">
        <color indexed="51"/>
      </bottom>
      <diagonal/>
    </border>
    <border>
      <left style="medium">
        <color indexed="51"/>
      </left>
      <right style="medium">
        <color indexed="51"/>
      </right>
      <top style="hair">
        <color indexed="51"/>
      </top>
      <bottom style="medium">
        <color indexed="51"/>
      </bottom>
      <diagonal/>
    </border>
    <border>
      <left style="medium">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hair">
        <color indexed="57"/>
      </left>
      <right style="hair">
        <color indexed="57"/>
      </right>
      <top style="medium">
        <color indexed="57"/>
      </top>
      <bottom style="medium">
        <color indexed="57"/>
      </bottom>
      <diagonal/>
    </border>
    <border>
      <left style="hair">
        <color indexed="57"/>
      </left>
      <right style="medium">
        <color indexed="57"/>
      </right>
      <top style="medium">
        <color indexed="57"/>
      </top>
      <bottom style="medium">
        <color indexed="57"/>
      </bottom>
      <diagonal/>
    </border>
    <border>
      <left/>
      <right style="medium">
        <color indexed="32"/>
      </right>
      <top style="hair">
        <color indexed="32"/>
      </top>
      <bottom style="hair">
        <color indexed="32"/>
      </bottom>
      <diagonal/>
    </border>
    <border>
      <left style="medium">
        <color indexed="32"/>
      </left>
      <right style="hair">
        <color indexed="32"/>
      </right>
      <top style="medium">
        <color indexed="57"/>
      </top>
      <bottom style="hair">
        <color indexed="32"/>
      </bottom>
      <diagonal/>
    </border>
    <border>
      <left style="hair">
        <color indexed="32"/>
      </left>
      <right style="hair">
        <color indexed="32"/>
      </right>
      <top style="medium">
        <color indexed="57"/>
      </top>
      <bottom style="hair">
        <color indexed="32"/>
      </bottom>
      <diagonal/>
    </border>
    <border>
      <left style="hair">
        <color indexed="32"/>
      </left>
      <right style="medium">
        <color indexed="32"/>
      </right>
      <top style="medium">
        <color indexed="57"/>
      </top>
      <bottom style="hair">
        <color indexed="32"/>
      </bottom>
      <diagonal/>
    </border>
    <border>
      <left style="medium">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medium">
        <color indexed="32"/>
      </right>
      <top style="hair">
        <color indexed="32"/>
      </top>
      <bottom style="hair">
        <color indexed="32"/>
      </bottom>
      <diagonal/>
    </border>
    <border>
      <left/>
      <right style="medium">
        <color indexed="32"/>
      </right>
      <top style="hair">
        <color indexed="32"/>
      </top>
      <bottom style="medium">
        <color indexed="32"/>
      </bottom>
      <diagonal/>
    </border>
    <border>
      <left style="medium">
        <color indexed="32"/>
      </left>
      <right style="hair">
        <color indexed="32"/>
      </right>
      <top style="hair">
        <color indexed="32"/>
      </top>
      <bottom style="medium">
        <color indexed="32"/>
      </bottom>
      <diagonal/>
    </border>
    <border>
      <left style="hair">
        <color indexed="32"/>
      </left>
      <right style="hair">
        <color indexed="32"/>
      </right>
      <top style="hair">
        <color indexed="32"/>
      </top>
      <bottom style="medium">
        <color indexed="32"/>
      </bottom>
      <diagonal/>
    </border>
    <border>
      <left style="hair">
        <color indexed="32"/>
      </left>
      <right style="medium">
        <color indexed="32"/>
      </right>
      <top style="hair">
        <color indexed="32"/>
      </top>
      <bottom style="medium">
        <color indexed="32"/>
      </bottom>
      <diagonal/>
    </border>
    <border>
      <left style="medium">
        <color indexed="32"/>
      </left>
      <right style="medium">
        <color indexed="32"/>
      </right>
      <top style="medium">
        <color indexed="57"/>
      </top>
      <bottom style="hair">
        <color indexed="32"/>
      </bottom>
      <diagonal/>
    </border>
    <border>
      <left style="medium">
        <color indexed="32"/>
      </left>
      <right style="hair">
        <color indexed="32"/>
      </right>
      <top/>
      <bottom style="hair">
        <color indexed="32"/>
      </bottom>
      <diagonal/>
    </border>
    <border>
      <left style="hair">
        <color indexed="32"/>
      </left>
      <right style="medium">
        <color indexed="32"/>
      </right>
      <top/>
      <bottom style="hair">
        <color indexed="32"/>
      </bottom>
      <diagonal/>
    </border>
    <border>
      <left style="medium">
        <color indexed="32"/>
      </left>
      <right style="medium">
        <color indexed="32"/>
      </right>
      <top style="hair">
        <color indexed="32"/>
      </top>
      <bottom style="hair">
        <color indexed="32"/>
      </bottom>
      <diagonal/>
    </border>
    <border>
      <left style="medium">
        <color indexed="32"/>
      </left>
      <right style="medium">
        <color indexed="32"/>
      </right>
      <top style="hair">
        <color indexed="32"/>
      </top>
      <bottom style="medium">
        <color indexed="32"/>
      </bottom>
      <diagonal/>
    </border>
    <border>
      <left style="thin">
        <color indexed="64"/>
      </left>
      <right style="thin">
        <color indexed="64"/>
      </right>
      <top style="thin">
        <color indexed="64"/>
      </top>
      <bottom style="thin">
        <color indexed="64"/>
      </bottom>
      <diagonal/>
    </border>
    <border>
      <left style="thin">
        <color indexed="28"/>
      </left>
      <right style="thin">
        <color indexed="28"/>
      </right>
      <top style="thin">
        <color indexed="28"/>
      </top>
      <bottom/>
      <diagonal/>
    </border>
  </borders>
  <cellStyleXfs count="40">
    <xf numFmtId="0" fontId="0" fillId="0" borderId="0"/>
    <xf numFmtId="165" fontId="106" fillId="0" borderId="0" applyFill="0" applyBorder="0" applyAlignment="0" applyProtection="0"/>
    <xf numFmtId="166" fontId="106" fillId="0" borderId="0" applyFill="0" applyBorder="0" applyAlignment="0" applyProtection="0"/>
    <xf numFmtId="9" fontId="106" fillId="0" borderId="0" applyFill="0" applyBorder="0" applyAlignment="0" applyProtection="0"/>
    <xf numFmtId="164" fontId="106" fillId="0" borderId="0" applyFill="0" applyBorder="0" applyAlignment="0" applyProtection="0"/>
    <xf numFmtId="165" fontId="1" fillId="0" borderId="0" applyFill="0" applyBorder="0" applyAlignment="0" applyProtection="0"/>
    <xf numFmtId="165"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6" fillId="0" borderId="0"/>
    <xf numFmtId="165" fontId="106" fillId="0" borderId="0"/>
    <xf numFmtId="165" fontId="106" fillId="0" borderId="0"/>
    <xf numFmtId="165" fontId="106" fillId="0" borderId="0"/>
    <xf numFmtId="165" fontId="106" fillId="0" borderId="0"/>
    <xf numFmtId="165" fontId="106" fillId="0" borderId="0"/>
    <xf numFmtId="165" fontId="106" fillId="0" borderId="0"/>
    <xf numFmtId="165" fontId="106" fillId="0" borderId="0"/>
    <xf numFmtId="165" fontId="106" fillId="0" borderId="0"/>
    <xf numFmtId="0" fontId="1" fillId="0" borderId="0"/>
    <xf numFmtId="165" fontId="106" fillId="0" borderId="0" applyFill="0" applyBorder="0" applyAlignment="0" applyProtection="0"/>
    <xf numFmtId="165" fontId="106" fillId="0" borderId="0" applyFill="0" applyBorder="0" applyAlignment="0" applyProtection="0"/>
    <xf numFmtId="165" fontId="106" fillId="0" borderId="0" applyFill="0" applyBorder="0" applyAlignment="0" applyProtection="0"/>
    <xf numFmtId="165" fontId="106" fillId="0" borderId="0" applyFill="0" applyBorder="0" applyAlignment="0" applyProtection="0"/>
    <xf numFmtId="165" fontId="106" fillId="0" borderId="0" applyFill="0" applyBorder="0" applyAlignment="0" applyProtection="0"/>
    <xf numFmtId="165" fontId="106" fillId="0" borderId="0" applyFill="0" applyBorder="0" applyAlignment="0" applyProtection="0"/>
    <xf numFmtId="165" fontId="106" fillId="0" borderId="0" applyFill="0" applyBorder="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xf numFmtId="0" fontId="106" fillId="0" borderId="1" applyNumberFormat="0" applyFill="0" applyAlignment="0" applyProtection="0"/>
  </cellStyleXfs>
  <cellXfs count="669">
    <xf numFmtId="0" fontId="0" fillId="0" borderId="0" xfId="0"/>
    <xf numFmtId="165" fontId="3" fillId="0" borderId="0" xfId="15" applyFont="1" applyFill="1" applyAlignment="1">
      <alignment vertical="center"/>
    </xf>
    <xf numFmtId="0" fontId="5" fillId="0" borderId="0" xfId="0" applyFont="1"/>
    <xf numFmtId="165" fontId="5" fillId="0" borderId="0" xfId="0" applyNumberFormat="1" applyFont="1" applyAlignment="1"/>
    <xf numFmtId="165" fontId="5" fillId="0" borderId="0" xfId="0" applyNumberFormat="1" applyFont="1"/>
    <xf numFmtId="0" fontId="0" fillId="0" borderId="0" xfId="0" applyFill="1"/>
    <xf numFmtId="0" fontId="0" fillId="0" borderId="0" xfId="0" applyProtection="1"/>
    <xf numFmtId="165" fontId="2" fillId="0" borderId="0" xfId="14" applyFont="1" applyFill="1" applyAlignment="1" applyProtection="1">
      <alignment horizontal="center" vertical="center"/>
    </xf>
    <xf numFmtId="165" fontId="3" fillId="0" borderId="0" xfId="14" applyFont="1" applyFill="1" applyAlignment="1" applyProtection="1">
      <alignment vertical="center"/>
    </xf>
    <xf numFmtId="0" fontId="15" fillId="0" borderId="0" xfId="0" applyFont="1"/>
    <xf numFmtId="0" fontId="0" fillId="0" borderId="0" xfId="0" applyBorder="1"/>
    <xf numFmtId="0" fontId="15" fillId="0" borderId="0" xfId="0" applyFont="1" applyBorder="1"/>
    <xf numFmtId="0" fontId="0" fillId="0" borderId="0" xfId="0" applyBorder="1" applyAlignment="1">
      <alignment horizontal="center"/>
    </xf>
    <xf numFmtId="0" fontId="18" fillId="0" borderId="0" xfId="0" applyFont="1" applyFill="1"/>
    <xf numFmtId="0" fontId="0" fillId="0" borderId="0" xfId="0" applyFont="1"/>
    <xf numFmtId="0" fontId="9" fillId="6" borderId="6" xfId="0" applyFont="1" applyFill="1" applyBorder="1" applyAlignment="1">
      <alignment horizontal="justify" vertical="center" wrapText="1"/>
    </xf>
    <xf numFmtId="0" fontId="13" fillId="6" borderId="7" xfId="0" applyFont="1" applyFill="1" applyBorder="1" applyAlignment="1">
      <alignment horizontal="justify" vertical="center" wrapText="1"/>
    </xf>
    <xf numFmtId="0" fontId="13" fillId="6" borderId="8" xfId="0" applyFont="1" applyFill="1" applyBorder="1" applyAlignment="1">
      <alignment horizontal="justify" vertical="center"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6" xfId="0" applyFont="1" applyBorder="1" applyAlignment="1" applyProtection="1">
      <alignment horizontal="justify" vertical="center" wrapText="1"/>
      <protection locked="0"/>
    </xf>
    <xf numFmtId="0" fontId="13" fillId="0" borderId="7" xfId="0" applyFont="1" applyBorder="1" applyAlignment="1" applyProtection="1">
      <alignment horizontal="justify" vertical="center" wrapText="1"/>
      <protection locked="0"/>
    </xf>
    <xf numFmtId="0" fontId="13" fillId="0" borderId="8" xfId="0" applyFont="1" applyBorder="1" applyAlignment="1" applyProtection="1">
      <alignment horizontal="justify" vertical="center" wrapText="1"/>
      <protection locked="0"/>
    </xf>
    <xf numFmtId="0" fontId="12" fillId="0" borderId="6" xfId="0" applyFont="1" applyBorder="1" applyAlignment="1">
      <alignment vertical="center" wrapText="1"/>
    </xf>
    <xf numFmtId="0" fontId="12" fillId="0" borderId="7" xfId="0" applyFont="1" applyBorder="1" applyAlignment="1">
      <alignment vertical="center" wrapText="1"/>
    </xf>
    <xf numFmtId="0" fontId="9" fillId="0" borderId="7" xfId="0" applyFont="1" applyBorder="1" applyAlignment="1">
      <alignment horizontal="justify" vertical="center" wrapText="1"/>
    </xf>
    <xf numFmtId="0" fontId="13"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6" xfId="0" applyFont="1" applyBorder="1" applyAlignment="1">
      <alignment horizontal="justify" vertical="center" wrapText="1"/>
    </xf>
    <xf numFmtId="165" fontId="24" fillId="0" borderId="0" xfId="6" applyFont="1" applyFill="1" applyAlignment="1" applyProtection="1">
      <alignment vertical="center"/>
    </xf>
    <xf numFmtId="165" fontId="25" fillId="0" borderId="0" xfId="0" applyNumberFormat="1" applyFont="1" applyAlignment="1" applyProtection="1">
      <alignment horizontal="right"/>
    </xf>
    <xf numFmtId="165" fontId="0" fillId="0" borderId="2" xfId="0" applyNumberFormat="1" applyFont="1" applyBorder="1" applyAlignment="1" applyProtection="1">
      <alignment horizontal="center"/>
      <protection locked="0"/>
    </xf>
    <xf numFmtId="165" fontId="25" fillId="0" borderId="0" xfId="0" applyNumberFormat="1" applyFont="1" applyBorder="1" applyAlignment="1" applyProtection="1">
      <alignment horizontal="right"/>
    </xf>
    <xf numFmtId="0" fontId="25" fillId="0" borderId="0" xfId="0" applyFont="1" applyAlignment="1" applyProtection="1">
      <alignment horizontal="right"/>
    </xf>
    <xf numFmtId="0" fontId="25" fillId="0" borderId="0" xfId="0" applyFont="1" applyProtection="1"/>
    <xf numFmtId="49" fontId="25" fillId="0" borderId="0" xfId="0" applyNumberFormat="1" applyFont="1" applyAlignment="1" applyProtection="1">
      <alignment horizontal="right"/>
    </xf>
    <xf numFmtId="0" fontId="25" fillId="0" borderId="0" xfId="0" applyFont="1" applyBorder="1" applyProtection="1"/>
    <xf numFmtId="167" fontId="0" fillId="0" borderId="0" xfId="0" applyNumberFormat="1" applyProtection="1"/>
    <xf numFmtId="167" fontId="0" fillId="0" borderId="2" xfId="32" applyNumberFormat="1" applyFont="1" applyFill="1" applyBorder="1" applyAlignment="1" applyProtection="1">
      <alignment horizontal="center"/>
      <protection locked="0"/>
    </xf>
    <xf numFmtId="165" fontId="25" fillId="0" borderId="10" xfId="0" applyNumberFormat="1" applyFont="1" applyBorder="1" applyAlignment="1" applyProtection="1">
      <alignment horizontal="right"/>
    </xf>
    <xf numFmtId="0" fontId="0" fillId="0" borderId="0" xfId="0" applyBorder="1" applyAlignment="1" applyProtection="1"/>
    <xf numFmtId="165" fontId="25" fillId="0" borderId="0" xfId="0" applyNumberFormat="1" applyFont="1" applyProtection="1"/>
    <xf numFmtId="0" fontId="0" fillId="0" borderId="0" xfId="0" applyAlignment="1" applyProtection="1"/>
    <xf numFmtId="0" fontId="0" fillId="4" borderId="2" xfId="0" applyFill="1" applyBorder="1" applyProtection="1"/>
    <xf numFmtId="0" fontId="0" fillId="5" borderId="2" xfId="0" applyFill="1" applyBorder="1" applyProtection="1"/>
    <xf numFmtId="0" fontId="0" fillId="0" borderId="0" xfId="0" applyFill="1" applyBorder="1"/>
    <xf numFmtId="165" fontId="28" fillId="0" borderId="12" xfId="38" applyNumberFormat="1" applyFont="1" applyFill="1" applyBorder="1" applyAlignment="1" applyProtection="1"/>
    <xf numFmtId="165" fontId="106" fillId="0" borderId="12" xfId="38" applyNumberFormat="1" applyFill="1" applyBorder="1" applyAlignment="1" applyProtection="1">
      <alignment vertical="center"/>
    </xf>
    <xf numFmtId="165" fontId="29" fillId="0" borderId="12" xfId="38" applyNumberFormat="1" applyFont="1" applyFill="1" applyBorder="1" applyAlignment="1" applyProtection="1">
      <alignment horizontal="left" vertical="center"/>
    </xf>
    <xf numFmtId="165" fontId="106" fillId="4" borderId="13" xfId="38" applyNumberFormat="1" applyFill="1" applyBorder="1" applyAlignment="1" applyProtection="1">
      <alignment vertical="center"/>
    </xf>
    <xf numFmtId="165" fontId="106" fillId="0" borderId="0" xfId="38" applyNumberFormat="1" applyFill="1" applyBorder="1" applyAlignment="1" applyProtection="1">
      <alignment vertical="center"/>
      <protection locked="0"/>
    </xf>
    <xf numFmtId="165" fontId="30" fillId="0" borderId="0" xfId="38" applyNumberFormat="1" applyFont="1" applyFill="1" applyBorder="1" applyAlignment="1" applyProtection="1">
      <alignment vertical="center"/>
      <protection locked="0"/>
    </xf>
    <xf numFmtId="165" fontId="7" fillId="0" borderId="2" xfId="0" applyNumberFormat="1" applyFont="1" applyBorder="1" applyAlignment="1" applyProtection="1">
      <alignment horizontal="center"/>
      <protection locked="0"/>
    </xf>
    <xf numFmtId="165" fontId="106" fillId="0" borderId="0" xfId="38" applyNumberFormat="1" applyFill="1" applyBorder="1" applyAlignment="1" applyProtection="1">
      <alignment vertical="center"/>
    </xf>
    <xf numFmtId="165" fontId="0" fillId="0" borderId="0" xfId="38" applyNumberFormat="1" applyFont="1" applyFill="1" applyBorder="1" applyAlignment="1" applyProtection="1">
      <alignment vertical="center"/>
    </xf>
    <xf numFmtId="165" fontId="28" fillId="0" borderId="0" xfId="38" applyNumberFormat="1" applyFont="1" applyFill="1" applyBorder="1" applyAlignment="1" applyProtection="1"/>
    <xf numFmtId="0" fontId="26" fillId="7" borderId="0" xfId="0" applyFont="1" applyFill="1"/>
    <xf numFmtId="168" fontId="26" fillId="7" borderId="0" xfId="0" applyNumberFormat="1" applyFont="1" applyFill="1"/>
    <xf numFmtId="169" fontId="26" fillId="7" borderId="0" xfId="0" applyNumberFormat="1" applyFont="1" applyFill="1"/>
    <xf numFmtId="165" fontId="31" fillId="0" borderId="16" xfId="0" applyNumberFormat="1" applyFont="1" applyBorder="1" applyAlignment="1" applyProtection="1">
      <alignment horizontal="left"/>
    </xf>
    <xf numFmtId="168" fontId="31" fillId="9" borderId="17" xfId="0" applyNumberFormat="1" applyFont="1" applyFill="1" applyBorder="1" applyAlignment="1" applyProtection="1">
      <alignment horizontal="center"/>
      <protection locked="0"/>
    </xf>
    <xf numFmtId="168" fontId="31" fillId="9" borderId="18" xfId="0" applyNumberFormat="1" applyFont="1" applyFill="1" applyBorder="1" applyAlignment="1" applyProtection="1">
      <alignment horizontal="center"/>
      <protection locked="0"/>
    </xf>
    <xf numFmtId="168" fontId="31" fillId="9" borderId="19" xfId="0" applyNumberFormat="1" applyFont="1" applyFill="1" applyBorder="1" applyAlignment="1" applyProtection="1">
      <alignment horizontal="center" wrapText="1"/>
      <protection locked="0"/>
    </xf>
    <xf numFmtId="170" fontId="22" fillId="4" borderId="21" xfId="0" applyNumberFormat="1" applyFont="1" applyFill="1" applyBorder="1" applyAlignment="1" applyProtection="1">
      <protection locked="0"/>
    </xf>
    <xf numFmtId="171" fontId="22" fillId="4" borderId="17" xfId="2" applyNumberFormat="1" applyFont="1" applyFill="1" applyBorder="1" applyAlignment="1" applyProtection="1">
      <protection locked="0"/>
    </xf>
    <xf numFmtId="172" fontId="22" fillId="4" borderId="17" xfId="0" applyNumberFormat="1" applyFont="1" applyFill="1" applyBorder="1" applyAlignment="1" applyProtection="1">
      <protection locked="0"/>
    </xf>
    <xf numFmtId="171" fontId="22" fillId="4" borderId="21" xfId="2" applyNumberFormat="1" applyFont="1" applyFill="1" applyBorder="1" applyAlignment="1" applyProtection="1">
      <protection locked="0"/>
    </xf>
    <xf numFmtId="172" fontId="22" fillId="4" borderId="21" xfId="0" applyNumberFormat="1" applyFont="1" applyFill="1" applyBorder="1" applyAlignment="1" applyProtection="1">
      <protection locked="0"/>
    </xf>
    <xf numFmtId="170" fontId="22" fillId="0" borderId="2" xfId="0" applyNumberFormat="1" applyFont="1" applyFill="1" applyBorder="1" applyAlignment="1" applyProtection="1"/>
    <xf numFmtId="171" fontId="22" fillId="0" borderId="2" xfId="2" applyNumberFormat="1" applyFont="1" applyFill="1" applyBorder="1" applyAlignment="1" applyProtection="1"/>
    <xf numFmtId="172" fontId="22" fillId="0" borderId="2" xfId="0" applyNumberFormat="1" applyFont="1" applyFill="1" applyBorder="1" applyAlignment="1" applyProtection="1"/>
    <xf numFmtId="173" fontId="32" fillId="7" borderId="0" xfId="0" applyNumberFormat="1" applyFont="1" applyFill="1"/>
    <xf numFmtId="170" fontId="22" fillId="0" borderId="25" xfId="0" applyNumberFormat="1" applyFont="1" applyFill="1" applyBorder="1" applyAlignment="1" applyProtection="1"/>
    <xf numFmtId="171" fontId="22" fillId="0" borderId="25" xfId="0" applyNumberFormat="1" applyFont="1" applyFill="1" applyBorder="1" applyAlignment="1" applyProtection="1"/>
    <xf numFmtId="172" fontId="22" fillId="0" borderId="25" xfId="0" applyNumberFormat="1" applyFont="1" applyFill="1" applyBorder="1" applyAlignment="1" applyProtection="1"/>
    <xf numFmtId="9" fontId="26" fillId="0" borderId="0" xfId="3" applyFont="1" applyFill="1" applyBorder="1" applyAlignment="1" applyProtection="1"/>
    <xf numFmtId="172" fontId="0" fillId="0" borderId="0" xfId="0" applyNumberFormat="1" applyFill="1" applyProtection="1"/>
    <xf numFmtId="172" fontId="26" fillId="7" borderId="0" xfId="0" applyNumberFormat="1" applyFont="1" applyFill="1" applyProtection="1"/>
    <xf numFmtId="168" fontId="26" fillId="7" borderId="0" xfId="0" applyNumberFormat="1" applyFont="1" applyFill="1" applyProtection="1"/>
    <xf numFmtId="49" fontId="0" fillId="0" borderId="0" xfId="0" applyNumberFormat="1" applyProtection="1"/>
    <xf numFmtId="169" fontId="0" fillId="0" borderId="0" xfId="0" applyNumberFormat="1" applyProtection="1"/>
    <xf numFmtId="168" fontId="31" fillId="0" borderId="0" xfId="0" applyNumberFormat="1" applyFont="1" applyFill="1" applyBorder="1" applyAlignment="1">
      <alignment horizontal="center"/>
    </xf>
    <xf numFmtId="165" fontId="22" fillId="0" borderId="0" xfId="0" applyNumberFormat="1" applyFont="1" applyFill="1" applyBorder="1" applyAlignment="1"/>
    <xf numFmtId="165" fontId="33" fillId="0" borderId="26" xfId="0" applyNumberFormat="1" applyFont="1" applyFill="1" applyBorder="1" applyAlignment="1" applyProtection="1">
      <alignment vertical="center" wrapText="1"/>
    </xf>
    <xf numFmtId="0" fontId="33" fillId="0" borderId="27" xfId="0" applyNumberFormat="1" applyFont="1" applyFill="1" applyBorder="1" applyAlignment="1" applyProtection="1">
      <alignment horizontal="center" vertical="center" wrapText="1"/>
    </xf>
    <xf numFmtId="0" fontId="33" fillId="0" borderId="28"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xf>
    <xf numFmtId="0" fontId="35" fillId="0" borderId="0" xfId="0" applyFont="1" applyFill="1" applyBorder="1" applyAlignment="1">
      <alignment horizontal="center"/>
    </xf>
    <xf numFmtId="174" fontId="106" fillId="4" borderId="2" xfId="2" applyNumberFormat="1" applyFill="1" applyBorder="1" applyAlignment="1" applyProtection="1">
      <protection locked="0"/>
    </xf>
    <xf numFmtId="175" fontId="0" fillId="0" borderId="0" xfId="0" applyNumberFormat="1" applyFill="1" applyBorder="1" applyProtection="1">
      <protection locked="0"/>
    </xf>
    <xf numFmtId="175" fontId="0" fillId="0" borderId="0" xfId="0" applyNumberFormat="1" applyProtection="1"/>
    <xf numFmtId="0" fontId="0" fillId="0" borderId="0" xfId="0" applyFill="1" applyBorder="1" applyAlignment="1" applyProtection="1">
      <alignment horizontal="center"/>
    </xf>
    <xf numFmtId="0" fontId="0" fillId="0" borderId="0" xfId="0" applyFill="1" applyBorder="1" applyAlignment="1">
      <alignment horizontal="center"/>
    </xf>
    <xf numFmtId="0" fontId="0" fillId="0" borderId="0" xfId="0" applyFill="1" applyBorder="1" applyProtection="1"/>
    <xf numFmtId="0" fontId="0" fillId="0" borderId="0" xfId="0" applyFill="1" applyBorder="1" applyProtection="1">
      <protection locked="0"/>
    </xf>
    <xf numFmtId="0" fontId="35" fillId="0" borderId="29" xfId="0" applyFont="1" applyFill="1" applyBorder="1" applyAlignment="1" applyProtection="1">
      <alignment wrapText="1"/>
      <protection locked="0"/>
    </xf>
    <xf numFmtId="165" fontId="0" fillId="0" borderId="30" xfId="0" applyNumberFormat="1" applyFont="1" applyBorder="1" applyAlignment="1" applyProtection="1"/>
    <xf numFmtId="176" fontId="0" fillId="0" borderId="31" xfId="0" applyNumberFormat="1" applyBorder="1" applyProtection="1"/>
    <xf numFmtId="172" fontId="0" fillId="0" borderId="0" xfId="0" applyNumberFormat="1" applyProtection="1"/>
    <xf numFmtId="172" fontId="34" fillId="0" borderId="0" xfId="0" applyNumberFormat="1" applyFont="1" applyAlignment="1" applyProtection="1">
      <alignment horizontal="right"/>
    </xf>
    <xf numFmtId="0" fontId="33" fillId="0" borderId="33" xfId="0" applyFont="1" applyBorder="1" applyAlignment="1" applyProtection="1">
      <alignment vertical="distributed" wrapText="1"/>
    </xf>
    <xf numFmtId="165" fontId="36" fillId="0" borderId="34" xfId="0" applyNumberFormat="1" applyFont="1" applyFill="1" applyBorder="1" applyAlignment="1" applyProtection="1">
      <alignment horizontal="center" vertical="center" wrapText="1"/>
    </xf>
    <xf numFmtId="167" fontId="36" fillId="0" borderId="35" xfId="0" applyNumberFormat="1"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167" fontId="38" fillId="0" borderId="0" xfId="0" applyNumberFormat="1" applyFont="1" applyFill="1" applyBorder="1" applyAlignment="1" applyProtection="1">
      <alignment horizontal="center" vertical="center" wrapText="1"/>
    </xf>
    <xf numFmtId="167" fontId="38" fillId="0" borderId="0" xfId="0" applyNumberFormat="1" applyFont="1" applyFill="1" applyBorder="1" applyAlignment="1" applyProtection="1">
      <alignment horizontal="center" vertical="center" wrapText="1"/>
      <protection locked="0"/>
    </xf>
    <xf numFmtId="174" fontId="106" fillId="0" borderId="37" xfId="2" applyNumberFormat="1" applyFill="1" applyBorder="1" applyAlignment="1" applyProtection="1"/>
    <xf numFmtId="0" fontId="34" fillId="0" borderId="0" xfId="0" applyFont="1" applyFill="1" applyBorder="1" applyAlignment="1" applyProtection="1">
      <alignment horizontal="center"/>
    </xf>
    <xf numFmtId="0" fontId="34" fillId="0" borderId="0" xfId="0" applyFont="1" applyFill="1" applyBorder="1" applyAlignment="1" applyProtection="1">
      <protection locked="0"/>
    </xf>
    <xf numFmtId="169" fontId="26" fillId="0" borderId="0" xfId="0" applyNumberFormat="1" applyFont="1" applyFill="1" applyBorder="1" applyAlignment="1" applyProtection="1"/>
    <xf numFmtId="169" fontId="34" fillId="0" borderId="0" xfId="1" applyNumberFormat="1" applyFont="1" applyFill="1" applyBorder="1" applyAlignment="1" applyProtection="1">
      <protection locked="0"/>
    </xf>
    <xf numFmtId="177" fontId="34" fillId="0" borderId="0" xfId="3" applyNumberFormat="1" applyFont="1" applyFill="1" applyBorder="1" applyAlignment="1" applyProtection="1">
      <alignment horizontal="center"/>
    </xf>
    <xf numFmtId="167" fontId="34" fillId="0" borderId="0" xfId="0" applyNumberFormat="1" applyFont="1" applyFill="1" applyBorder="1" applyAlignment="1" applyProtection="1">
      <alignment horizontal="center"/>
    </xf>
    <xf numFmtId="177" fontId="34" fillId="0" borderId="0" xfId="3" applyNumberFormat="1" applyFont="1" applyFill="1" applyBorder="1" applyAlignment="1" applyProtection="1">
      <alignment horizontal="center"/>
      <protection locked="0"/>
    </xf>
    <xf numFmtId="165" fontId="34" fillId="0" borderId="38" xfId="0" applyNumberFormat="1" applyFont="1" applyBorder="1" applyAlignment="1" applyProtection="1">
      <alignment wrapText="1"/>
    </xf>
    <xf numFmtId="178" fontId="39" fillId="0" borderId="0" xfId="0" applyNumberFormat="1" applyFont="1" applyProtection="1"/>
    <xf numFmtId="0" fontId="34" fillId="0" borderId="0" xfId="0" applyFont="1" applyFill="1" applyBorder="1" applyAlignment="1" applyProtection="1"/>
    <xf numFmtId="174" fontId="0" fillId="0" borderId="0" xfId="0" applyNumberFormat="1" applyProtection="1"/>
    <xf numFmtId="178" fontId="0" fillId="0" borderId="0" xfId="0" applyNumberFormat="1" applyFont="1" applyProtection="1"/>
    <xf numFmtId="179" fontId="0" fillId="0" borderId="0" xfId="0" applyNumberFormat="1" applyProtection="1"/>
    <xf numFmtId="180" fontId="0" fillId="0" borderId="0" xfId="0" applyNumberFormat="1" applyProtection="1"/>
    <xf numFmtId="167" fontId="35" fillId="0" borderId="41" xfId="0" applyNumberFormat="1" applyFont="1" applyFill="1" applyBorder="1" applyAlignment="1" applyProtection="1"/>
    <xf numFmtId="165" fontId="35" fillId="0" borderId="2" xfId="0" applyNumberFormat="1" applyFont="1" applyFill="1" applyBorder="1" applyAlignment="1" applyProtection="1">
      <alignment horizontal="center"/>
    </xf>
    <xf numFmtId="165" fontId="35" fillId="0" borderId="42" xfId="0" applyNumberFormat="1" applyFont="1" applyFill="1" applyBorder="1" applyAlignment="1" applyProtection="1">
      <alignment horizontal="center"/>
    </xf>
    <xf numFmtId="1" fontId="0" fillId="4" borderId="2" xfId="0" applyNumberFormat="1" applyFill="1" applyBorder="1" applyAlignment="1" applyProtection="1">
      <alignment horizontal="center"/>
      <protection locked="0"/>
    </xf>
    <xf numFmtId="1" fontId="0" fillId="4" borderId="42" xfId="0" applyNumberFormat="1" applyFill="1" applyBorder="1" applyAlignment="1" applyProtection="1">
      <alignment horizontal="center"/>
      <protection locked="0"/>
    </xf>
    <xf numFmtId="165" fontId="35" fillId="0" borderId="43" xfId="0" applyNumberFormat="1" applyFont="1" applyFill="1" applyBorder="1" applyAlignment="1" applyProtection="1"/>
    <xf numFmtId="165" fontId="35" fillId="0" borderId="44" xfId="0" applyNumberFormat="1" applyFont="1" applyFill="1" applyBorder="1" applyAlignment="1" applyProtection="1">
      <alignment wrapText="1"/>
    </xf>
    <xf numFmtId="1" fontId="0" fillId="4" borderId="25" xfId="0" applyNumberFormat="1" applyFill="1" applyBorder="1" applyAlignment="1" applyProtection="1">
      <alignment horizontal="center"/>
      <protection locked="0"/>
    </xf>
    <xf numFmtId="1" fontId="0" fillId="4" borderId="45" xfId="0" applyNumberFormat="1" applyFill="1" applyBorder="1" applyAlignment="1" applyProtection="1">
      <alignment horizontal="center"/>
      <protection locked="0"/>
    </xf>
    <xf numFmtId="0" fontId="0" fillId="0" borderId="46" xfId="0" applyBorder="1" applyProtection="1"/>
    <xf numFmtId="165" fontId="40" fillId="0" borderId="46" xfId="38" applyNumberFormat="1" applyFont="1" applyFill="1" applyBorder="1" applyAlignment="1" applyProtection="1"/>
    <xf numFmtId="165" fontId="30" fillId="0" borderId="46" xfId="38" applyNumberFormat="1" applyFont="1" applyFill="1" applyBorder="1" applyAlignment="1" applyProtection="1">
      <alignment vertical="center"/>
    </xf>
    <xf numFmtId="165" fontId="41" fillId="0" borderId="46" xfId="38" applyNumberFormat="1" applyFont="1" applyFill="1" applyBorder="1" applyAlignment="1" applyProtection="1">
      <alignment vertical="center"/>
    </xf>
    <xf numFmtId="165" fontId="30" fillId="0" borderId="46" xfId="38" applyNumberFormat="1" applyFont="1" applyFill="1" applyBorder="1" applyAlignment="1" applyProtection="1">
      <alignment horizontal="center" vertical="center"/>
    </xf>
    <xf numFmtId="165" fontId="30" fillId="5" borderId="47" xfId="38" applyNumberFormat="1" applyFont="1" applyFill="1" applyBorder="1" applyAlignment="1" applyProtection="1">
      <alignment horizontal="center" vertical="center"/>
    </xf>
    <xf numFmtId="165" fontId="30" fillId="0" borderId="48" xfId="38" applyNumberFormat="1" applyFont="1" applyFill="1" applyBorder="1" applyAlignment="1" applyProtection="1">
      <alignment vertical="center"/>
    </xf>
    <xf numFmtId="165" fontId="30" fillId="0" borderId="0" xfId="38" applyNumberFormat="1" applyFont="1" applyFill="1" applyBorder="1" applyAlignment="1" applyProtection="1">
      <alignment horizontal="center" vertical="center"/>
      <protection locked="0"/>
    </xf>
    <xf numFmtId="165" fontId="40" fillId="0" borderId="0" xfId="38" applyNumberFormat="1" applyFont="1" applyFill="1" applyBorder="1" applyAlignment="1" applyProtection="1"/>
    <xf numFmtId="165" fontId="30" fillId="0" borderId="0" xfId="38" applyNumberFormat="1" applyFont="1" applyFill="1" applyBorder="1" applyAlignment="1" applyProtection="1">
      <alignment vertical="center"/>
    </xf>
    <xf numFmtId="165" fontId="42" fillId="0" borderId="0" xfId="38" applyNumberFormat="1" applyFont="1" applyFill="1" applyBorder="1" applyAlignment="1" applyProtection="1">
      <alignment vertical="center"/>
    </xf>
    <xf numFmtId="165" fontId="43" fillId="0" borderId="0" xfId="38" applyNumberFormat="1" applyFont="1" applyFill="1" applyBorder="1" applyAlignment="1" applyProtection="1"/>
    <xf numFmtId="165" fontId="32" fillId="0" borderId="0" xfId="38" applyNumberFormat="1" applyFont="1" applyFill="1" applyBorder="1" applyAlignment="1" applyProtection="1">
      <alignment vertical="center"/>
    </xf>
    <xf numFmtId="0" fontId="0" fillId="0" borderId="0" xfId="0" applyBorder="1" applyProtection="1"/>
    <xf numFmtId="0" fontId="19" fillId="0" borderId="0" xfId="0" applyFont="1" applyBorder="1" applyAlignment="1" applyProtection="1">
      <alignment horizontal="center"/>
    </xf>
    <xf numFmtId="165" fontId="19" fillId="0" borderId="50" xfId="0" applyNumberFormat="1" applyFont="1" applyBorder="1" applyAlignment="1" applyProtection="1">
      <alignment horizontal="center"/>
    </xf>
    <xf numFmtId="165" fontId="19" fillId="0" borderId="50" xfId="0" applyNumberFormat="1" applyFont="1" applyBorder="1" applyAlignment="1" applyProtection="1">
      <alignment horizontal="center" wrapText="1"/>
    </xf>
    <xf numFmtId="165" fontId="19" fillId="0" borderId="51" xfId="0" applyNumberFormat="1" applyFont="1" applyBorder="1" applyAlignment="1" applyProtection="1">
      <alignment horizontal="center"/>
    </xf>
    <xf numFmtId="0" fontId="0" fillId="0" borderId="0" xfId="0" applyFont="1" applyFill="1" applyBorder="1" applyAlignment="1" applyProtection="1">
      <alignment horizontal="center"/>
    </xf>
    <xf numFmtId="0" fontId="30" fillId="0" borderId="0" xfId="0" applyFont="1" applyFill="1" applyBorder="1" applyAlignment="1" applyProtection="1">
      <alignment horizontal="center" vertical="center"/>
    </xf>
    <xf numFmtId="165" fontId="0" fillId="0" borderId="52" xfId="0" applyNumberFormat="1" applyFont="1" applyBorder="1" applyAlignment="1" applyProtection="1">
      <alignment horizontal="left"/>
    </xf>
    <xf numFmtId="1" fontId="32" fillId="5" borderId="2" xfId="0" applyNumberFormat="1" applyFont="1" applyFill="1" applyBorder="1" applyAlignment="1" applyProtection="1">
      <alignment horizontal="center"/>
      <protection locked="0"/>
    </xf>
    <xf numFmtId="1" fontId="32" fillId="7" borderId="53" xfId="0" applyNumberFormat="1" applyFont="1" applyFill="1" applyBorder="1" applyAlignment="1" applyProtection="1">
      <alignment horizontal="center"/>
    </xf>
    <xf numFmtId="0" fontId="0" fillId="0" borderId="0" xfId="0" applyFill="1" applyBorder="1" applyAlignment="1" applyProtection="1">
      <alignment horizontal="left" vertical="top"/>
      <protection locked="0"/>
    </xf>
    <xf numFmtId="165" fontId="0" fillId="0" borderId="54" xfId="0" applyNumberFormat="1" applyFont="1" applyBorder="1" applyAlignment="1" applyProtection="1">
      <alignment horizontal="left"/>
    </xf>
    <xf numFmtId="1" fontId="32" fillId="5" borderId="55" xfId="0" applyNumberFormat="1" applyFont="1" applyFill="1" applyBorder="1" applyAlignment="1" applyProtection="1">
      <alignment horizontal="center"/>
      <protection locked="0"/>
    </xf>
    <xf numFmtId="1" fontId="32" fillId="7" borderId="56" xfId="0" applyNumberFormat="1" applyFont="1" applyFill="1" applyBorder="1" applyAlignment="1" applyProtection="1">
      <alignment horizontal="center"/>
    </xf>
    <xf numFmtId="0" fontId="32" fillId="0" borderId="0" xfId="0" applyFont="1" applyBorder="1" applyProtection="1"/>
    <xf numFmtId="0" fontId="0" fillId="0" borderId="57" xfId="0" applyBorder="1" applyProtection="1"/>
    <xf numFmtId="165" fontId="0" fillId="0" borderId="50" xfId="0" applyNumberFormat="1" applyFont="1" applyBorder="1" applyAlignment="1" applyProtection="1">
      <alignment horizontal="center"/>
    </xf>
    <xf numFmtId="165" fontId="0" fillId="0" borderId="51" xfId="0" applyNumberFormat="1" applyFont="1" applyBorder="1" applyAlignment="1" applyProtection="1">
      <alignment horizontal="center"/>
    </xf>
    <xf numFmtId="0" fontId="0" fillId="5" borderId="55" xfId="0" applyNumberFormat="1" applyFill="1" applyBorder="1" applyAlignment="1" applyProtection="1">
      <alignment horizontal="center"/>
      <protection locked="0"/>
    </xf>
    <xf numFmtId="0" fontId="0" fillId="0" borderId="56" xfId="0" applyNumberFormat="1" applyFill="1" applyBorder="1" applyAlignment="1" applyProtection="1">
      <alignment horizontal="center"/>
    </xf>
    <xf numFmtId="0" fontId="25" fillId="0" borderId="0" xfId="0" applyFont="1" applyFill="1" applyBorder="1" applyAlignment="1" applyProtection="1">
      <alignment horizontal="right"/>
    </xf>
    <xf numFmtId="167" fontId="0" fillId="0" borderId="0" xfId="0" applyNumberFormat="1" applyFont="1" applyFill="1" applyBorder="1" applyAlignment="1" applyProtection="1">
      <alignment horizontal="left"/>
    </xf>
    <xf numFmtId="165" fontId="0" fillId="0" borderId="51" xfId="0" applyNumberFormat="1" applyFont="1" applyBorder="1" applyAlignment="1" applyProtection="1">
      <alignment horizontal="center" wrapText="1"/>
    </xf>
    <xf numFmtId="0" fontId="44" fillId="0" borderId="0" xfId="0" applyFont="1" applyFill="1" applyBorder="1" applyAlignment="1" applyProtection="1">
      <alignment horizontal="center" wrapText="1"/>
    </xf>
    <xf numFmtId="0" fontId="0" fillId="5" borderId="56" xfId="0" applyNumberFormat="1" applyFont="1" applyFill="1" applyBorder="1" applyAlignment="1" applyProtection="1">
      <alignment horizontal="center"/>
      <protection locked="0"/>
    </xf>
    <xf numFmtId="167" fontId="0" fillId="0" borderId="0" xfId="0" applyNumberFormat="1" applyFill="1" applyBorder="1" applyAlignment="1" applyProtection="1">
      <alignment horizontal="center"/>
      <protection locked="0"/>
    </xf>
    <xf numFmtId="165" fontId="31" fillId="0" borderId="50" xfId="0" applyNumberFormat="1" applyFont="1" applyBorder="1" applyAlignment="1" applyProtection="1">
      <alignment horizontal="center"/>
    </xf>
    <xf numFmtId="165" fontId="31" fillId="0" borderId="51" xfId="0" applyNumberFormat="1" applyFont="1" applyBorder="1" applyAlignment="1" applyProtection="1">
      <alignment horizontal="center"/>
    </xf>
    <xf numFmtId="1" fontId="0" fillId="5" borderId="2" xfId="0" applyNumberFormat="1" applyFont="1" applyFill="1" applyBorder="1" applyAlignment="1" applyProtection="1">
      <alignment horizontal="center"/>
      <protection locked="0"/>
    </xf>
    <xf numFmtId="1" fontId="0" fillId="0" borderId="53" xfId="0" applyNumberFormat="1" applyFont="1" applyFill="1" applyBorder="1" applyAlignment="1" applyProtection="1">
      <alignment horizontal="center"/>
    </xf>
    <xf numFmtId="1" fontId="0" fillId="5" borderId="55" xfId="0" applyNumberFormat="1" applyFont="1" applyFill="1" applyBorder="1" applyAlignment="1" applyProtection="1">
      <alignment horizontal="center"/>
      <protection locked="0"/>
    </xf>
    <xf numFmtId="0" fontId="0" fillId="0" borderId="58" xfId="0" applyBorder="1" applyProtection="1"/>
    <xf numFmtId="168" fontId="31" fillId="9" borderId="59" xfId="0" applyNumberFormat="1" applyFont="1" applyFill="1" applyBorder="1" applyAlignment="1" applyProtection="1">
      <alignment horizontal="center"/>
      <protection locked="0"/>
    </xf>
    <xf numFmtId="168" fontId="31" fillId="9" borderId="60" xfId="0" applyNumberFormat="1" applyFont="1" applyFill="1" applyBorder="1" applyAlignment="1" applyProtection="1">
      <alignment horizontal="center"/>
      <protection locked="0"/>
    </xf>
    <xf numFmtId="168" fontId="0" fillId="0" borderId="61" xfId="0" applyNumberFormat="1" applyFont="1" applyFill="1" applyBorder="1" applyAlignment="1" applyProtection="1">
      <alignment horizontal="left"/>
    </xf>
    <xf numFmtId="181" fontId="0" fillId="5" borderId="2" xfId="2" applyNumberFormat="1" applyFont="1" applyFill="1" applyBorder="1" applyAlignment="1" applyProtection="1">
      <alignment horizontal="right" wrapText="1"/>
      <protection locked="0"/>
    </xf>
    <xf numFmtId="172" fontId="0" fillId="5" borderId="2" xfId="0" applyNumberFormat="1" applyFill="1" applyBorder="1" applyAlignment="1" applyProtection="1">
      <alignment horizontal="right" wrapText="1"/>
      <protection locked="0"/>
    </xf>
    <xf numFmtId="168" fontId="0" fillId="0" borderId="62" xfId="0" applyNumberFormat="1" applyFont="1" applyBorder="1" applyAlignment="1" applyProtection="1">
      <alignment horizontal="left"/>
    </xf>
    <xf numFmtId="181" fontId="0" fillId="4" borderId="2" xfId="2" applyNumberFormat="1" applyFont="1" applyFill="1" applyBorder="1" applyAlignment="1" applyProtection="1">
      <alignment horizontal="right" wrapText="1"/>
      <protection locked="0"/>
    </xf>
    <xf numFmtId="181" fontId="0" fillId="4" borderId="2" xfId="0" applyNumberFormat="1" applyFill="1" applyBorder="1" applyAlignment="1" applyProtection="1">
      <alignment horizontal="right" wrapText="1"/>
    </xf>
    <xf numFmtId="172" fontId="0" fillId="4" borderId="2" xfId="0" applyNumberFormat="1" applyFill="1" applyBorder="1" applyAlignment="1" applyProtection="1">
      <alignment horizontal="right" wrapText="1"/>
    </xf>
    <xf numFmtId="168" fontId="0" fillId="0" borderId="43" xfId="0" applyNumberFormat="1" applyFont="1" applyBorder="1" applyAlignment="1" applyProtection="1">
      <alignment horizontal="left" wrapText="1"/>
    </xf>
    <xf numFmtId="0" fontId="0" fillId="0" borderId="0" xfId="0" applyFill="1" applyBorder="1" applyAlignment="1" applyProtection="1">
      <alignment horizontal="center" wrapText="1"/>
    </xf>
    <xf numFmtId="165" fontId="0" fillId="0" borderId="0" xfId="1" applyFont="1" applyFill="1" applyBorder="1" applyAlignment="1" applyProtection="1"/>
    <xf numFmtId="165" fontId="0" fillId="0" borderId="0" xfId="0" applyNumberFormat="1" applyFill="1" applyBorder="1" applyProtection="1"/>
    <xf numFmtId="168" fontId="0" fillId="0" borderId="0" xfId="0" applyNumberFormat="1" applyFont="1" applyBorder="1" applyProtection="1"/>
    <xf numFmtId="0" fontId="32" fillId="0" borderId="0" xfId="0" applyFont="1" applyProtection="1"/>
    <xf numFmtId="165" fontId="0" fillId="0" borderId="58" xfId="0" applyNumberFormat="1" applyFont="1" applyFill="1" applyBorder="1" applyAlignment="1" applyProtection="1">
      <alignment horizontal="left"/>
    </xf>
    <xf numFmtId="165" fontId="0" fillId="0" borderId="63" xfId="0" applyNumberFormat="1" applyFont="1" applyFill="1" applyBorder="1" applyAlignment="1" applyProtection="1">
      <alignment horizontal="center" wrapText="1"/>
    </xf>
    <xf numFmtId="165" fontId="22" fillId="0" borderId="63" xfId="0" applyNumberFormat="1" applyFont="1" applyBorder="1" applyAlignment="1">
      <alignment horizontal="center" wrapText="1"/>
    </xf>
    <xf numFmtId="165" fontId="0" fillId="0" borderId="63" xfId="0" applyNumberFormat="1" applyFont="1" applyBorder="1" applyAlignment="1">
      <alignment horizontal="center" wrapText="1"/>
    </xf>
    <xf numFmtId="165" fontId="0" fillId="0" borderId="64" xfId="0" applyNumberFormat="1" applyFont="1" applyFill="1" applyBorder="1" applyAlignment="1" applyProtection="1">
      <alignment horizontal="center" wrapText="1"/>
    </xf>
    <xf numFmtId="165" fontId="0" fillId="5" borderId="65" xfId="0" applyNumberFormat="1" applyFont="1" applyFill="1" applyBorder="1" applyAlignment="1" applyProtection="1">
      <alignment wrapText="1"/>
      <protection locked="0"/>
    </xf>
    <xf numFmtId="0" fontId="0" fillId="5" borderId="65" xfId="0" applyNumberFormat="1" applyFill="1" applyBorder="1" applyAlignment="1" applyProtection="1">
      <alignment horizontal="center"/>
      <protection locked="0"/>
    </xf>
    <xf numFmtId="0" fontId="0" fillId="0" borderId="65" xfId="0" applyNumberFormat="1" applyFill="1" applyBorder="1" applyAlignment="1" applyProtection="1">
      <alignment horizontal="center"/>
    </xf>
    <xf numFmtId="1" fontId="0" fillId="0" borderId="65" xfId="0" applyNumberFormat="1" applyFill="1" applyBorder="1" applyAlignment="1" applyProtection="1">
      <alignment horizontal="center"/>
    </xf>
    <xf numFmtId="165" fontId="0" fillId="5" borderId="65" xfId="0" applyNumberFormat="1" applyFont="1" applyFill="1" applyBorder="1" applyProtection="1">
      <protection locked="0"/>
    </xf>
    <xf numFmtId="0" fontId="0" fillId="5" borderId="65" xfId="0" applyNumberFormat="1" applyFill="1" applyBorder="1" applyProtection="1">
      <protection locked="0"/>
    </xf>
    <xf numFmtId="0" fontId="0" fillId="0" borderId="65" xfId="0" applyNumberFormat="1" applyFill="1" applyBorder="1" applyProtection="1"/>
    <xf numFmtId="172" fontId="0" fillId="5" borderId="65" xfId="0" applyNumberFormat="1" applyFill="1" applyBorder="1" applyProtection="1">
      <protection locked="0"/>
    </xf>
    <xf numFmtId="172" fontId="0" fillId="0" borderId="65" xfId="0" applyNumberFormat="1" applyFill="1" applyBorder="1" applyProtection="1"/>
    <xf numFmtId="182" fontId="0" fillId="0" borderId="65" xfId="0" applyNumberFormat="1" applyFill="1" applyBorder="1" applyAlignment="1" applyProtection="1">
      <alignment horizontal="center"/>
    </xf>
    <xf numFmtId="182" fontId="0" fillId="0" borderId="65" xfId="0" applyNumberFormat="1" applyFill="1" applyBorder="1" applyProtection="1"/>
    <xf numFmtId="165" fontId="45" fillId="0" borderId="66" xfId="38" applyNumberFormat="1" applyFont="1" applyFill="1" applyBorder="1" applyAlignment="1" applyProtection="1"/>
    <xf numFmtId="165" fontId="46" fillId="0" borderId="66" xfId="38" applyNumberFormat="1" applyFont="1" applyFill="1" applyBorder="1" applyAlignment="1" applyProtection="1"/>
    <xf numFmtId="165" fontId="30" fillId="0" borderId="66" xfId="38" applyNumberFormat="1" applyFont="1" applyFill="1" applyBorder="1" applyAlignment="1" applyProtection="1">
      <alignment vertical="center"/>
    </xf>
    <xf numFmtId="165" fontId="47" fillId="0" borderId="66" xfId="38" applyNumberFormat="1" applyFont="1" applyFill="1" applyBorder="1" applyAlignment="1" applyProtection="1">
      <alignment vertical="center"/>
    </xf>
    <xf numFmtId="165" fontId="48" fillId="0" borderId="66" xfId="38" applyNumberFormat="1" applyFont="1" applyFill="1" applyBorder="1" applyAlignment="1" applyProtection="1">
      <alignment vertical="center"/>
    </xf>
    <xf numFmtId="0" fontId="0" fillId="0" borderId="66" xfId="0" applyFill="1" applyBorder="1" applyProtection="1"/>
    <xf numFmtId="165" fontId="46" fillId="0" borderId="66" xfId="38" applyNumberFormat="1" applyFont="1" applyFill="1" applyBorder="1" applyAlignment="1" applyProtection="1">
      <alignment vertical="center"/>
    </xf>
    <xf numFmtId="0" fontId="0" fillId="0" borderId="66" xfId="0" applyBorder="1" applyProtection="1"/>
    <xf numFmtId="0" fontId="0" fillId="0" borderId="66" xfId="0" applyBorder="1"/>
    <xf numFmtId="0" fontId="0" fillId="6" borderId="67" xfId="0" applyFill="1" applyBorder="1"/>
    <xf numFmtId="165" fontId="49" fillId="0" borderId="68" xfId="0" applyNumberFormat="1" applyFont="1" applyFill="1" applyBorder="1" applyAlignment="1" applyProtection="1">
      <alignment horizontal="center" vertical="center"/>
    </xf>
    <xf numFmtId="165" fontId="49" fillId="0" borderId="69" xfId="0" applyNumberFormat="1" applyFont="1" applyFill="1" applyBorder="1" applyAlignment="1" applyProtection="1">
      <alignment horizontal="center" vertical="center" wrapText="1"/>
    </xf>
    <xf numFmtId="0" fontId="1" fillId="0" borderId="70" xfId="0" applyFont="1" applyFill="1" applyBorder="1" applyAlignment="1" applyProtection="1">
      <alignment horizontal="center"/>
    </xf>
    <xf numFmtId="168" fontId="19" fillId="9" borderId="71" xfId="0" applyNumberFormat="1" applyFont="1" applyFill="1" applyBorder="1" applyAlignment="1" applyProtection="1">
      <alignment horizontal="center"/>
      <protection locked="0"/>
    </xf>
    <xf numFmtId="168" fontId="19" fillId="9" borderId="72" xfId="0" applyNumberFormat="1" applyFont="1" applyFill="1" applyBorder="1" applyAlignment="1" applyProtection="1">
      <alignment horizontal="center"/>
      <protection locked="0"/>
    </xf>
    <xf numFmtId="165" fontId="49" fillId="0" borderId="73" xfId="0" applyNumberFormat="1" applyFont="1" applyFill="1" applyBorder="1" applyAlignment="1" applyProtection="1">
      <alignment horizontal="center" vertical="center"/>
    </xf>
    <xf numFmtId="0" fontId="49" fillId="0" borderId="74" xfId="0" applyFont="1" applyFill="1" applyBorder="1" applyAlignment="1" applyProtection="1">
      <alignment horizontal="center" vertical="center"/>
    </xf>
    <xf numFmtId="165" fontId="49" fillId="0" borderId="75" xfId="0" applyNumberFormat="1" applyFont="1" applyFill="1" applyBorder="1" applyAlignment="1" applyProtection="1">
      <alignment horizontal="center" vertical="center"/>
    </xf>
    <xf numFmtId="165" fontId="49" fillId="0" borderId="76"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xf>
    <xf numFmtId="168" fontId="19" fillId="9" borderId="74" xfId="0" applyNumberFormat="1" applyFont="1" applyFill="1" applyBorder="1" applyAlignment="1" applyProtection="1">
      <alignment horizontal="center"/>
      <protection locked="0"/>
    </xf>
    <xf numFmtId="168" fontId="19" fillId="9" borderId="77" xfId="0" applyNumberFormat="1" applyFont="1" applyFill="1" applyBorder="1" applyAlignment="1" applyProtection="1">
      <alignment horizontal="center"/>
      <protection locked="0"/>
    </xf>
    <xf numFmtId="49" fontId="1" fillId="0" borderId="2" xfId="0" applyNumberFormat="1" applyFont="1" applyFill="1" applyBorder="1" applyAlignment="1" applyProtection="1">
      <alignment horizontal="left"/>
    </xf>
    <xf numFmtId="183" fontId="50" fillId="6" borderId="2" xfId="0" applyNumberFormat="1" applyFont="1" applyFill="1" applyBorder="1" applyAlignment="1" applyProtection="1">
      <alignment horizontal="center" vertical="center"/>
      <protection locked="0"/>
    </xf>
    <xf numFmtId="0" fontId="50" fillId="11" borderId="2" xfId="0" applyNumberFormat="1" applyFont="1" applyFill="1" applyBorder="1" applyAlignment="1" applyProtection="1">
      <alignment horizontal="center" vertical="center"/>
      <protection locked="0"/>
    </xf>
    <xf numFmtId="0" fontId="50" fillId="6" borderId="2" xfId="3" applyNumberFormat="1" applyFont="1" applyFill="1" applyBorder="1" applyAlignment="1" applyProtection="1">
      <alignment horizontal="center" vertical="center"/>
      <protection locked="0"/>
    </xf>
    <xf numFmtId="183" fontId="50" fillId="6" borderId="81" xfId="0" applyNumberFormat="1" applyFont="1" applyFill="1" applyBorder="1" applyAlignment="1" applyProtection="1">
      <alignment horizontal="center" vertical="center"/>
      <protection locked="0"/>
    </xf>
    <xf numFmtId="172" fontId="50" fillId="6" borderId="2" xfId="0" applyNumberFormat="1" applyFont="1" applyFill="1" applyBorder="1" applyAlignment="1" applyProtection="1">
      <alignment horizontal="center" vertical="center"/>
      <protection locked="0"/>
    </xf>
    <xf numFmtId="172" fontId="50" fillId="6" borderId="82" xfId="0" applyNumberFormat="1" applyFont="1" applyFill="1" applyBorder="1" applyAlignment="1" applyProtection="1">
      <alignment horizontal="center" vertical="center"/>
      <protection locked="0"/>
    </xf>
    <xf numFmtId="183" fontId="50" fillId="11" borderId="2" xfId="0" applyNumberFormat="1" applyFont="1" applyFill="1" applyBorder="1" applyAlignment="1" applyProtection="1">
      <alignment horizontal="center" vertical="center"/>
      <protection locked="0"/>
    </xf>
    <xf numFmtId="49" fontId="1" fillId="12" borderId="2" xfId="0" applyNumberFormat="1" applyFont="1" applyFill="1" applyBorder="1" applyAlignment="1" applyProtection="1">
      <alignment horizontal="left"/>
    </xf>
    <xf numFmtId="172" fontId="50" fillId="11" borderId="2" xfId="0" applyNumberFormat="1" applyFont="1" applyFill="1" applyBorder="1" applyAlignment="1" applyProtection="1">
      <alignment horizontal="center" vertical="center"/>
      <protection locked="0"/>
    </xf>
    <xf numFmtId="183" fontId="50" fillId="11" borderId="81" xfId="0" applyNumberFormat="1" applyFont="1" applyFill="1" applyBorder="1" applyAlignment="1" applyProtection="1">
      <alignment horizontal="center" vertical="center"/>
      <protection locked="0"/>
    </xf>
    <xf numFmtId="172" fontId="50" fillId="11" borderId="82" xfId="0" applyNumberFormat="1" applyFont="1" applyFill="1" applyBorder="1" applyAlignment="1" applyProtection="1">
      <alignment horizontal="center" vertical="center"/>
      <protection locked="0"/>
    </xf>
    <xf numFmtId="172" fontId="51" fillId="11" borderId="83" xfId="0" applyNumberFormat="1" applyFont="1" applyFill="1" applyBorder="1" applyAlignment="1" applyProtection="1">
      <alignment horizontal="left" vertical="center" wrapText="1"/>
      <protection locked="0"/>
    </xf>
    <xf numFmtId="49" fontId="1" fillId="12" borderId="86" xfId="0" applyNumberFormat="1" applyFont="1" applyFill="1" applyBorder="1" applyAlignment="1" applyProtection="1">
      <alignment horizontal="left"/>
    </xf>
    <xf numFmtId="0" fontId="50" fillId="6" borderId="2" xfId="0" applyNumberFormat="1" applyFont="1" applyFill="1" applyBorder="1" applyAlignment="1" applyProtection="1">
      <alignment horizontal="center" vertical="center"/>
      <protection locked="0"/>
    </xf>
    <xf numFmtId="172" fontId="50" fillId="11" borderId="86" xfId="0" applyNumberFormat="1" applyFont="1" applyFill="1" applyBorder="1" applyAlignment="1" applyProtection="1">
      <alignment horizontal="center" vertical="center"/>
      <protection locked="0"/>
    </xf>
    <xf numFmtId="172" fontId="50" fillId="11" borderId="87" xfId="0" applyNumberFormat="1" applyFont="1" applyFill="1" applyBorder="1" applyAlignment="1" applyProtection="1">
      <alignment horizontal="center" vertical="center"/>
      <protection locked="0"/>
    </xf>
    <xf numFmtId="184" fontId="50" fillId="11" borderId="2" xfId="0" applyNumberFormat="1" applyFont="1" applyFill="1" applyBorder="1" applyAlignment="1" applyProtection="1">
      <alignment horizontal="center" vertical="center"/>
      <protection locked="0"/>
    </xf>
    <xf numFmtId="185" fontId="50" fillId="11" borderId="2" xfId="0" applyNumberFormat="1" applyFont="1" applyFill="1" applyBorder="1" applyAlignment="1" applyProtection="1">
      <alignment horizontal="center" vertical="center"/>
      <protection locked="0"/>
    </xf>
    <xf numFmtId="172" fontId="50" fillId="11" borderId="81" xfId="0" applyNumberFormat="1" applyFont="1" applyFill="1" applyBorder="1" applyAlignment="1" applyProtection="1">
      <alignment horizontal="center" vertical="center"/>
      <protection locked="0"/>
    </xf>
    <xf numFmtId="49" fontId="50" fillId="11" borderId="2" xfId="0" applyNumberFormat="1" applyFont="1" applyFill="1" applyBorder="1" applyAlignment="1" applyProtection="1">
      <alignment horizontal="center" vertical="center"/>
      <protection locked="0"/>
    </xf>
    <xf numFmtId="172" fontId="51" fillId="11" borderId="83" xfId="0" applyNumberFormat="1" applyFont="1" applyFill="1" applyBorder="1" applyAlignment="1" applyProtection="1">
      <alignment horizontal="center" vertical="center" wrapText="1"/>
      <protection locked="0"/>
    </xf>
    <xf numFmtId="186" fontId="50" fillId="11" borderId="2" xfId="0" applyNumberFormat="1" applyFont="1" applyFill="1" applyBorder="1" applyAlignment="1" applyProtection="1">
      <alignment horizontal="center" vertical="center"/>
      <protection locked="0"/>
    </xf>
    <xf numFmtId="175" fontId="50" fillId="11" borderId="2" xfId="0" applyNumberFormat="1" applyFont="1" applyFill="1" applyBorder="1" applyAlignment="1" applyProtection="1">
      <alignment horizontal="center" vertical="center"/>
      <protection locked="0"/>
    </xf>
    <xf numFmtId="187" fontId="50" fillId="11" borderId="2" xfId="0" applyNumberFormat="1" applyFont="1" applyFill="1" applyBorder="1" applyAlignment="1" applyProtection="1">
      <alignment horizontal="center" vertical="center"/>
      <protection locked="0"/>
    </xf>
    <xf numFmtId="175" fontId="50" fillId="6" borderId="2" xfId="0" applyNumberFormat="1" applyFont="1" applyFill="1" applyBorder="1" applyAlignment="1" applyProtection="1">
      <alignment horizontal="center" vertical="center"/>
      <protection locked="0"/>
    </xf>
    <xf numFmtId="172" fontId="50" fillId="6" borderId="81" xfId="0" applyNumberFormat="1" applyFont="1" applyFill="1" applyBorder="1" applyAlignment="1" applyProtection="1">
      <alignment horizontal="center" vertical="center"/>
      <protection locked="0"/>
    </xf>
    <xf numFmtId="49" fontId="50" fillId="6" borderId="2" xfId="0" applyNumberFormat="1" applyFont="1" applyFill="1" applyBorder="1" applyAlignment="1" applyProtection="1">
      <alignment horizontal="center" vertical="center"/>
      <protection locked="0"/>
    </xf>
    <xf numFmtId="188" fontId="50" fillId="11" borderId="2" xfId="0" applyNumberFormat="1" applyFont="1" applyFill="1" applyBorder="1" applyAlignment="1" applyProtection="1">
      <alignment horizontal="center" vertical="center"/>
      <protection locked="0"/>
    </xf>
    <xf numFmtId="1" fontId="50" fillId="6" borderId="2" xfId="0" applyNumberFormat="1" applyFont="1" applyFill="1" applyBorder="1" applyAlignment="1" applyProtection="1">
      <alignment horizontal="center" vertical="center"/>
      <protection locked="0"/>
    </xf>
    <xf numFmtId="189" fontId="50" fillId="11" borderId="81" xfId="0" applyNumberFormat="1" applyFont="1" applyFill="1" applyBorder="1" applyAlignment="1" applyProtection="1">
      <alignment horizontal="center" vertical="center"/>
      <protection locked="0"/>
    </xf>
    <xf numFmtId="190" fontId="50" fillId="11" borderId="88" xfId="0" applyNumberFormat="1" applyFont="1" applyFill="1" applyBorder="1" applyAlignment="1" applyProtection="1">
      <alignment horizontal="center" vertical="center"/>
      <protection locked="0"/>
    </xf>
    <xf numFmtId="49" fontId="50" fillId="11" borderId="86" xfId="0" applyNumberFormat="1" applyFont="1" applyFill="1" applyBorder="1" applyAlignment="1" applyProtection="1">
      <alignment horizontal="center" vertical="center"/>
      <protection locked="0"/>
    </xf>
    <xf numFmtId="165" fontId="58" fillId="0" borderId="0" xfId="6" applyFont="1" applyFill="1" applyAlignment="1" applyProtection="1">
      <alignment vertical="center"/>
    </xf>
    <xf numFmtId="165" fontId="59" fillId="0" borderId="0" xfId="18" applyFont="1" applyFill="1" applyAlignment="1" applyProtection="1">
      <alignment horizontal="right" vertical="center"/>
    </xf>
    <xf numFmtId="0" fontId="26" fillId="0" borderId="0" xfId="0" applyFont="1" applyFill="1" applyBorder="1" applyAlignment="1" applyProtection="1">
      <alignment horizontal="center"/>
    </xf>
    <xf numFmtId="0" fontId="60" fillId="0" borderId="0" xfId="0" applyFont="1" applyFill="1" applyBorder="1" applyAlignment="1" applyProtection="1">
      <alignment horizontal="left"/>
    </xf>
    <xf numFmtId="0" fontId="61" fillId="0" borderId="0" xfId="0" applyFont="1" applyFill="1" applyAlignment="1" applyProtection="1"/>
    <xf numFmtId="0" fontId="26" fillId="0" borderId="0" xfId="0" applyFont="1" applyProtection="1"/>
    <xf numFmtId="165" fontId="62" fillId="0" borderId="0" xfId="18" applyFont="1" applyFill="1" applyAlignment="1" applyProtection="1"/>
    <xf numFmtId="165" fontId="62" fillId="0" borderId="0" xfId="18" applyFont="1" applyFill="1" applyAlignment="1" applyProtection="1">
      <alignment horizontal="center"/>
    </xf>
    <xf numFmtId="165" fontId="62" fillId="0" borderId="0" xfId="18" applyFont="1" applyFill="1" applyAlignment="1" applyProtection="1">
      <alignment horizontal="right"/>
    </xf>
    <xf numFmtId="165" fontId="62" fillId="0" borderId="0" xfId="18" applyFont="1" applyFill="1" applyBorder="1" applyAlignment="1" applyProtection="1">
      <alignment horizontal="center"/>
    </xf>
    <xf numFmtId="165" fontId="106" fillId="0" borderId="0" xfId="17" applyProtection="1"/>
    <xf numFmtId="0" fontId="26" fillId="0" borderId="0" xfId="0" applyFont="1" applyAlignment="1" applyProtection="1">
      <alignment horizontal="left" indent="1"/>
    </xf>
    <xf numFmtId="0" fontId="6" fillId="0" borderId="0" xfId="0" applyFont="1" applyAlignment="1" applyProtection="1">
      <alignment horizontal="left" indent="1"/>
    </xf>
    <xf numFmtId="165" fontId="0" fillId="0" borderId="89" xfId="32" applyNumberFormat="1" applyFont="1" applyFill="1" applyBorder="1" applyAlignment="1" applyProtection="1">
      <alignment horizontal="right"/>
    </xf>
    <xf numFmtId="191" fontId="20" fillId="5" borderId="89" xfId="32" applyNumberFormat="1" applyFont="1" applyFill="1" applyBorder="1" applyAlignment="1" applyProtection="1">
      <alignment horizontal="center" vertical="center"/>
    </xf>
    <xf numFmtId="165" fontId="59" fillId="0" borderId="89" xfId="32" applyNumberFormat="1" applyFont="1" applyFill="1" applyBorder="1" applyAlignment="1" applyProtection="1">
      <alignment horizontal="right"/>
    </xf>
    <xf numFmtId="165" fontId="20" fillId="5" borderId="89" xfId="32" applyNumberFormat="1" applyFont="1" applyFill="1" applyBorder="1" applyAlignment="1" applyProtection="1">
      <alignment horizontal="center" vertical="center"/>
    </xf>
    <xf numFmtId="167" fontId="20" fillId="5" borderId="89" xfId="32" applyNumberFormat="1" applyFont="1" applyFill="1" applyBorder="1" applyAlignment="1" applyProtection="1">
      <alignment horizontal="center" vertical="center"/>
    </xf>
    <xf numFmtId="165" fontId="26" fillId="0" borderId="0" xfId="17" applyFont="1" applyProtection="1"/>
    <xf numFmtId="193" fontId="20" fillId="5" borderId="89" xfId="32" applyNumberFormat="1" applyFont="1" applyFill="1" applyBorder="1" applyAlignment="1" applyProtection="1">
      <alignment horizontal="center"/>
    </xf>
    <xf numFmtId="172" fontId="20" fillId="5" borderId="89" xfId="32" applyNumberFormat="1" applyFont="1" applyFill="1" applyBorder="1" applyAlignment="1" applyProtection="1">
      <alignment horizontal="center"/>
    </xf>
    <xf numFmtId="165" fontId="20" fillId="5" borderId="89" xfId="32" applyNumberFormat="1" applyFont="1" applyFill="1" applyBorder="1" applyAlignment="1" applyProtection="1">
      <alignment horizontal="center"/>
    </xf>
    <xf numFmtId="0" fontId="26" fillId="0" borderId="0" xfId="0" applyFont="1" applyFill="1" applyBorder="1" applyProtection="1"/>
    <xf numFmtId="167" fontId="20" fillId="5" borderId="89" xfId="32" applyNumberFormat="1" applyFont="1" applyFill="1" applyBorder="1" applyAlignment="1" applyProtection="1">
      <alignment horizontal="center"/>
    </xf>
    <xf numFmtId="0" fontId="64" fillId="0" borderId="0" xfId="0" applyFont="1" applyFill="1" applyBorder="1" applyProtection="1"/>
    <xf numFmtId="0" fontId="6" fillId="0" borderId="0" xfId="17" applyNumberFormat="1" applyFont="1" applyBorder="1" applyProtection="1"/>
    <xf numFmtId="165" fontId="65" fillId="0" borderId="0" xfId="17" applyFont="1" applyProtection="1"/>
    <xf numFmtId="165" fontId="26" fillId="0" borderId="0" xfId="19" applyFont="1" applyProtection="1"/>
    <xf numFmtId="165" fontId="65" fillId="0" borderId="0" xfId="19" applyFont="1" applyProtection="1"/>
    <xf numFmtId="165" fontId="3" fillId="0" borderId="0" xfId="6" applyFont="1" applyFill="1" applyAlignment="1">
      <alignment vertical="center"/>
    </xf>
    <xf numFmtId="165" fontId="22" fillId="0" borderId="0" xfId="0" applyNumberFormat="1" applyFont="1" applyAlignment="1" applyProtection="1">
      <alignment horizontal="right"/>
    </xf>
    <xf numFmtId="165" fontId="22" fillId="0" borderId="0" xfId="0" applyNumberFormat="1" applyFont="1" applyBorder="1" applyAlignment="1" applyProtection="1">
      <alignment horizontal="right"/>
    </xf>
    <xf numFmtId="0" fontId="22" fillId="0" borderId="0" xfId="0" applyNumberFormat="1" applyFont="1" applyAlignment="1" applyProtection="1">
      <alignment horizontal="center"/>
    </xf>
    <xf numFmtId="0" fontId="64" fillId="0" borderId="0" xfId="0" applyFont="1"/>
    <xf numFmtId="167" fontId="22" fillId="0" borderId="0" xfId="0" applyNumberFormat="1" applyFont="1" applyAlignment="1" applyProtection="1">
      <alignment horizontal="center"/>
    </xf>
    <xf numFmtId="165" fontId="22" fillId="0" borderId="0" xfId="0" applyNumberFormat="1" applyFont="1" applyProtection="1"/>
    <xf numFmtId="169" fontId="22" fillId="0" borderId="0" xfId="1" applyNumberFormat="1" applyFont="1" applyFill="1" applyBorder="1" applyAlignment="1" applyProtection="1">
      <alignment horizontal="left"/>
    </xf>
    <xf numFmtId="165" fontId="22" fillId="0" borderId="0" xfId="0" applyNumberFormat="1" applyFont="1" applyBorder="1" applyProtection="1"/>
    <xf numFmtId="0" fontId="62" fillId="0" borderId="0" xfId="0" applyFont="1" applyBorder="1" applyAlignment="1" applyProtection="1">
      <alignment horizontal="center"/>
    </xf>
    <xf numFmtId="0" fontId="62" fillId="0" borderId="0" xfId="0" applyFont="1" applyAlignment="1" applyProtection="1">
      <alignment horizontal="center"/>
    </xf>
    <xf numFmtId="167" fontId="22" fillId="0" borderId="0" xfId="0" applyNumberFormat="1" applyFont="1" applyAlignment="1" applyProtection="1">
      <alignment horizontal="right"/>
    </xf>
    <xf numFmtId="167" fontId="22" fillId="0" borderId="0" xfId="0" applyNumberFormat="1" applyFont="1" applyAlignment="1" applyProtection="1">
      <alignment horizontal="left"/>
    </xf>
    <xf numFmtId="165" fontId="67" fillId="0" borderId="0" xfId="0" applyNumberFormat="1" applyFont="1" applyBorder="1" applyProtection="1"/>
    <xf numFmtId="0" fontId="68" fillId="0" borderId="0" xfId="0" applyFont="1" applyBorder="1" applyProtection="1"/>
    <xf numFmtId="0" fontId="69" fillId="6" borderId="0" xfId="0" applyNumberFormat="1" applyFont="1" applyFill="1" applyBorder="1" applyAlignment="1" applyProtection="1">
      <alignment horizontal="left"/>
      <protection locked="0"/>
    </xf>
    <xf numFmtId="0" fontId="68" fillId="6" borderId="0" xfId="0" applyNumberFormat="1" applyFont="1" applyFill="1" applyBorder="1" applyAlignment="1" applyProtection="1">
      <alignment horizontal="left"/>
      <protection locked="0"/>
    </xf>
    <xf numFmtId="0" fontId="26" fillId="0" borderId="0" xfId="0" applyFont="1"/>
    <xf numFmtId="165" fontId="70" fillId="0" borderId="0" xfId="0" applyNumberFormat="1" applyFont="1" applyProtection="1"/>
    <xf numFmtId="0" fontId="0" fillId="0" borderId="0" xfId="0" applyBorder="1" applyAlignment="1">
      <alignment horizontal="left" wrapText="1"/>
    </xf>
    <xf numFmtId="0" fontId="68" fillId="0" borderId="0" xfId="0" applyFont="1" applyFill="1" applyAlignment="1" applyProtection="1">
      <alignment horizontal="left"/>
      <protection locked="0"/>
    </xf>
    <xf numFmtId="0" fontId="68" fillId="0" borderId="0" xfId="0" applyFont="1" applyFill="1" applyBorder="1" applyAlignment="1" applyProtection="1">
      <alignment horizontal="left"/>
      <protection locked="0"/>
    </xf>
    <xf numFmtId="165" fontId="71" fillId="0" borderId="0" xfId="0" applyNumberFormat="1" applyFont="1" applyBorder="1" applyAlignment="1" applyProtection="1">
      <alignment vertical="center" wrapText="1"/>
    </xf>
    <xf numFmtId="165" fontId="71" fillId="0" borderId="58" xfId="0" applyNumberFormat="1" applyFont="1" applyFill="1" applyBorder="1" applyAlignment="1" applyProtection="1">
      <alignment horizontal="center" wrapText="1"/>
    </xf>
    <xf numFmtId="165" fontId="71" fillId="0" borderId="64" xfId="0" applyNumberFormat="1" applyFont="1" applyFill="1" applyBorder="1" applyAlignment="1" applyProtection="1">
      <alignment horizontal="center" wrapText="1"/>
    </xf>
    <xf numFmtId="0" fontId="71" fillId="0" borderId="0" xfId="0" applyFont="1" applyFill="1" applyBorder="1" applyAlignment="1" applyProtection="1">
      <alignment wrapText="1"/>
    </xf>
    <xf numFmtId="0" fontId="67" fillId="0" borderId="43" xfId="0" applyFont="1" applyFill="1" applyBorder="1" applyAlignment="1" applyProtection="1">
      <alignment horizontal="center"/>
    </xf>
    <xf numFmtId="0" fontId="31" fillId="4" borderId="92" xfId="0" applyFont="1" applyFill="1" applyBorder="1" applyAlignment="1" applyProtection="1">
      <alignment horizontal="center"/>
    </xf>
    <xf numFmtId="0" fontId="67" fillId="0" borderId="94" xfId="0" applyFont="1" applyFill="1" applyBorder="1" applyAlignment="1" applyProtection="1">
      <alignment horizontal="center"/>
    </xf>
    <xf numFmtId="0" fontId="31" fillId="4" borderId="95" xfId="0" applyFont="1" applyFill="1" applyBorder="1" applyAlignment="1" applyProtection="1">
      <alignment horizontal="center"/>
    </xf>
    <xf numFmtId="0" fontId="68" fillId="0" borderId="0" xfId="0" applyFont="1" applyProtection="1"/>
    <xf numFmtId="165" fontId="0" fillId="0" borderId="0" xfId="0" applyNumberFormat="1"/>
    <xf numFmtId="165" fontId="3" fillId="0" borderId="0" xfId="16" applyFont="1" applyFill="1" applyAlignment="1">
      <alignment vertical="center"/>
    </xf>
    <xf numFmtId="165" fontId="22" fillId="0" borderId="0" xfId="0" applyNumberFormat="1" applyFont="1" applyAlignment="1">
      <alignment horizontal="right"/>
    </xf>
    <xf numFmtId="165" fontId="22" fillId="0" borderId="0" xfId="0" applyNumberFormat="1" applyFont="1"/>
    <xf numFmtId="165" fontId="70" fillId="0" borderId="0" xfId="0" applyNumberFormat="1" applyFont="1"/>
    <xf numFmtId="0" fontId="68" fillId="0" borderId="0" xfId="0" applyFont="1"/>
    <xf numFmtId="0" fontId="68" fillId="6" borderId="0" xfId="0" applyNumberFormat="1" applyFont="1" applyFill="1" applyAlignment="1" applyProtection="1">
      <alignment horizontal="left"/>
      <protection locked="0"/>
    </xf>
    <xf numFmtId="0" fontId="0" fillId="0" borderId="0" xfId="0" applyBorder="1" applyAlignment="1">
      <alignment horizontal="left"/>
    </xf>
    <xf numFmtId="194" fontId="0" fillId="0" borderId="0" xfId="0" applyNumberFormat="1"/>
    <xf numFmtId="0" fontId="19" fillId="0" borderId="0" xfId="0" applyFont="1" applyBorder="1" applyAlignment="1">
      <alignment horizontal="center"/>
    </xf>
    <xf numFmtId="195" fontId="106" fillId="0" borderId="0" xfId="32" applyNumberFormat="1" applyFill="1" applyBorder="1" applyAlignment="1" applyProtection="1">
      <alignment horizontal="center"/>
      <protection locked="0"/>
    </xf>
    <xf numFmtId="195" fontId="0" fillId="0" borderId="0" xfId="0" applyNumberFormat="1" applyFill="1"/>
    <xf numFmtId="167" fontId="0" fillId="0" borderId="0" xfId="0" applyNumberFormat="1" applyFont="1" applyFill="1" applyBorder="1" applyAlignment="1">
      <alignment horizontal="center"/>
    </xf>
    <xf numFmtId="1" fontId="32" fillId="0" borderId="0" xfId="0" applyNumberFormat="1" applyFont="1" applyFill="1" applyBorder="1" applyAlignment="1">
      <alignment horizontal="center"/>
    </xf>
    <xf numFmtId="1" fontId="60" fillId="7" borderId="0" xfId="0" applyNumberFormat="1" applyFont="1" applyFill="1" applyBorder="1" applyAlignment="1">
      <alignment horizontal="center"/>
    </xf>
    <xf numFmtId="0" fontId="0" fillId="0" borderId="0" xfId="0" applyFont="1" applyFill="1" applyBorder="1" applyAlignment="1"/>
    <xf numFmtId="0" fontId="22" fillId="0" borderId="0" xfId="0" applyFont="1" applyFill="1" applyBorder="1" applyAlignment="1" applyProtection="1">
      <alignment wrapText="1"/>
    </xf>
    <xf numFmtId="0" fontId="22" fillId="0" borderId="58" xfId="0" applyFont="1" applyFill="1" applyBorder="1" applyAlignment="1" applyProtection="1">
      <alignment horizontal="center" wrapText="1"/>
    </xf>
    <xf numFmtId="0" fontId="22" fillId="0" borderId="97" xfId="0" applyFont="1" applyFill="1" applyBorder="1" applyAlignment="1" applyProtection="1">
      <alignment wrapText="1"/>
    </xf>
    <xf numFmtId="0" fontId="68" fillId="0" borderId="63" xfId="0" applyFont="1" applyFill="1" applyBorder="1" applyAlignment="1" applyProtection="1">
      <alignment horizontal="center" wrapText="1"/>
    </xf>
    <xf numFmtId="0" fontId="22" fillId="0" borderId="63" xfId="0" applyNumberFormat="1" applyFont="1" applyFill="1" applyBorder="1" applyAlignment="1" applyProtection="1">
      <alignment horizontal="center" wrapText="1"/>
    </xf>
    <xf numFmtId="0" fontId="68" fillId="0" borderId="98" xfId="0" applyNumberFormat="1" applyFont="1" applyFill="1" applyBorder="1" applyAlignment="1" applyProtection="1">
      <alignment horizontal="center" wrapText="1"/>
    </xf>
    <xf numFmtId="0" fontId="32" fillId="7" borderId="6" xfId="0" applyFont="1" applyFill="1" applyBorder="1" applyAlignment="1" applyProtection="1"/>
    <xf numFmtId="182" fontId="0" fillId="7" borderId="2" xfId="0" applyNumberFormat="1" applyFill="1" applyBorder="1" applyAlignment="1" applyProtection="1">
      <alignment horizontal="center"/>
    </xf>
    <xf numFmtId="182" fontId="0" fillId="0" borderId="2" xfId="0" applyNumberFormat="1" applyBorder="1" applyAlignment="1" applyProtection="1">
      <alignment horizontal="center"/>
    </xf>
    <xf numFmtId="182" fontId="26" fillId="13" borderId="99" xfId="0" applyNumberFormat="1" applyFont="1" applyFill="1" applyBorder="1" applyAlignment="1" applyProtection="1">
      <alignment horizontal="center"/>
    </xf>
    <xf numFmtId="182" fontId="26" fillId="0" borderId="99" xfId="0" applyNumberFormat="1" applyFont="1" applyFill="1" applyBorder="1" applyAlignment="1" applyProtection="1">
      <alignment horizontal="center"/>
    </xf>
    <xf numFmtId="0" fontId="22" fillId="0" borderId="0" xfId="0" applyFont="1" applyAlignment="1" applyProtection="1">
      <alignment horizontal="center"/>
    </xf>
    <xf numFmtId="165" fontId="22" fillId="0" borderId="0" xfId="0" applyNumberFormat="1" applyFont="1" applyAlignment="1" applyProtection="1"/>
    <xf numFmtId="167" fontId="22" fillId="0" borderId="0" xfId="0" applyNumberFormat="1" applyFont="1"/>
    <xf numFmtId="0" fontId="74" fillId="0" borderId="0" xfId="0" applyFont="1"/>
    <xf numFmtId="0" fontId="26" fillId="0" borderId="0" xfId="0" applyNumberFormat="1" applyFont="1"/>
    <xf numFmtId="165" fontId="19" fillId="0" borderId="0" xfId="0" applyNumberFormat="1" applyFont="1" applyAlignment="1" applyProtection="1">
      <alignment horizontal="center"/>
    </xf>
    <xf numFmtId="165" fontId="0" fillId="0" borderId="0" xfId="0" applyNumberFormat="1" applyAlignment="1" applyProtection="1">
      <alignment horizontal="right"/>
    </xf>
    <xf numFmtId="167" fontId="31" fillId="0" borderId="0" xfId="0" applyNumberFormat="1" applyFont="1" applyAlignment="1" applyProtection="1">
      <alignment horizontal="center"/>
    </xf>
    <xf numFmtId="0" fontId="0" fillId="0" borderId="100" xfId="0" applyBorder="1"/>
    <xf numFmtId="0" fontId="68" fillId="0" borderId="2" xfId="0" applyFont="1" applyBorder="1" applyAlignment="1" applyProtection="1">
      <alignment horizontal="center" vertical="center" wrapText="1"/>
    </xf>
    <xf numFmtId="9" fontId="75" fillId="15" borderId="2" xfId="3" applyFont="1" applyFill="1" applyBorder="1" applyAlignment="1" applyProtection="1">
      <alignment horizontal="center" vertical="center" wrapText="1"/>
    </xf>
    <xf numFmtId="172" fontId="26" fillId="7" borderId="102" xfId="0" applyNumberFormat="1" applyFont="1" applyFill="1" applyBorder="1" applyAlignment="1">
      <alignment horizontal="right"/>
    </xf>
    <xf numFmtId="172" fontId="26" fillId="7" borderId="102" xfId="1" applyNumberFormat="1" applyFont="1" applyFill="1" applyBorder="1" applyAlignment="1" applyProtection="1"/>
    <xf numFmtId="9" fontId="26" fillId="7" borderId="102" xfId="3" applyFont="1" applyFill="1" applyBorder="1" applyAlignment="1" applyProtection="1"/>
    <xf numFmtId="183" fontId="59" fillId="0" borderId="2" xfId="0" applyNumberFormat="1" applyFont="1" applyBorder="1" applyAlignment="1" applyProtection="1">
      <alignment horizontal="center" vertical="center" wrapText="1"/>
    </xf>
    <xf numFmtId="9" fontId="26" fillId="7" borderId="102" xfId="3" applyNumberFormat="1" applyFont="1" applyFill="1" applyBorder="1" applyAlignment="1" applyProtection="1"/>
    <xf numFmtId="0" fontId="26" fillId="7" borderId="102" xfId="0" applyFont="1" applyFill="1" applyBorder="1"/>
    <xf numFmtId="165" fontId="26" fillId="0" borderId="0" xfId="0" applyNumberFormat="1" applyFont="1"/>
    <xf numFmtId="184" fontId="59" fillId="0" borderId="2" xfId="0" applyNumberFormat="1" applyFont="1" applyBorder="1" applyAlignment="1" applyProtection="1">
      <alignment horizontal="center" vertical="center" wrapText="1"/>
    </xf>
    <xf numFmtId="175" fontId="59" fillId="0" borderId="2" xfId="0" applyNumberFormat="1" applyFont="1" applyBorder="1" applyAlignment="1" applyProtection="1">
      <alignment horizontal="center" vertical="center" wrapText="1"/>
    </xf>
    <xf numFmtId="196" fontId="59" fillId="0" borderId="2" xfId="0" applyNumberFormat="1" applyFont="1" applyBorder="1" applyAlignment="1" applyProtection="1">
      <alignment horizontal="center" vertical="center" wrapText="1"/>
    </xf>
    <xf numFmtId="188" fontId="59" fillId="0" borderId="2" xfId="0" applyNumberFormat="1" applyFont="1" applyBorder="1" applyAlignment="1" applyProtection="1">
      <alignment horizontal="center" vertical="center" wrapText="1"/>
    </xf>
    <xf numFmtId="9" fontId="59" fillId="0" borderId="2" xfId="0" applyNumberFormat="1" applyFont="1" applyBorder="1" applyAlignment="1" applyProtection="1">
      <alignment horizontal="center" vertical="center" wrapText="1"/>
    </xf>
    <xf numFmtId="0" fontId="0" fillId="0" borderId="103" xfId="0" applyFont="1" applyBorder="1" applyAlignment="1">
      <alignment horizontal="left" wrapText="1"/>
    </xf>
    <xf numFmtId="0" fontId="78" fillId="0" borderId="0" xfId="0" applyFont="1"/>
    <xf numFmtId="0" fontId="78" fillId="0" borderId="0" xfId="0" applyFont="1" applyAlignment="1">
      <alignment horizontal="right"/>
    </xf>
    <xf numFmtId="0" fontId="78" fillId="0" borderId="0" xfId="0" applyFont="1" applyProtection="1"/>
    <xf numFmtId="0" fontId="78" fillId="0" borderId="0" xfId="0" applyFont="1" applyAlignment="1" applyProtection="1">
      <alignment horizontal="right"/>
    </xf>
    <xf numFmtId="165" fontId="23" fillId="0" borderId="0" xfId="16" applyFont="1" applyFill="1" applyAlignment="1">
      <alignment vertical="center"/>
    </xf>
    <xf numFmtId="0" fontId="78" fillId="0" borderId="0" xfId="0" applyFont="1" applyBorder="1" applyProtection="1"/>
    <xf numFmtId="0" fontId="79" fillId="0" borderId="0" xfId="0" applyFont="1" applyBorder="1" applyAlignment="1" applyProtection="1">
      <alignment horizontal="left" vertical="center"/>
    </xf>
    <xf numFmtId="0" fontId="79" fillId="0" borderId="0" xfId="0" applyFont="1" applyBorder="1" applyAlignment="1" applyProtection="1">
      <alignment horizontal="left"/>
    </xf>
    <xf numFmtId="197" fontId="79" fillId="0" borderId="0" xfId="0" applyNumberFormat="1" applyFont="1" applyBorder="1" applyAlignment="1" applyProtection="1">
      <alignment horizontal="left"/>
    </xf>
    <xf numFmtId="0" fontId="78" fillId="0" borderId="0" xfId="0" applyFont="1" applyBorder="1"/>
    <xf numFmtId="0" fontId="81" fillId="0" borderId="0" xfId="0" applyFont="1" applyProtection="1"/>
    <xf numFmtId="0" fontId="84" fillId="0" borderId="0" xfId="0" applyFont="1" applyFill="1" applyBorder="1" applyAlignment="1" applyProtection="1">
      <alignment horizontal="right"/>
    </xf>
    <xf numFmtId="0" fontId="81" fillId="0" borderId="0" xfId="0" applyFont="1"/>
    <xf numFmtId="0" fontId="49" fillId="0" borderId="105" xfId="0" applyFont="1" applyFill="1" applyBorder="1" applyAlignment="1" applyProtection="1">
      <alignment horizontal="center" vertical="center" wrapText="1"/>
    </xf>
    <xf numFmtId="0" fontId="85" fillId="0" borderId="106" xfId="0" applyNumberFormat="1" applyFont="1" applyFill="1" applyBorder="1" applyAlignment="1" applyProtection="1">
      <alignment horizontal="right"/>
    </xf>
    <xf numFmtId="9" fontId="86" fillId="0" borderId="0" xfId="0" applyNumberFormat="1" applyFont="1" applyFill="1" applyBorder="1" applyAlignment="1" applyProtection="1"/>
    <xf numFmtId="0" fontId="49" fillId="0" borderId="109" xfId="0" applyFont="1" applyFill="1" applyBorder="1" applyAlignment="1" applyProtection="1">
      <alignment horizontal="center"/>
    </xf>
    <xf numFmtId="0" fontId="85" fillId="0" borderId="110" xfId="0" applyNumberFormat="1" applyFont="1" applyFill="1" applyBorder="1" applyAlignment="1" applyProtection="1">
      <alignment horizontal="right"/>
    </xf>
    <xf numFmtId="0" fontId="49" fillId="0" borderId="112" xfId="0" applyFont="1" applyFill="1" applyBorder="1" applyAlignment="1" applyProtection="1">
      <alignment horizontal="center"/>
    </xf>
    <xf numFmtId="0" fontId="85" fillId="0" borderId="113" xfId="0" applyNumberFormat="1" applyFont="1" applyFill="1" applyBorder="1" applyAlignment="1" applyProtection="1">
      <alignment horizontal="right"/>
    </xf>
    <xf numFmtId="0" fontId="87" fillId="0" borderId="0" xfId="0" applyFont="1" applyFill="1" applyBorder="1" applyAlignment="1" applyProtection="1">
      <alignment horizontal="center"/>
    </xf>
    <xf numFmtId="0" fontId="85" fillId="0" borderId="0" xfId="0" applyNumberFormat="1" applyFont="1" applyFill="1" applyBorder="1" applyAlignment="1" applyProtection="1">
      <alignment horizontal="right"/>
    </xf>
    <xf numFmtId="0" fontId="9" fillId="0" borderId="0" xfId="0" applyFont="1" applyFill="1" applyBorder="1" applyAlignment="1" applyProtection="1">
      <alignment horizontal="center" vertical="center"/>
    </xf>
    <xf numFmtId="9" fontId="86" fillId="0" borderId="0" xfId="0" applyNumberFormat="1" applyFont="1" applyFill="1" applyBorder="1" applyAlignment="1" applyProtection="1">
      <alignment horizontal="center"/>
    </xf>
    <xf numFmtId="0" fontId="81" fillId="0" borderId="0" xfId="0" applyFont="1" applyFill="1"/>
    <xf numFmtId="198" fontId="88" fillId="7" borderId="0" xfId="0" applyNumberFormat="1" applyFont="1" applyFill="1" applyBorder="1" applyAlignment="1" applyProtection="1">
      <alignment vertical="center"/>
    </xf>
    <xf numFmtId="0" fontId="85" fillId="7" borderId="0" xfId="0" applyNumberFormat="1" applyFont="1" applyFill="1" applyBorder="1" applyAlignment="1" applyProtection="1">
      <alignment horizontal="right"/>
    </xf>
    <xf numFmtId="0" fontId="9" fillId="7" borderId="0" xfId="0" applyFont="1" applyFill="1" applyBorder="1" applyAlignment="1" applyProtection="1">
      <alignment horizontal="center" vertical="center"/>
    </xf>
    <xf numFmtId="0" fontId="89" fillId="7" borderId="0" xfId="0" applyFont="1" applyFill="1" applyBorder="1" applyAlignment="1" applyProtection="1">
      <alignment horizontal="center" vertical="center"/>
    </xf>
    <xf numFmtId="182" fontId="88" fillId="7" borderId="0" xfId="3" applyNumberFormat="1" applyFont="1" applyFill="1" applyBorder="1" applyAlignment="1" applyProtection="1">
      <alignment horizontal="right"/>
    </xf>
    <xf numFmtId="9" fontId="90" fillId="7" borderId="0" xfId="0" applyNumberFormat="1" applyFont="1" applyFill="1" applyBorder="1" applyProtection="1"/>
    <xf numFmtId="0" fontId="91" fillId="7" borderId="0" xfId="0" applyFont="1" applyFill="1" applyBorder="1" applyAlignment="1" applyProtection="1">
      <alignment horizontal="center" vertical="center"/>
    </xf>
    <xf numFmtId="9" fontId="90" fillId="7" borderId="0" xfId="0" applyNumberFormat="1" applyFont="1" applyFill="1" applyBorder="1" applyAlignment="1" applyProtection="1">
      <alignment horizontal="left"/>
    </xf>
    <xf numFmtId="0" fontId="68" fillId="0" borderId="0" xfId="0" applyFont="1" applyBorder="1" applyAlignment="1" applyProtection="1">
      <alignment horizontal="center" vertical="center"/>
    </xf>
    <xf numFmtId="0" fontId="88" fillId="7" borderId="0" xfId="0" applyFont="1" applyFill="1" applyBorder="1" applyAlignment="1" applyProtection="1">
      <alignment horizontal="left" vertical="center"/>
    </xf>
    <xf numFmtId="172" fontId="92" fillId="0" borderId="0" xfId="0" applyNumberFormat="1" applyFont="1" applyFill="1" applyBorder="1" applyAlignment="1" applyProtection="1">
      <alignment horizontal="right" vertical="center"/>
    </xf>
    <xf numFmtId="0" fontId="93" fillId="7" borderId="0" xfId="0" applyFont="1" applyFill="1" applyBorder="1" applyAlignment="1" applyProtection="1">
      <alignment horizontal="left" vertical="center"/>
    </xf>
    <xf numFmtId="0" fontId="49" fillId="0" borderId="119" xfId="0" applyNumberFormat="1" applyFont="1" applyFill="1" applyBorder="1" applyAlignment="1" applyProtection="1">
      <alignment horizontal="center"/>
    </xf>
    <xf numFmtId="0" fontId="85" fillId="0" borderId="120" xfId="0" applyNumberFormat="1" applyFont="1" applyFill="1" applyBorder="1" applyAlignment="1" applyProtection="1">
      <alignment horizontal="right"/>
    </xf>
    <xf numFmtId="9" fontId="90" fillId="0" borderId="0" xfId="0" applyNumberFormat="1" applyFont="1" applyFill="1" applyBorder="1" applyProtection="1"/>
    <xf numFmtId="0" fontId="49" fillId="0" borderId="123" xfId="0" applyNumberFormat="1" applyFont="1" applyFill="1" applyBorder="1" applyAlignment="1" applyProtection="1">
      <alignment horizontal="center"/>
    </xf>
    <xf numFmtId="0" fontId="85" fillId="0" borderId="124" xfId="0" applyNumberFormat="1" applyFont="1" applyFill="1" applyBorder="1" applyAlignment="1" applyProtection="1">
      <alignment horizontal="right"/>
    </xf>
    <xf numFmtId="0" fontId="78" fillId="0" borderId="0" xfId="0" applyNumberFormat="1" applyFont="1" applyBorder="1"/>
    <xf numFmtId="0" fontId="49" fillId="0" borderId="123" xfId="0" applyNumberFormat="1" applyFont="1" applyFill="1" applyBorder="1" applyAlignment="1" applyProtection="1">
      <alignment horizontal="center" vertical="center"/>
    </xf>
    <xf numFmtId="0" fontId="49" fillId="0" borderId="127" xfId="0" applyNumberFormat="1" applyFont="1" applyFill="1" applyBorder="1" applyAlignment="1" applyProtection="1">
      <alignment horizontal="center" vertical="center"/>
    </xf>
    <xf numFmtId="0" fontId="85" fillId="0" borderId="128" xfId="0" applyNumberFormat="1" applyFont="1" applyFill="1" applyBorder="1" applyAlignment="1" applyProtection="1">
      <alignment horizontal="right"/>
    </xf>
    <xf numFmtId="0" fontId="95" fillId="0" borderId="0" xfId="0" applyFont="1" applyFill="1" applyBorder="1" applyProtection="1"/>
    <xf numFmtId="0" fontId="96" fillId="0" borderId="0" xfId="0" applyFont="1" applyFill="1" applyBorder="1" applyProtection="1"/>
    <xf numFmtId="0" fontId="97" fillId="0" borderId="0" xfId="0" applyFont="1" applyFill="1" applyBorder="1" applyAlignment="1" applyProtection="1">
      <alignment horizontal="center" vertical="center"/>
    </xf>
    <xf numFmtId="0" fontId="98" fillId="0" borderId="0" xfId="0" applyFont="1" applyFill="1" applyBorder="1" applyAlignment="1" applyProtection="1">
      <alignment horizontal="center" vertical="center"/>
    </xf>
    <xf numFmtId="0" fontId="98" fillId="0" borderId="0" xfId="0" applyFont="1" applyFill="1" applyBorder="1" applyAlignment="1" applyProtection="1">
      <alignment horizontal="right" vertical="center" indent="1"/>
    </xf>
    <xf numFmtId="0" fontId="99" fillId="0" borderId="0" xfId="0" applyFont="1" applyFill="1" applyBorder="1" applyAlignment="1" applyProtection="1">
      <alignment horizontal="center"/>
    </xf>
    <xf numFmtId="0" fontId="55" fillId="0" borderId="132" xfId="0" applyNumberFormat="1" applyFont="1" applyFill="1" applyBorder="1" applyAlignment="1" applyProtection="1">
      <alignment horizontal="center" vertical="center"/>
    </xf>
    <xf numFmtId="0" fontId="68" fillId="0" borderId="133" xfId="0" applyNumberFormat="1" applyFont="1" applyFill="1" applyBorder="1" applyAlignment="1" applyProtection="1">
      <alignment vertical="center"/>
    </xf>
    <xf numFmtId="0" fontId="55" fillId="0" borderId="136" xfId="0" applyNumberFormat="1" applyFont="1" applyFill="1" applyBorder="1" applyAlignment="1" applyProtection="1">
      <alignment horizontal="center" vertical="center"/>
    </xf>
    <xf numFmtId="0" fontId="68" fillId="0" borderId="137" xfId="0" applyNumberFormat="1" applyFont="1" applyFill="1" applyBorder="1" applyAlignment="1" applyProtection="1">
      <alignment vertical="center"/>
    </xf>
    <xf numFmtId="0" fontId="55" fillId="0" borderId="140" xfId="0" applyNumberFormat="1" applyFont="1" applyFill="1" applyBorder="1" applyAlignment="1" applyProtection="1">
      <alignment horizontal="center" vertical="center"/>
    </xf>
    <xf numFmtId="0" fontId="68" fillId="0" borderId="141" xfId="0" applyNumberFormat="1" applyFont="1" applyFill="1" applyBorder="1" applyAlignment="1" applyProtection="1">
      <alignment vertical="center"/>
    </xf>
    <xf numFmtId="0" fontId="68" fillId="0" borderId="142" xfId="0" applyNumberFormat="1" applyFont="1" applyFill="1" applyBorder="1" applyAlignment="1" applyProtection="1">
      <alignment vertical="center"/>
    </xf>
    <xf numFmtId="167" fontId="0" fillId="0" borderId="0" xfId="0" applyNumberFormat="1"/>
    <xf numFmtId="0" fontId="4" fillId="0" borderId="0" xfId="0" applyFont="1" applyAlignment="1">
      <alignment horizontal="center"/>
    </xf>
    <xf numFmtId="0" fontId="80" fillId="9" borderId="104" xfId="0" applyNumberFormat="1" applyFont="1" applyFill="1" applyBorder="1" applyAlignment="1">
      <alignment vertical="center"/>
    </xf>
    <xf numFmtId="0" fontId="80" fillId="9" borderId="104" xfId="0" applyFont="1" applyFill="1" applyBorder="1" applyAlignment="1">
      <alignment vertical="center"/>
    </xf>
    <xf numFmtId="0" fontId="19" fillId="0" borderId="0" xfId="0" applyFont="1"/>
    <xf numFmtId="0" fontId="35" fillId="0" borderId="0" xfId="0" applyFont="1"/>
    <xf numFmtId="0" fontId="51" fillId="0" borderId="0" xfId="23" applyNumberFormat="1" applyFont="1" applyFill="1" applyBorder="1" applyAlignment="1">
      <alignment horizontal="center" vertical="center" wrapText="1"/>
    </xf>
    <xf numFmtId="0" fontId="51" fillId="16" borderId="146" xfId="23" applyNumberFormat="1" applyFont="1" applyFill="1" applyBorder="1" applyAlignment="1">
      <alignment horizontal="center" vertical="center" wrapText="1"/>
    </xf>
    <xf numFmtId="0" fontId="101" fillId="0" borderId="0" xfId="0" applyNumberFormat="1" applyFont="1" applyAlignment="1"/>
    <xf numFmtId="0" fontId="101" fillId="0" borderId="0" xfId="0" applyFont="1" applyAlignment="1"/>
    <xf numFmtId="0" fontId="101" fillId="0" borderId="0" xfId="0" applyFont="1" applyAlignment="1">
      <alignment horizontal="center"/>
    </xf>
    <xf numFmtId="0" fontId="102" fillId="0" borderId="0" xfId="0" applyFont="1" applyBorder="1"/>
    <xf numFmtId="0" fontId="103" fillId="9" borderId="104" xfId="0" applyFont="1" applyFill="1" applyBorder="1" applyAlignment="1">
      <alignment vertical="center"/>
    </xf>
    <xf numFmtId="0" fontId="33" fillId="0" borderId="0" xfId="0" applyFont="1"/>
    <xf numFmtId="0" fontId="104" fillId="9" borderId="2" xfId="0" applyFont="1" applyFill="1" applyBorder="1" applyAlignment="1" applyProtection="1">
      <alignment horizontal="center"/>
    </xf>
    <xf numFmtId="0" fontId="104" fillId="9" borderId="2" xfId="0" applyFont="1" applyFill="1" applyBorder="1" applyAlignment="1">
      <alignment horizontal="center"/>
    </xf>
    <xf numFmtId="0" fontId="0" fillId="0" borderId="2" xfId="0" applyNumberFormat="1" applyFont="1" applyBorder="1"/>
    <xf numFmtId="0" fontId="0" fillId="0" borderId="2" xfId="0" applyNumberFormat="1" applyFont="1" applyBorder="1" applyAlignment="1">
      <alignment horizontal="center"/>
    </xf>
    <xf numFmtId="0" fontId="65" fillId="0" borderId="2" xfId="0" applyFont="1" applyFill="1" applyBorder="1" applyAlignment="1" applyProtection="1">
      <alignment horizontal="center"/>
    </xf>
    <xf numFmtId="0" fontId="65" fillId="0" borderId="2" xfId="0" applyFont="1" applyBorder="1" applyAlignment="1" applyProtection="1">
      <alignment horizontal="center"/>
    </xf>
    <xf numFmtId="0" fontId="105" fillId="0" borderId="2" xfId="0" applyFont="1" applyBorder="1" applyAlignment="1" applyProtection="1">
      <alignment horizontal="left" indent="1"/>
    </xf>
    <xf numFmtId="0" fontId="0" fillId="0" borderId="2" xfId="0" applyFont="1" applyBorder="1" applyAlignment="1">
      <alignment horizontal="center"/>
    </xf>
    <xf numFmtId="0" fontId="65" fillId="0" borderId="0" xfId="0" applyFont="1" applyFill="1" applyBorder="1" applyAlignment="1" applyProtection="1"/>
    <xf numFmtId="0" fontId="65" fillId="0" borderId="2" xfId="0" applyFont="1" applyFill="1" applyBorder="1" applyProtection="1"/>
    <xf numFmtId="165" fontId="65" fillId="0" borderId="2" xfId="19" applyFont="1" applyBorder="1" applyProtection="1"/>
    <xf numFmtId="0" fontId="0" fillId="0" borderId="2" xfId="0" applyFont="1" applyBorder="1"/>
    <xf numFmtId="0" fontId="0" fillId="0" borderId="2" xfId="0" applyBorder="1"/>
    <xf numFmtId="199" fontId="50" fillId="11" borderId="2" xfId="0" applyNumberFormat="1" applyFont="1" applyFill="1" applyBorder="1" applyAlignment="1" applyProtection="1">
      <alignment horizontal="center" vertical="center"/>
      <protection locked="0"/>
    </xf>
    <xf numFmtId="200" fontId="50" fillId="11" borderId="2" xfId="0" applyNumberFormat="1" applyFont="1" applyFill="1" applyBorder="1" applyAlignment="1" applyProtection="1">
      <alignment horizontal="center" vertical="center"/>
      <protection locked="0"/>
    </xf>
    <xf numFmtId="200" fontId="0" fillId="0" borderId="65" xfId="0" applyNumberFormat="1" applyFill="1" applyBorder="1" applyAlignment="1" applyProtection="1">
      <alignment horizontal="center"/>
    </xf>
    <xf numFmtId="201" fontId="11" fillId="11" borderId="2" xfId="3" applyNumberFormat="1" applyFont="1" applyFill="1" applyBorder="1" applyAlignment="1" applyProtection="1">
      <alignment horizontal="center" vertical="center"/>
      <protection locked="0"/>
    </xf>
    <xf numFmtId="10" fontId="11" fillId="11" borderId="2" xfId="3" applyNumberFormat="1" applyFont="1" applyFill="1" applyBorder="1" applyAlignment="1" applyProtection="1">
      <alignment horizontal="center" vertical="center"/>
      <protection locked="0"/>
    </xf>
    <xf numFmtId="165" fontId="68" fillId="6" borderId="81" xfId="0" applyNumberFormat="1" applyFont="1" applyFill="1" applyBorder="1" applyAlignment="1" applyProtection="1">
      <alignment horizontal="center" vertical="center"/>
      <protection locked="0"/>
    </xf>
    <xf numFmtId="165" fontId="68" fillId="6" borderId="164" xfId="0" applyNumberFormat="1" applyFont="1" applyFill="1" applyBorder="1" applyAlignment="1" applyProtection="1">
      <alignment horizontal="center" vertical="center"/>
      <protection locked="0"/>
    </xf>
    <xf numFmtId="202" fontId="106" fillId="4" borderId="2" xfId="2" applyNumberFormat="1" applyFill="1" applyBorder="1" applyAlignment="1" applyProtection="1">
      <protection locked="0"/>
    </xf>
    <xf numFmtId="202" fontId="19" fillId="17" borderId="2" xfId="2" applyNumberFormat="1" applyFont="1" applyFill="1" applyBorder="1" applyAlignment="1" applyProtection="1">
      <protection locked="0"/>
    </xf>
    <xf numFmtId="174" fontId="19" fillId="18" borderId="37" xfId="2" applyNumberFormat="1" applyFont="1" applyFill="1" applyBorder="1" applyAlignment="1" applyProtection="1"/>
    <xf numFmtId="202" fontId="19" fillId="17" borderId="39" xfId="2" applyNumberFormat="1" applyFont="1" applyFill="1" applyBorder="1" applyAlignment="1" applyProtection="1">
      <protection locked="0"/>
    </xf>
    <xf numFmtId="165" fontId="35" fillId="0" borderId="41" xfId="0" applyNumberFormat="1" applyFont="1" applyFill="1" applyBorder="1" applyAlignment="1" applyProtection="1">
      <alignment wrapText="1"/>
    </xf>
    <xf numFmtId="165" fontId="34" fillId="0" borderId="36" xfId="0" applyNumberFormat="1" applyFont="1" applyBorder="1" applyAlignment="1" applyProtection="1">
      <alignment wrapText="1"/>
    </xf>
    <xf numFmtId="167" fontId="22" fillId="0" borderId="20" xfId="0" applyNumberFormat="1" applyFont="1" applyBorder="1" applyAlignment="1" applyProtection="1">
      <alignment horizontal="left" wrapText="1"/>
    </xf>
    <xf numFmtId="0" fontId="22" fillId="0" borderId="16" xfId="0" applyFont="1" applyBorder="1" applyAlignment="1" applyProtection="1">
      <alignment horizontal="left" wrapText="1"/>
    </xf>
    <xf numFmtId="167" fontId="22" fillId="0" borderId="23" xfId="0" applyNumberFormat="1" applyFont="1" applyBorder="1" applyAlignment="1" applyProtection="1">
      <alignment horizontal="left" wrapText="1"/>
    </xf>
    <xf numFmtId="167" fontId="22" fillId="0" borderId="24" xfId="0" applyNumberFormat="1" applyFont="1" applyBorder="1" applyAlignment="1" applyProtection="1">
      <alignment horizontal="left" wrapText="1"/>
    </xf>
    <xf numFmtId="165" fontId="33" fillId="0" borderId="29" xfId="0" applyNumberFormat="1" applyFont="1" applyFill="1" applyBorder="1" applyAlignment="1" applyProtection="1">
      <alignment wrapText="1"/>
      <protection locked="0"/>
    </xf>
    <xf numFmtId="203" fontId="0" fillId="0" borderId="31" xfId="0" applyNumberFormat="1" applyBorder="1" applyProtection="1"/>
    <xf numFmtId="9" fontId="106" fillId="4" borderId="2" xfId="3" applyFill="1" applyBorder="1" applyAlignment="1" applyProtection="1">
      <protection locked="0"/>
    </xf>
    <xf numFmtId="165" fontId="2" fillId="2" borderId="0" xfId="15" applyFont="1" applyFill="1" applyBorder="1" applyAlignment="1">
      <alignment horizontal="center" vertical="center"/>
    </xf>
    <xf numFmtId="165" fontId="4" fillId="0" borderId="0" xfId="0" applyNumberFormat="1" applyFont="1" applyBorder="1" applyAlignment="1">
      <alignment horizontal="center"/>
    </xf>
    <xf numFmtId="165" fontId="2" fillId="3" borderId="0" xfId="14" applyFont="1" applyFill="1" applyBorder="1" applyAlignment="1" applyProtection="1">
      <alignment horizontal="center" vertical="center"/>
    </xf>
    <xf numFmtId="0" fontId="10" fillId="0" borderId="0" xfId="0" applyNumberFormat="1" applyFont="1" applyBorder="1" applyAlignment="1">
      <alignment horizontal="center"/>
    </xf>
    <xf numFmtId="0" fontId="11" fillId="4" borderId="2" xfId="0" applyNumberFormat="1" applyFont="1" applyFill="1" applyBorder="1" applyAlignment="1">
      <alignment horizontal="center"/>
    </xf>
    <xf numFmtId="165" fontId="12" fillId="0" borderId="2" xfId="0" applyNumberFormat="1" applyFont="1" applyBorder="1" applyAlignment="1">
      <alignment horizontal="left" vertical="center" wrapText="1"/>
    </xf>
    <xf numFmtId="0" fontId="13" fillId="0" borderId="2" xfId="0" applyFont="1" applyBorder="1" applyAlignment="1">
      <alignment horizontal="justify" vertical="center" wrapText="1"/>
    </xf>
    <xf numFmtId="0" fontId="9" fillId="0" borderId="2" xfId="0" applyFont="1" applyBorder="1" applyAlignment="1">
      <alignment horizontal="left" vertical="center" wrapText="1"/>
    </xf>
    <xf numFmtId="0" fontId="9" fillId="0" borderId="2" xfId="0" applyNumberFormat="1" applyFont="1" applyBorder="1" applyAlignment="1">
      <alignment horizontal="left" vertical="center" wrapText="1"/>
    </xf>
    <xf numFmtId="165" fontId="12" fillId="0" borderId="2" xfId="0" applyNumberFormat="1" applyFont="1" applyBorder="1" applyAlignment="1">
      <alignment horizontal="justify" vertical="center" wrapText="1"/>
    </xf>
    <xf numFmtId="9" fontId="13" fillId="0" borderId="2" xfId="3" applyFont="1" applyFill="1" applyBorder="1" applyAlignment="1" applyProtection="1">
      <alignment horizontal="justify" vertical="center" wrapText="1"/>
    </xf>
    <xf numFmtId="9" fontId="9" fillId="0" borderId="2" xfId="0" applyNumberFormat="1"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3" xfId="0" applyBorder="1" applyAlignment="1">
      <alignment horizontal="center"/>
    </xf>
    <xf numFmtId="0" fontId="0" fillId="0" borderId="3" xfId="0" applyBorder="1" applyAlignment="1">
      <alignment horizontal="center" wrapText="1"/>
    </xf>
    <xf numFmtId="0" fontId="9" fillId="0" borderId="2" xfId="0" applyFont="1" applyBorder="1" applyAlignment="1">
      <alignment horizontal="justify" vertical="center" wrapText="1"/>
    </xf>
    <xf numFmtId="0" fontId="11" fillId="5" borderId="2" xfId="0" applyNumberFormat="1" applyFont="1" applyFill="1" applyBorder="1" applyAlignment="1">
      <alignment horizontal="center"/>
    </xf>
    <xf numFmtId="0" fontId="9" fillId="0" borderId="2" xfId="0" applyNumberFormat="1" applyFont="1" applyBorder="1" applyAlignment="1">
      <alignment horizontal="justify" vertical="center" wrapText="1"/>
    </xf>
    <xf numFmtId="0" fontId="9" fillId="0" borderId="4" xfId="0" applyFont="1" applyBorder="1" applyAlignment="1">
      <alignment horizontal="justify" wrapText="1"/>
    </xf>
    <xf numFmtId="0" fontId="13" fillId="0" borderId="5" xfId="0" applyFont="1" applyBorder="1" applyAlignment="1">
      <alignment horizontal="justify" vertical="center" wrapText="1"/>
    </xf>
    <xf numFmtId="0" fontId="17" fillId="0" borderId="5" xfId="0" applyNumberFormat="1" applyFont="1" applyBorder="1" applyAlignment="1">
      <alignment horizontal="justify" vertical="center" wrapText="1"/>
    </xf>
    <xf numFmtId="0" fontId="17" fillId="0" borderId="2" xfId="0" applyNumberFormat="1" applyFont="1" applyBorder="1" applyAlignment="1">
      <alignment horizontal="left" vertical="center" wrapText="1"/>
    </xf>
    <xf numFmtId="0" fontId="17" fillId="0" borderId="2" xfId="0" applyNumberFormat="1" applyFont="1" applyBorder="1" applyAlignment="1">
      <alignment horizontal="justify" vertical="center" wrapText="1"/>
    </xf>
    <xf numFmtId="0" fontId="19" fillId="6" borderId="2" xfId="0" applyNumberFormat="1" applyFont="1" applyFill="1" applyBorder="1" applyAlignment="1">
      <alignment horizontal="center" vertical="center" wrapText="1"/>
    </xf>
    <xf numFmtId="0" fontId="20" fillId="6" borderId="2" xfId="0" applyNumberFormat="1" applyFont="1" applyFill="1" applyBorder="1" applyAlignment="1">
      <alignment horizontal="center" vertical="center"/>
    </xf>
    <xf numFmtId="0" fontId="13" fillId="0" borderId="2" xfId="0" applyFont="1" applyBorder="1" applyAlignment="1" applyProtection="1">
      <alignment vertical="center" wrapText="1"/>
      <protection locked="0"/>
    </xf>
    <xf numFmtId="0" fontId="9" fillId="0" borderId="2" xfId="0" applyFont="1" applyBorder="1" applyAlignment="1" applyProtection="1">
      <alignment horizontal="left" vertical="center" wrapText="1"/>
      <protection locked="0"/>
    </xf>
    <xf numFmtId="0" fontId="13" fillId="6" borderId="2" xfId="0" applyFont="1" applyFill="1" applyBorder="1" applyAlignment="1">
      <alignment vertical="center" wrapText="1"/>
    </xf>
    <xf numFmtId="0" fontId="9" fillId="0" borderId="2" xfId="0" applyFont="1" applyBorder="1" applyAlignment="1" applyProtection="1">
      <alignment horizontal="justify" vertical="center" wrapText="1"/>
      <protection locked="0"/>
    </xf>
    <xf numFmtId="0" fontId="21" fillId="7" borderId="2" xfId="0" applyFont="1" applyFill="1" applyBorder="1" applyAlignment="1" applyProtection="1">
      <alignment vertical="center" wrapText="1"/>
      <protection locked="0"/>
    </xf>
    <xf numFmtId="0" fontId="9" fillId="0" borderId="2" xfId="0" applyNumberFormat="1" applyFont="1" applyBorder="1" applyAlignment="1" applyProtection="1">
      <alignment horizontal="left" vertical="center" wrapText="1"/>
      <protection locked="0"/>
    </xf>
    <xf numFmtId="0" fontId="13" fillId="7" borderId="2" xfId="0" applyFont="1" applyFill="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20"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165" fontId="23" fillId="3" borderId="0" xfId="6" applyFont="1" applyFill="1" applyBorder="1" applyAlignment="1" applyProtection="1">
      <alignment horizontal="center" vertical="center"/>
    </xf>
    <xf numFmtId="165" fontId="0" fillId="0" borderId="2" xfId="0" applyNumberFormat="1" applyFont="1" applyBorder="1" applyAlignment="1" applyProtection="1">
      <alignment horizontal="center"/>
      <protection locked="0"/>
    </xf>
    <xf numFmtId="165" fontId="25" fillId="0" borderId="0" xfId="0" applyNumberFormat="1" applyFont="1" applyBorder="1" applyAlignment="1" applyProtection="1">
      <alignment horizontal="right"/>
    </xf>
    <xf numFmtId="49" fontId="0" fillId="0" borderId="2" xfId="0" applyNumberFormat="1" applyFont="1" applyBorder="1" applyAlignment="1" applyProtection="1">
      <alignment horizontal="center"/>
      <protection locked="0"/>
    </xf>
    <xf numFmtId="39" fontId="0" fillId="0" borderId="2" xfId="2" applyNumberFormat="1" applyFont="1" applyFill="1" applyBorder="1" applyAlignment="1" applyProtection="1">
      <alignment horizontal="center"/>
      <protection locked="0"/>
    </xf>
    <xf numFmtId="0" fontId="0" fillId="6" borderId="2" xfId="0" applyFill="1" applyBorder="1" applyAlignment="1" applyProtection="1">
      <alignment horizontal="center"/>
    </xf>
    <xf numFmtId="167" fontId="0" fillId="0" borderId="2" xfId="32" applyNumberFormat="1" applyFont="1" applyFill="1" applyBorder="1" applyAlignment="1" applyProtection="1">
      <alignment horizontal="center"/>
      <protection locked="0"/>
    </xf>
    <xf numFmtId="165" fontId="25" fillId="0" borderId="9" xfId="0" applyNumberFormat="1" applyFont="1" applyBorder="1" applyAlignment="1" applyProtection="1">
      <alignment horizontal="right"/>
    </xf>
    <xf numFmtId="165" fontId="26" fillId="8" borderId="2" xfId="32" applyNumberFormat="1" applyFont="1" applyFill="1" applyBorder="1" applyAlignment="1" applyProtection="1">
      <alignment horizontal="center"/>
      <protection locked="0"/>
    </xf>
    <xf numFmtId="165" fontId="25" fillId="0" borderId="10" xfId="0" applyNumberFormat="1" applyFont="1" applyBorder="1" applyAlignment="1" applyProtection="1">
      <alignment horizontal="right"/>
    </xf>
    <xf numFmtId="165" fontId="27" fillId="0" borderId="9" xfId="0" applyNumberFormat="1" applyFont="1" applyBorder="1" applyAlignment="1" applyProtection="1">
      <alignment horizontal="right"/>
    </xf>
    <xf numFmtId="165" fontId="25" fillId="0" borderId="11" xfId="0" applyNumberFormat="1" applyFont="1" applyBorder="1" applyAlignment="1" applyProtection="1">
      <alignment horizontal="right"/>
    </xf>
    <xf numFmtId="168" fontId="0" fillId="9" borderId="78" xfId="0" applyNumberFormat="1" applyFont="1" applyFill="1" applyBorder="1" applyAlignment="1" applyProtection="1">
      <alignment horizontal="center" vertical="center" textRotation="90"/>
    </xf>
    <xf numFmtId="0" fontId="50" fillId="11" borderId="79" xfId="0" applyNumberFormat="1" applyFont="1" applyFill="1" applyBorder="1" applyAlignment="1" applyProtection="1">
      <alignment horizontal="left" vertical="center" wrapText="1"/>
      <protection locked="0"/>
    </xf>
    <xf numFmtId="165" fontId="7" fillId="0" borderId="14" xfId="0" applyNumberFormat="1" applyFont="1" applyBorder="1" applyAlignment="1" applyProtection="1">
      <alignment horizontal="right"/>
    </xf>
    <xf numFmtId="165" fontId="19" fillId="0" borderId="15" xfId="0" applyNumberFormat="1" applyFont="1" applyBorder="1" applyAlignment="1" applyProtection="1">
      <alignment horizontal="center"/>
    </xf>
    <xf numFmtId="9" fontId="4" fillId="0" borderId="22" xfId="3" applyFont="1" applyFill="1" applyBorder="1" applyAlignment="1" applyProtection="1">
      <alignment horizontal="center" vertical="center"/>
    </xf>
    <xf numFmtId="0" fontId="0" fillId="10" borderId="32" xfId="0" applyFill="1" applyBorder="1" applyAlignment="1" applyProtection="1">
      <alignment horizontal="center"/>
    </xf>
    <xf numFmtId="167" fontId="34" fillId="0" borderId="0" xfId="0" applyNumberFormat="1" applyFont="1" applyFill="1" applyBorder="1" applyAlignment="1" applyProtection="1">
      <alignment horizontal="center"/>
    </xf>
    <xf numFmtId="165" fontId="35" fillId="0" borderId="40" xfId="0" applyNumberFormat="1" applyFont="1" applyBorder="1" applyAlignment="1" applyProtection="1">
      <alignment horizontal="center" wrapText="1"/>
    </xf>
    <xf numFmtId="0" fontId="0" fillId="0" borderId="49" xfId="0" applyBorder="1" applyAlignment="1" applyProtection="1">
      <alignment horizontal="center"/>
    </xf>
    <xf numFmtId="165" fontId="0" fillId="0" borderId="52" xfId="0" applyNumberFormat="1" applyFont="1" applyBorder="1" applyAlignment="1" applyProtection="1">
      <alignment horizontal="left"/>
    </xf>
    <xf numFmtId="165" fontId="0" fillId="0" borderId="54" xfId="0" applyNumberFormat="1" applyFont="1" applyBorder="1" applyAlignment="1" applyProtection="1">
      <alignment horizontal="left"/>
    </xf>
    <xf numFmtId="165" fontId="0" fillId="0" borderId="65" xfId="0" applyNumberFormat="1" applyFont="1" applyFill="1" applyBorder="1" applyAlignment="1" applyProtection="1">
      <alignment horizontal="center" vertical="center"/>
      <protection locked="0"/>
    </xf>
    <xf numFmtId="165" fontId="49" fillId="0" borderId="68" xfId="0" applyNumberFormat="1" applyFont="1" applyFill="1" applyBorder="1" applyAlignment="1" applyProtection="1">
      <alignment horizontal="center" vertical="center"/>
    </xf>
    <xf numFmtId="0" fontId="1" fillId="6" borderId="79" xfId="0" applyNumberFormat="1" applyFont="1" applyFill="1" applyBorder="1" applyAlignment="1" applyProtection="1">
      <alignment horizontal="center" vertical="center" wrapText="1"/>
      <protection locked="0"/>
    </xf>
    <xf numFmtId="49" fontId="1" fillId="6" borderId="80" xfId="0" applyNumberFormat="1" applyFont="1" applyFill="1" applyBorder="1" applyAlignment="1" applyProtection="1">
      <alignment horizontal="center" vertical="center" wrapText="1"/>
      <protection locked="0"/>
    </xf>
    <xf numFmtId="172" fontId="1" fillId="6" borderId="79" xfId="0" applyNumberFormat="1" applyFont="1" applyFill="1" applyBorder="1" applyAlignment="1" applyProtection="1">
      <alignment horizontal="left" vertical="center" wrapText="1"/>
      <protection locked="0"/>
    </xf>
    <xf numFmtId="172" fontId="53" fillId="6" borderId="83" xfId="0" applyNumberFormat="1" applyFont="1" applyFill="1" applyBorder="1" applyAlignment="1" applyProtection="1">
      <alignment horizontal="left" vertical="center" wrapText="1"/>
      <protection locked="0"/>
    </xf>
    <xf numFmtId="0" fontId="50" fillId="6" borderId="79" xfId="0" applyNumberFormat="1" applyFont="1" applyFill="1" applyBorder="1" applyAlignment="1" applyProtection="1">
      <alignment horizontal="left" vertical="center" wrapText="1"/>
      <protection locked="0"/>
    </xf>
    <xf numFmtId="0" fontId="1" fillId="6" borderId="84" xfId="0" applyNumberFormat="1" applyFont="1" applyFill="1" applyBorder="1" applyAlignment="1" applyProtection="1">
      <alignment horizontal="center" vertical="center" wrapText="1"/>
      <protection locked="0"/>
    </xf>
    <xf numFmtId="49" fontId="1" fillId="6" borderId="85" xfId="0" applyNumberFormat="1" applyFont="1" applyFill="1" applyBorder="1" applyAlignment="1" applyProtection="1">
      <alignment horizontal="center" vertical="center" wrapText="1"/>
      <protection locked="0"/>
    </xf>
    <xf numFmtId="172" fontId="1" fillId="11" borderId="68" xfId="0" applyNumberFormat="1" applyFont="1" applyFill="1" applyBorder="1" applyAlignment="1" applyProtection="1">
      <alignment vertical="center" wrapText="1"/>
      <protection locked="0"/>
    </xf>
    <xf numFmtId="172" fontId="51" fillId="11" borderId="83" xfId="0" applyNumberFormat="1" applyFont="1" applyFill="1" applyBorder="1" applyAlignment="1" applyProtection="1">
      <alignment horizontal="left" vertical="center" wrapText="1"/>
      <protection locked="0"/>
    </xf>
    <xf numFmtId="0" fontId="56" fillId="0" borderId="32" xfId="0" applyFont="1" applyBorder="1" applyAlignment="1">
      <alignment horizontal="center" vertical="center" wrapText="1"/>
    </xf>
    <xf numFmtId="172" fontId="51" fillId="11" borderId="67" xfId="0" applyNumberFormat="1" applyFont="1" applyFill="1" applyBorder="1" applyAlignment="1" applyProtection="1">
      <alignment horizontal="left" vertical="center" wrapText="1"/>
      <protection locked="0"/>
    </xf>
    <xf numFmtId="172" fontId="53" fillId="11" borderId="83" xfId="0" applyNumberFormat="1" applyFont="1" applyFill="1" applyBorder="1" applyAlignment="1" applyProtection="1">
      <alignment horizontal="left" vertical="center" wrapText="1"/>
      <protection locked="0"/>
    </xf>
    <xf numFmtId="165" fontId="2" fillId="3" borderId="0" xfId="6" applyFont="1" applyFill="1" applyBorder="1" applyAlignment="1" applyProtection="1">
      <alignment horizontal="center" vertical="center"/>
    </xf>
    <xf numFmtId="165" fontId="4" fillId="5" borderId="0" xfId="18" applyFont="1" applyFill="1" applyBorder="1" applyAlignment="1" applyProtection="1">
      <alignment horizontal="center" vertical="center" wrapText="1"/>
    </xf>
    <xf numFmtId="165" fontId="59" fillId="0" borderId="0" xfId="18" applyFont="1" applyFill="1" applyBorder="1" applyAlignment="1" applyProtection="1">
      <alignment horizontal="right" vertical="center"/>
    </xf>
    <xf numFmtId="165" fontId="20" fillId="5" borderId="0" xfId="18" applyFont="1" applyFill="1" applyBorder="1" applyAlignment="1" applyProtection="1">
      <alignment horizontal="center" vertical="center" wrapText="1"/>
    </xf>
    <xf numFmtId="165" fontId="0" fillId="0" borderId="89" xfId="32" applyNumberFormat="1" applyFont="1" applyFill="1" applyBorder="1" applyAlignment="1" applyProtection="1">
      <alignment horizontal="right"/>
    </xf>
    <xf numFmtId="192" fontId="20" fillId="5" borderId="89" xfId="32" applyNumberFormat="1" applyFont="1" applyFill="1" applyBorder="1" applyAlignment="1" applyProtection="1">
      <alignment horizontal="center" vertical="center"/>
    </xf>
    <xf numFmtId="165" fontId="20" fillId="5" borderId="89" xfId="32" applyNumberFormat="1" applyFont="1" applyFill="1" applyBorder="1" applyAlignment="1" applyProtection="1">
      <alignment horizontal="center"/>
    </xf>
    <xf numFmtId="167" fontId="20" fillId="5" borderId="89" xfId="32" applyNumberFormat="1" applyFont="1" applyFill="1" applyBorder="1" applyAlignment="1" applyProtection="1">
      <alignment horizontal="center"/>
    </xf>
    <xf numFmtId="165" fontId="63" fillId="2" borderId="89" xfId="32" applyNumberFormat="1" applyFont="1" applyFill="1" applyBorder="1" applyAlignment="1" applyProtection="1">
      <alignment horizontal="center"/>
    </xf>
    <xf numFmtId="165" fontId="22" fillId="0" borderId="0" xfId="0" applyNumberFormat="1" applyFont="1" applyBorder="1" applyAlignment="1" applyProtection="1">
      <alignment horizontal="left"/>
    </xf>
    <xf numFmtId="165" fontId="19" fillId="0" borderId="0" xfId="0" applyNumberFormat="1" applyFont="1" applyBorder="1" applyAlignment="1" applyProtection="1">
      <alignment horizontal="center"/>
    </xf>
    <xf numFmtId="165" fontId="22" fillId="0" borderId="0" xfId="0" applyNumberFormat="1" applyFont="1" applyBorder="1" applyAlignment="1" applyProtection="1">
      <alignment horizontal="right"/>
    </xf>
    <xf numFmtId="165" fontId="26" fillId="2" borderId="0" xfId="32" applyNumberFormat="1" applyFont="1" applyFill="1" applyBorder="1" applyAlignment="1" applyProtection="1">
      <alignment horizontal="center"/>
    </xf>
    <xf numFmtId="165" fontId="19" fillId="0" borderId="0" xfId="0" applyNumberFormat="1" applyFont="1" applyBorder="1" applyAlignment="1" applyProtection="1">
      <alignment horizontal="center" wrapText="1"/>
    </xf>
    <xf numFmtId="0" fontId="66" fillId="0" borderId="0" xfId="0" applyFont="1" applyBorder="1" applyAlignment="1" applyProtection="1">
      <alignment horizontal="center"/>
    </xf>
    <xf numFmtId="0" fontId="69" fillId="6" borderId="2" xfId="0" applyFont="1" applyFill="1" applyBorder="1" applyAlignment="1" applyProtection="1">
      <alignment horizontal="left" wrapText="1"/>
      <protection locked="0"/>
    </xf>
    <xf numFmtId="0" fontId="68" fillId="6" borderId="2" xfId="0" applyFont="1" applyFill="1" applyBorder="1" applyAlignment="1" applyProtection="1">
      <alignment horizontal="left" wrapText="1"/>
      <protection locked="0"/>
    </xf>
    <xf numFmtId="165" fontId="71" fillId="0" borderId="32" xfId="0" applyNumberFormat="1" applyFont="1" applyBorder="1" applyAlignment="1" applyProtection="1">
      <alignment horizontal="center" vertical="center" wrapText="1"/>
    </xf>
    <xf numFmtId="0" fontId="0" fillId="0" borderId="90" xfId="0" applyBorder="1" applyAlignment="1" applyProtection="1">
      <alignment horizontal="center"/>
    </xf>
    <xf numFmtId="0" fontId="72" fillId="0" borderId="91" xfId="0" applyFont="1" applyFill="1" applyBorder="1" applyAlignment="1" applyProtection="1">
      <alignment horizontal="left" wrapText="1"/>
    </xf>
    <xf numFmtId="0" fontId="72" fillId="0" borderId="93" xfId="0" applyFont="1" applyFill="1" applyBorder="1" applyAlignment="1" applyProtection="1">
      <alignment horizontal="left" wrapText="1"/>
    </xf>
    <xf numFmtId="165" fontId="23" fillId="3" borderId="0" xfId="16" applyFont="1" applyFill="1" applyBorder="1" applyAlignment="1">
      <alignment horizontal="center" vertical="center"/>
    </xf>
    <xf numFmtId="165" fontId="22" fillId="0" borderId="0" xfId="0" applyNumberFormat="1" applyFont="1" applyBorder="1" applyAlignment="1">
      <alignment horizontal="left"/>
    </xf>
    <xf numFmtId="165" fontId="19" fillId="0" borderId="0" xfId="0" applyNumberFormat="1" applyFont="1" applyBorder="1" applyAlignment="1">
      <alignment horizontal="center"/>
    </xf>
    <xf numFmtId="165" fontId="22" fillId="0" borderId="0" xfId="0" applyNumberFormat="1" applyFont="1" applyBorder="1" applyAlignment="1">
      <alignment horizontal="right"/>
    </xf>
    <xf numFmtId="0" fontId="73" fillId="0" borderId="0" xfId="0" applyFont="1" applyBorder="1" applyAlignment="1">
      <alignment horizontal="left" wrapText="1"/>
    </xf>
    <xf numFmtId="0" fontId="66" fillId="0" borderId="0" xfId="0" applyFont="1" applyBorder="1" applyAlignment="1">
      <alignment horizontal="center"/>
    </xf>
    <xf numFmtId="0" fontId="0" fillId="6" borderId="2" xfId="0" applyFont="1" applyFill="1" applyBorder="1" applyAlignment="1" applyProtection="1">
      <alignment horizontal="left" vertical="center" wrapText="1"/>
      <protection locked="0"/>
    </xf>
    <xf numFmtId="0" fontId="19" fillId="0" borderId="0" xfId="0" applyFont="1" applyBorder="1" applyAlignment="1">
      <alignment horizontal="center"/>
    </xf>
    <xf numFmtId="0" fontId="0" fillId="6" borderId="2" xfId="0" applyFont="1" applyFill="1" applyBorder="1" applyAlignment="1" applyProtection="1">
      <alignment horizontal="left" wrapText="1"/>
      <protection locked="0"/>
    </xf>
    <xf numFmtId="0" fontId="0" fillId="6" borderId="96" xfId="0" applyFont="1" applyFill="1" applyBorder="1" applyAlignment="1" applyProtection="1">
      <alignment horizontal="left" vertical="center" wrapText="1"/>
      <protection locked="0"/>
    </xf>
    <xf numFmtId="165" fontId="0" fillId="0" borderId="94" xfId="0" applyNumberFormat="1" applyFill="1" applyBorder="1" applyAlignment="1" applyProtection="1">
      <alignment horizontal="center" vertical="center"/>
    </xf>
    <xf numFmtId="165" fontId="23" fillId="3" borderId="0" xfId="16" applyFont="1" applyFill="1" applyBorder="1" applyAlignment="1" applyProtection="1">
      <alignment horizontal="center" vertical="center"/>
    </xf>
    <xf numFmtId="165" fontId="26" fillId="2" borderId="0" xfId="33" applyNumberFormat="1" applyFont="1" applyFill="1" applyBorder="1" applyAlignment="1" applyProtection="1">
      <alignment horizontal="center"/>
    </xf>
    <xf numFmtId="0" fontId="22" fillId="0" borderId="2" xfId="0" applyFont="1" applyBorder="1" applyAlignment="1" applyProtection="1">
      <alignment vertical="center" wrapText="1"/>
    </xf>
    <xf numFmtId="9" fontId="22" fillId="0" borderId="2" xfId="3" applyFont="1" applyFill="1" applyBorder="1" applyAlignment="1" applyProtection="1">
      <alignment horizontal="center" vertical="center" wrapText="1"/>
    </xf>
    <xf numFmtId="9" fontId="107" fillId="6" borderId="81" xfId="3" applyFont="1" applyFill="1" applyBorder="1" applyAlignment="1" applyProtection="1">
      <alignment horizontal="left" vertical="center" wrapText="1"/>
      <protection locked="0"/>
    </xf>
    <xf numFmtId="165" fontId="66" fillId="0" borderId="0" xfId="0" applyNumberFormat="1" applyFont="1" applyBorder="1" applyAlignment="1" applyProtection="1">
      <alignment horizontal="center"/>
    </xf>
    <xf numFmtId="0" fontId="68" fillId="0" borderId="165" xfId="0" applyFont="1" applyBorder="1" applyAlignment="1" applyProtection="1">
      <alignment horizontal="left" vertical="center" wrapText="1"/>
    </xf>
    <xf numFmtId="0" fontId="68" fillId="0" borderId="81" xfId="0" applyFont="1" applyBorder="1" applyAlignment="1" applyProtection="1">
      <alignment horizontal="left" vertical="center" wrapText="1"/>
    </xf>
    <xf numFmtId="0" fontId="68" fillId="6" borderId="74" xfId="0" applyFont="1" applyFill="1" applyBorder="1" applyAlignment="1" applyProtection="1">
      <alignment horizontal="left" vertical="center" wrapText="1"/>
      <protection locked="0"/>
    </xf>
    <xf numFmtId="0" fontId="68" fillId="6" borderId="101" xfId="0" applyFont="1" applyFill="1" applyBorder="1" applyAlignment="1" applyProtection="1">
      <alignment horizontal="left" vertical="center" wrapText="1"/>
      <protection locked="0"/>
    </xf>
    <xf numFmtId="0" fontId="68" fillId="6" borderId="76" xfId="0" applyFont="1" applyFill="1" applyBorder="1" applyAlignment="1" applyProtection="1">
      <alignment horizontal="left" vertical="center" wrapText="1"/>
      <protection locked="0"/>
    </xf>
    <xf numFmtId="0" fontId="4" fillId="0" borderId="74" xfId="0" applyFont="1" applyBorder="1" applyAlignment="1" applyProtection="1">
      <alignment horizontal="center"/>
    </xf>
    <xf numFmtId="0" fontId="68" fillId="0" borderId="2" xfId="0" applyFont="1" applyBorder="1" applyAlignment="1" applyProtection="1">
      <alignment horizontal="center" vertical="center" wrapText="1"/>
    </xf>
    <xf numFmtId="9" fontId="67" fillId="10" borderId="2" xfId="3" applyFont="1" applyFill="1" applyBorder="1" applyAlignment="1" applyProtection="1">
      <alignment horizontal="center" vertical="center" wrapText="1"/>
    </xf>
    <xf numFmtId="9" fontId="67" fillId="14" borderId="2" xfId="3" applyFont="1" applyFill="1" applyBorder="1" applyAlignment="1" applyProtection="1">
      <alignment horizontal="center" vertical="center" wrapText="1"/>
    </xf>
    <xf numFmtId="9" fontId="107" fillId="0" borderId="81" xfId="3" applyFont="1" applyFill="1" applyBorder="1" applyAlignment="1" applyProtection="1">
      <alignment horizontal="center" vertical="center" wrapText="1"/>
      <protection locked="0"/>
    </xf>
    <xf numFmtId="9" fontId="107" fillId="6" borderId="81" xfId="3" applyFont="1" applyFill="1" applyBorder="1" applyAlignment="1" applyProtection="1">
      <alignment vertical="center" wrapText="1"/>
      <protection locked="0"/>
    </xf>
    <xf numFmtId="0" fontId="0" fillId="0" borderId="2" xfId="0" applyFont="1" applyBorder="1" applyAlignment="1" applyProtection="1">
      <alignment vertical="center" wrapText="1"/>
    </xf>
    <xf numFmtId="9" fontId="108" fillId="6" borderId="81" xfId="3" applyFont="1" applyFill="1" applyBorder="1" applyAlignment="1" applyProtection="1">
      <alignment horizontal="left" vertical="center" wrapText="1"/>
      <protection locked="0"/>
    </xf>
    <xf numFmtId="0" fontId="76" fillId="9" borderId="2" xfId="0" applyFont="1" applyFill="1" applyBorder="1" applyAlignment="1" applyProtection="1">
      <alignment horizontal="center" vertical="center" wrapText="1"/>
    </xf>
    <xf numFmtId="0" fontId="8" fillId="0" borderId="107" xfId="0" applyNumberFormat="1" applyFont="1" applyFill="1" applyBorder="1" applyAlignment="1" applyProtection="1">
      <alignment horizontal="left" vertical="top" wrapText="1"/>
    </xf>
    <xf numFmtId="49" fontId="1" fillId="4" borderId="108" xfId="0" applyNumberFormat="1" applyFont="1" applyFill="1" applyBorder="1" applyAlignment="1" applyProtection="1">
      <alignment horizontal="center" vertical="center"/>
      <protection locked="0"/>
    </xf>
    <xf numFmtId="165" fontId="4" fillId="0" borderId="0" xfId="0" applyNumberFormat="1" applyFont="1" applyBorder="1" applyAlignment="1" applyProtection="1">
      <alignment horizontal="center"/>
    </xf>
    <xf numFmtId="172" fontId="66" fillId="0" borderId="0" xfId="0" applyNumberFormat="1" applyFont="1" applyBorder="1" applyAlignment="1" applyProtection="1">
      <alignment horizontal="center"/>
    </xf>
    <xf numFmtId="172" fontId="80" fillId="9" borderId="104" xfId="0" applyNumberFormat="1" applyFont="1" applyFill="1" applyBorder="1" applyAlignment="1" applyProtection="1">
      <alignment horizontal="center" vertical="center"/>
    </xf>
    <xf numFmtId="172" fontId="82" fillId="0" borderId="0" xfId="0" applyNumberFormat="1" applyFont="1" applyFill="1" applyBorder="1" applyAlignment="1" applyProtection="1">
      <alignment horizontal="center"/>
    </xf>
    <xf numFmtId="172" fontId="83" fillId="4" borderId="13" xfId="0" applyNumberFormat="1" applyFont="1" applyFill="1" applyBorder="1" applyAlignment="1" applyProtection="1">
      <alignment horizontal="center" vertical="center"/>
    </xf>
    <xf numFmtId="49" fontId="1" fillId="4" borderId="111" xfId="0" applyNumberFormat="1" applyFont="1" applyFill="1" applyBorder="1" applyAlignment="1" applyProtection="1">
      <alignment horizontal="center" vertical="center" wrapText="1"/>
      <protection locked="0"/>
    </xf>
    <xf numFmtId="0" fontId="8" fillId="0" borderId="114" xfId="0" applyNumberFormat="1" applyFont="1" applyFill="1" applyBorder="1" applyAlignment="1" applyProtection="1">
      <alignment horizontal="left" vertical="top" wrapText="1"/>
    </xf>
    <xf numFmtId="49" fontId="1" fillId="4" borderId="115" xfId="0" applyNumberFormat="1" applyFont="1" applyFill="1" applyBorder="1" applyAlignment="1" applyProtection="1">
      <alignment horizontal="center" vertical="center"/>
      <protection locked="0"/>
    </xf>
    <xf numFmtId="172" fontId="82" fillId="0" borderId="116" xfId="0" applyNumberFormat="1" applyFont="1" applyFill="1" applyBorder="1" applyAlignment="1" applyProtection="1">
      <alignment horizontal="center"/>
    </xf>
    <xf numFmtId="172" fontId="94" fillId="5" borderId="117" xfId="0" applyNumberFormat="1" applyFont="1" applyFill="1" applyBorder="1" applyAlignment="1" applyProtection="1">
      <alignment horizontal="center" vertical="center"/>
    </xf>
    <xf numFmtId="172" fontId="94" fillId="5" borderId="118" xfId="0" applyNumberFormat="1" applyFont="1" applyFill="1" applyBorder="1" applyAlignment="1" applyProtection="1">
      <alignment horizontal="center" vertical="center"/>
    </xf>
    <xf numFmtId="0" fontId="8" fillId="0" borderId="121" xfId="0" applyNumberFormat="1" applyFont="1" applyFill="1" applyBorder="1" applyAlignment="1" applyProtection="1">
      <alignment horizontal="left" vertical="top" wrapText="1"/>
    </xf>
    <xf numFmtId="0" fontId="1" fillId="5" borderId="122" xfId="0" applyFont="1" applyFill="1" applyBorder="1" applyAlignment="1" applyProtection="1">
      <alignment horizontal="center" vertical="top" wrapText="1"/>
      <protection locked="0"/>
    </xf>
    <xf numFmtId="172" fontId="82" fillId="0" borderId="131" xfId="0" applyNumberFormat="1" applyFont="1" applyFill="1" applyBorder="1" applyAlignment="1" applyProtection="1">
      <alignment horizontal="center"/>
    </xf>
    <xf numFmtId="172" fontId="83" fillId="6" borderId="67" xfId="0" applyNumberFormat="1" applyFont="1" applyFill="1" applyBorder="1" applyAlignment="1" applyProtection="1">
      <alignment horizontal="center" vertical="center"/>
    </xf>
    <xf numFmtId="0" fontId="8" fillId="0" borderId="125" xfId="0" applyNumberFormat="1" applyFont="1" applyFill="1" applyBorder="1" applyAlignment="1" applyProtection="1">
      <alignment horizontal="left" vertical="top" wrapText="1"/>
    </xf>
    <xf numFmtId="0" fontId="1" fillId="5" borderId="126" xfId="0" applyFont="1" applyFill="1" applyBorder="1" applyAlignment="1" applyProtection="1">
      <alignment horizontal="center" vertical="top" wrapText="1"/>
      <protection locked="0"/>
    </xf>
    <xf numFmtId="0" fontId="8" fillId="0" borderId="129" xfId="0" applyNumberFormat="1" applyFont="1" applyFill="1" applyBorder="1" applyAlignment="1" applyProtection="1">
      <alignment horizontal="left" vertical="top" wrapText="1"/>
    </xf>
    <xf numFmtId="0" fontId="1" fillId="5" borderId="130" xfId="0" applyFont="1" applyFill="1" applyBorder="1" applyAlignment="1" applyProtection="1">
      <alignment horizontal="center" vertical="top" wrapText="1"/>
      <protection locked="0"/>
    </xf>
    <xf numFmtId="0" fontId="8" fillId="0" borderId="134" xfId="0" applyNumberFormat="1" applyFont="1" applyFill="1" applyBorder="1" applyAlignment="1" applyProtection="1">
      <alignment horizontal="left" vertical="center" wrapText="1"/>
    </xf>
    <xf numFmtId="0" fontId="1" fillId="6" borderId="135" xfId="0" applyFont="1" applyFill="1" applyBorder="1" applyAlignment="1" applyProtection="1">
      <alignment horizontal="center" vertical="top" wrapText="1"/>
      <protection locked="0"/>
    </xf>
    <xf numFmtId="0" fontId="1" fillId="0" borderId="138" xfId="3" applyNumberFormat="1" applyFont="1" applyFill="1" applyBorder="1" applyAlignment="1" applyProtection="1">
      <alignment horizontal="left" vertical="center" wrapText="1"/>
    </xf>
    <xf numFmtId="0" fontId="1" fillId="6" borderId="139" xfId="0" applyFont="1" applyFill="1" applyBorder="1" applyAlignment="1" applyProtection="1">
      <alignment horizontal="center" vertical="top" wrapText="1"/>
      <protection locked="0"/>
    </xf>
    <xf numFmtId="9" fontId="1" fillId="0" borderId="138" xfId="3" applyNumberFormat="1" applyFont="1" applyFill="1" applyBorder="1" applyAlignment="1" applyProtection="1">
      <alignment horizontal="left" vertical="center" wrapText="1"/>
    </xf>
    <xf numFmtId="0" fontId="1" fillId="6" borderId="143" xfId="0" applyFont="1" applyFill="1" applyBorder="1" applyAlignment="1" applyProtection="1">
      <alignment horizontal="center" vertical="top" wrapText="1"/>
      <protection locked="0"/>
    </xf>
    <xf numFmtId="165" fontId="26" fillId="2" borderId="0" xfId="34" applyNumberFormat="1"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51" fillId="16" borderId="144" xfId="23" applyNumberFormat="1" applyFont="1" applyFill="1" applyBorder="1" applyAlignment="1">
      <alignment horizontal="center" vertical="center" wrapText="1"/>
    </xf>
    <xf numFmtId="0" fontId="51" fillId="16" borderId="145" xfId="23" applyNumberFormat="1" applyFont="1" applyFill="1" applyBorder="1" applyAlignment="1">
      <alignment horizontal="center" vertical="center" wrapText="1"/>
    </xf>
    <xf numFmtId="0" fontId="51" fillId="16" borderId="147" xfId="23" applyNumberFormat="1" applyFont="1" applyFill="1" applyBorder="1" applyAlignment="1">
      <alignment horizontal="center" vertical="center" wrapText="1"/>
    </xf>
    <xf numFmtId="0" fontId="100" fillId="16" borderId="2" xfId="0" applyNumberFormat="1" applyFont="1" applyFill="1" applyBorder="1" applyAlignment="1">
      <alignment horizontal="center" vertical="center" textRotation="90"/>
    </xf>
    <xf numFmtId="0" fontId="35" fillId="0" borderId="148" xfId="0" applyFont="1" applyFill="1" applyBorder="1" applyAlignment="1" applyProtection="1">
      <alignment horizontal="left" vertical="center" wrapText="1"/>
      <protection locked="0"/>
    </xf>
    <xf numFmtId="0" fontId="35" fillId="0" borderId="149" xfId="0" applyFont="1" applyFill="1" applyBorder="1" applyAlignment="1" applyProtection="1">
      <alignment horizontal="left" wrapText="1"/>
      <protection locked="0"/>
    </xf>
    <xf numFmtId="0" fontId="35" fillId="0" borderId="150" xfId="0" applyFont="1" applyFill="1" applyBorder="1" applyAlignment="1" applyProtection="1">
      <alignment horizontal="left" wrapText="1"/>
      <protection locked="0"/>
    </xf>
    <xf numFmtId="0" fontId="35" fillId="0" borderId="151" xfId="0" applyFont="1" applyFill="1" applyBorder="1" applyAlignment="1" applyProtection="1">
      <alignment horizontal="left" wrapText="1"/>
      <protection locked="0"/>
    </xf>
    <xf numFmtId="0" fontId="35" fillId="0" borderId="152" xfId="0" applyFont="1" applyFill="1" applyBorder="1" applyAlignment="1" applyProtection="1">
      <alignment horizontal="left" wrapText="1"/>
      <protection locked="0"/>
    </xf>
    <xf numFmtId="0" fontId="35" fillId="0" borderId="153" xfId="0" applyFont="1" applyFill="1" applyBorder="1" applyAlignment="1" applyProtection="1">
      <alignment horizontal="left" wrapText="1"/>
      <protection locked="0"/>
    </xf>
    <xf numFmtId="0" fontId="35" fillId="0" borderId="154" xfId="0" applyFont="1" applyFill="1" applyBorder="1" applyAlignment="1" applyProtection="1">
      <alignment horizontal="left"/>
      <protection locked="0"/>
    </xf>
    <xf numFmtId="0" fontId="35" fillId="0" borderId="152" xfId="0" applyFont="1" applyFill="1" applyBorder="1" applyAlignment="1" applyProtection="1">
      <alignment horizontal="left" vertical="top" wrapText="1"/>
      <protection locked="0"/>
    </xf>
    <xf numFmtId="0" fontId="35" fillId="0" borderId="153" xfId="0" applyFont="1" applyFill="1" applyBorder="1" applyAlignment="1" applyProtection="1">
      <alignment horizontal="left"/>
      <protection locked="0"/>
    </xf>
    <xf numFmtId="0" fontId="35" fillId="0" borderId="152" xfId="0" applyFont="1" applyFill="1" applyBorder="1" applyAlignment="1" applyProtection="1">
      <alignment horizontal="left"/>
      <protection locked="0"/>
    </xf>
    <xf numFmtId="0" fontId="35" fillId="0" borderId="155" xfId="0" applyFont="1" applyFill="1" applyBorder="1" applyAlignment="1" applyProtection="1">
      <alignment horizontal="left" vertical="center" wrapText="1"/>
      <protection locked="0"/>
    </xf>
    <xf numFmtId="0" fontId="35" fillId="0" borderId="156" xfId="0" applyFont="1" applyFill="1" applyBorder="1" applyAlignment="1" applyProtection="1">
      <alignment horizontal="left"/>
      <protection locked="0"/>
    </xf>
    <xf numFmtId="0" fontId="35" fillId="0" borderId="157" xfId="0" applyFont="1" applyFill="1" applyBorder="1" applyAlignment="1" applyProtection="1">
      <alignment horizontal="left"/>
      <protection locked="0"/>
    </xf>
    <xf numFmtId="0" fontId="35" fillId="0" borderId="158" xfId="0" applyFont="1" applyFill="1" applyBorder="1" applyAlignment="1" applyProtection="1">
      <alignment horizontal="left"/>
      <protection locked="0"/>
    </xf>
    <xf numFmtId="0" fontId="35" fillId="0" borderId="159" xfId="0" applyFont="1" applyFill="1" applyBorder="1" applyAlignment="1" applyProtection="1">
      <alignment horizontal="left" vertical="top" wrapText="1"/>
      <protection locked="0"/>
    </xf>
    <xf numFmtId="0" fontId="35" fillId="0" borderId="160" xfId="0" applyFont="1" applyBorder="1" applyAlignment="1" applyProtection="1">
      <alignment horizontal="left"/>
      <protection locked="0"/>
    </xf>
    <xf numFmtId="0" fontId="35" fillId="0" borderId="137" xfId="0" applyFont="1" applyBorder="1" applyAlignment="1" applyProtection="1">
      <alignment horizontal="left"/>
      <protection locked="0"/>
    </xf>
    <xf numFmtId="0" fontId="35" fillId="0" borderId="161" xfId="0" applyFont="1" applyBorder="1" applyAlignment="1" applyProtection="1">
      <alignment horizontal="left"/>
      <protection locked="0"/>
    </xf>
    <xf numFmtId="0" fontId="35" fillId="0" borderId="162" xfId="0" applyFont="1" applyFill="1" applyBorder="1" applyAlignment="1" applyProtection="1">
      <alignment horizontal="left"/>
      <protection locked="0"/>
    </xf>
    <xf numFmtId="0" fontId="35" fillId="0" borderId="152" xfId="0" applyFont="1" applyBorder="1" applyAlignment="1" applyProtection="1">
      <alignment horizontal="left"/>
      <protection locked="0"/>
    </xf>
    <xf numFmtId="0" fontId="35" fillId="0" borderId="153" xfId="0" applyFont="1" applyBorder="1" applyAlignment="1" applyProtection="1">
      <alignment horizontal="left"/>
      <protection locked="0"/>
    </xf>
    <xf numFmtId="0" fontId="35" fillId="0" borderId="154" xfId="0" applyFont="1" applyBorder="1" applyAlignment="1" applyProtection="1">
      <alignment horizontal="left"/>
      <protection locked="0"/>
    </xf>
    <xf numFmtId="0" fontId="35" fillId="0" borderId="163" xfId="0" applyFont="1" applyFill="1" applyBorder="1" applyAlignment="1" applyProtection="1">
      <alignment horizontal="left"/>
      <protection locked="0"/>
    </xf>
    <xf numFmtId="0" fontId="35" fillId="0" borderId="156" xfId="0" applyFont="1" applyBorder="1" applyAlignment="1" applyProtection="1">
      <alignment horizontal="left"/>
      <protection locked="0"/>
    </xf>
    <xf numFmtId="0" fontId="35" fillId="0" borderId="157" xfId="0" applyFont="1" applyBorder="1" applyAlignment="1" applyProtection="1">
      <alignment horizontal="left"/>
      <protection locked="0"/>
    </xf>
    <xf numFmtId="0" fontId="35" fillId="0" borderId="158" xfId="0" applyFont="1" applyBorder="1" applyAlignment="1" applyProtection="1">
      <alignment horizontal="left"/>
      <protection locked="0"/>
    </xf>
    <xf numFmtId="165" fontId="2" fillId="3" borderId="0" xfId="6" applyFont="1" applyFill="1" applyBorder="1" applyAlignment="1">
      <alignment horizontal="center" vertical="center"/>
    </xf>
    <xf numFmtId="0" fontId="4" fillId="0" borderId="0" xfId="0" applyFont="1" applyBorder="1" applyAlignment="1">
      <alignment horizontal="center"/>
    </xf>
  </cellXfs>
  <cellStyles count="40">
    <cellStyle name="Euro" xfId="4" xr:uid="{00000000-0005-0000-0000-000000000000}"/>
    <cellStyle name="Millares" xfId="1" builtinId="3"/>
    <cellStyle name="Millares 2" xfId="5" xr:uid="{00000000-0005-0000-0000-000002000000}"/>
    <cellStyle name="Moneda" xfId="2" builtinId="4"/>
    <cellStyle name="Normal" xfId="0" builtinId="0"/>
    <cellStyle name="Normal 2" xfId="6" xr:uid="{00000000-0005-0000-0000-000005000000}"/>
    <cellStyle name="Normal 2 2" xfId="7" xr:uid="{00000000-0005-0000-0000-000006000000}"/>
    <cellStyle name="Normal 2 3" xfId="8" xr:uid="{00000000-0005-0000-0000-000007000000}"/>
    <cellStyle name="Normal 2 4" xfId="9" xr:uid="{00000000-0005-0000-0000-000008000000}"/>
    <cellStyle name="Normal 2 5" xfId="10" xr:uid="{00000000-0005-0000-0000-000009000000}"/>
    <cellStyle name="Normal 2 6" xfId="11" xr:uid="{00000000-0005-0000-0000-00000A000000}"/>
    <cellStyle name="Normal 2 7" xfId="12" xr:uid="{00000000-0005-0000-0000-00000B000000}"/>
    <cellStyle name="Normal 2 8" xfId="13" xr:uid="{00000000-0005-0000-0000-00000C000000}"/>
    <cellStyle name="Normal 2_Dashboard ver 2.2 ES" xfId="14" xr:uid="{00000000-0005-0000-0000-00000D000000}"/>
    <cellStyle name="Normal 2_Ficticia HIV Dashboard_ES - Set Up and Maintenance Guide" xfId="15" xr:uid="{00000000-0005-0000-0000-00000E000000}"/>
    <cellStyle name="Normal 2_Prototipo" xfId="16" xr:uid="{00000000-0005-0000-0000-00000F000000}"/>
    <cellStyle name="Normal 3" xfId="17" xr:uid="{00000000-0005-0000-0000-000010000000}"/>
    <cellStyle name="Normal 4" xfId="18" xr:uid="{00000000-0005-0000-0000-000011000000}"/>
    <cellStyle name="Normal 5" xfId="19" xr:uid="{00000000-0005-0000-0000-000012000000}"/>
    <cellStyle name="Normal 6" xfId="20" xr:uid="{00000000-0005-0000-0000-000013000000}"/>
    <cellStyle name="Normal 7" xfId="21" xr:uid="{00000000-0005-0000-0000-000014000000}"/>
    <cellStyle name="Normal 8" xfId="22" xr:uid="{00000000-0005-0000-0000-000015000000}"/>
    <cellStyle name="Normal_TZ_R3HIV_Phase_2_21_August_08" xfId="23" xr:uid="{00000000-0005-0000-0000-000016000000}"/>
    <cellStyle name="Porcentaje" xfId="3" builtinId="5"/>
    <cellStyle name="Porcentual 2" xfId="24" xr:uid="{00000000-0005-0000-0000-000018000000}"/>
    <cellStyle name="Porcentual 3" xfId="25" xr:uid="{00000000-0005-0000-0000-000019000000}"/>
    <cellStyle name="Porcentual 4" xfId="26" xr:uid="{00000000-0005-0000-0000-00001A000000}"/>
    <cellStyle name="Porcentual 5" xfId="27" xr:uid="{00000000-0005-0000-0000-00001B000000}"/>
    <cellStyle name="Porcentual 6" xfId="28" xr:uid="{00000000-0005-0000-0000-00001C000000}"/>
    <cellStyle name="Porcentual 7" xfId="29" xr:uid="{00000000-0005-0000-0000-00001D000000}"/>
    <cellStyle name="Porcentual 8" xfId="30" xr:uid="{00000000-0005-0000-0000-00001E000000}"/>
    <cellStyle name="Título 3 2" xfId="31" xr:uid="{00000000-0005-0000-0000-00001F000000}"/>
    <cellStyle name="Título 3 3" xfId="32" xr:uid="{00000000-0005-0000-0000-000020000000}"/>
    <cellStyle name="Título 3 3_Prototipo" xfId="33" xr:uid="{00000000-0005-0000-0000-000021000000}"/>
    <cellStyle name="Título 3 3_PrototipoRep1" xfId="34" xr:uid="{00000000-0005-0000-0000-000022000000}"/>
    <cellStyle name="Título 3 4" xfId="35" xr:uid="{00000000-0005-0000-0000-000023000000}"/>
    <cellStyle name="Título 3 5" xfId="36" xr:uid="{00000000-0005-0000-0000-000024000000}"/>
    <cellStyle name="Título 3 6" xfId="37" xr:uid="{00000000-0005-0000-0000-000025000000}"/>
    <cellStyle name="Título 3 7" xfId="38" xr:uid="{00000000-0005-0000-0000-000026000000}"/>
    <cellStyle name="Título 3 8" xfId="39" xr:uid="{00000000-0005-0000-0000-000027000000}"/>
  </cellStyles>
  <dxfs count="37">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61"/>
          <bgColor indexed="29"/>
        </patternFill>
      </fill>
    </dxf>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61"/>
          <bgColor indexed="29"/>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34"/>
          <bgColor indexed="13"/>
        </patternFill>
      </fill>
    </dxf>
    <dxf>
      <font>
        <b/>
        <i val="0"/>
        <condense val="0"/>
        <extend val="0"/>
        <sz val="11"/>
        <color indexed="9"/>
      </font>
      <fill>
        <patternFill patternType="solid">
          <fgColor indexed="29"/>
          <bgColor indexed="61"/>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34"/>
          <bgColor indexed="13"/>
        </patternFill>
      </fill>
    </dxf>
    <dxf>
      <font>
        <b/>
        <i val="0"/>
        <condense val="0"/>
        <extend val="0"/>
        <sz val="11"/>
        <color indexed="9"/>
      </font>
      <fill>
        <patternFill patternType="solid">
          <fgColor indexed="29"/>
          <bgColor indexed="61"/>
        </patternFill>
      </fill>
    </dxf>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61"/>
          <bgColor indexed="29"/>
        </patternFill>
      </fill>
    </dxf>
    <dxf>
      <font>
        <b/>
        <i val="0"/>
        <condense val="0"/>
        <extend val="0"/>
        <sz val="11"/>
        <color indexed="8"/>
      </font>
      <fill>
        <patternFill patternType="solid">
          <fgColor indexed="34"/>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61"/>
        </patternFill>
      </fill>
    </dxf>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61"/>
          <bgColor indexed="29"/>
        </patternFill>
      </fill>
    </dxf>
    <dxf>
      <font>
        <b val="0"/>
        <condense val="0"/>
        <extend val="0"/>
        <sz val="11"/>
        <color indexed="9"/>
      </font>
      <fill>
        <patternFill patternType="solid">
          <fgColor indexed="61"/>
          <bgColor indexed="29"/>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49"/>
          <bgColor indexed="11"/>
        </patternFill>
      </fill>
    </dxf>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61"/>
          <bgColor indexed="29"/>
        </patternFill>
      </fill>
    </dxf>
    <dxf>
      <font>
        <b val="0"/>
        <condense val="0"/>
        <extend val="0"/>
        <sz val="11"/>
        <color indexed="8"/>
      </font>
      <fill>
        <patternFill patternType="solid">
          <fgColor indexed="26"/>
          <bgColor indexed="9"/>
        </patternFill>
      </fill>
    </dxf>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61"/>
          <bgColor indexed="29"/>
        </patternFill>
      </fill>
    </dxf>
    <dxf>
      <font>
        <b val="0"/>
        <condense val="0"/>
        <extend val="0"/>
        <sz val="11"/>
        <color indexed="8"/>
      </font>
      <fill>
        <patternFill patternType="solid">
          <fgColor indexed="49"/>
          <bgColor indexed="11"/>
        </patternFill>
      </fill>
    </dxf>
    <dxf>
      <font>
        <b val="0"/>
        <condense val="0"/>
        <extend val="0"/>
        <sz val="11"/>
        <color indexed="9"/>
      </font>
      <fill>
        <patternFill patternType="solid">
          <fgColor indexed="32"/>
          <bgColor indexed="8"/>
        </patternFill>
      </fill>
    </dxf>
    <dxf>
      <font>
        <b val="0"/>
        <condense val="0"/>
        <extend val="0"/>
        <sz val="11"/>
        <color indexed="8"/>
      </font>
      <fill>
        <patternFill patternType="solid">
          <fgColor indexed="41"/>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61"/>
        </patternFill>
      </fill>
    </dxf>
    <dxf>
      <font>
        <b val="0"/>
        <condense val="0"/>
        <extend val="0"/>
        <sz val="11"/>
        <color indexed="9"/>
      </font>
      <fill>
        <patternFill patternType="solid">
          <fgColor indexed="59"/>
          <bgColor indexed="6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F00"/>
      <rgbColor rgb="0000FFFF"/>
      <rgbColor rgb="00800080"/>
      <rgbColor rgb="00800000"/>
      <rgbColor rgb="00008080"/>
      <rgbColor rgb="000000FF"/>
      <rgbColor rgb="0000CCFF"/>
      <rgbColor rgb="00FFF88F"/>
      <rgbColor rgb="00CCFFCC"/>
      <rgbColor rgb="00FFFF99"/>
      <rgbColor rgb="0099CCFF"/>
      <rgbColor rgb="00FF99CC"/>
      <rgbColor rgb="00CC99FF"/>
      <rgbColor rgb="00FFCC99"/>
      <rgbColor rgb="003366FF"/>
      <rgbColor rgb="0033CC33"/>
      <rgbColor rgb="0099CC00"/>
      <rgbColor rgb="00FFCC00"/>
      <rgbColor rgb="00FF9900"/>
      <rgbColor rgb="00FF6600"/>
      <rgbColor rgb="00376092"/>
      <rgbColor rgb="00969696"/>
      <rgbColor rgb="00003366"/>
      <rgbColor rgb="00339966"/>
      <rgbColor rgb="00003300"/>
      <rgbColor rgb="00333300"/>
      <rgbColor rgb="00993300"/>
      <rgbColor rgb="00FF505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408090253995024E-2"/>
          <c:y val="8.1514286696695665E-2"/>
          <c:w val="0.90024691917104904"/>
          <c:h val="0.68559043656660823"/>
        </c:manualLayout>
      </c:layout>
      <c:barChart>
        <c:barDir val="col"/>
        <c:grouping val="clustered"/>
        <c:varyColors val="0"/>
        <c:ser>
          <c:idx val="0"/>
          <c:order val="0"/>
          <c:tx>
            <c:v>PRESUPUESTO</c:v>
          </c:tx>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1.7253774263120056E-2"/>
                  <c:y val="1.89251452738710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30-4A92-8E75-7C710F7F7CD4}"/>
                </c:ext>
              </c:extLst>
            </c:dLbl>
            <c:dLbl>
              <c:idx val="1"/>
              <c:layout>
                <c:manualLayout>
                  <c:x val="6.3263838964773542E-2"/>
                  <c:y val="-7.3798897408566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30-4A92-8E75-7C710F7F7CD4}"/>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S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'Introducción de datos'!$C$33:$C$34</c:f>
              <c:numCache>
                <c:formatCode>\$#,##0</c:formatCode>
                <c:ptCount val="2"/>
                <c:pt idx="0">
                  <c:v>1994855</c:v>
                </c:pt>
                <c:pt idx="1">
                  <c:v>2477274</c:v>
                </c:pt>
              </c:numCache>
            </c:numRef>
          </c:val>
          <c:extLst>
            <c:ext xmlns:c16="http://schemas.microsoft.com/office/drawing/2014/chart" uri="{C3380CC4-5D6E-409C-BE32-E72D297353CC}">
              <c16:uniqueId val="{00000000-C77B-4E23-900E-E9D8F9762CA0}"/>
            </c:ext>
          </c:extLst>
        </c:ser>
        <c:ser>
          <c:idx val="1"/>
          <c:order val="1"/>
          <c:tx>
            <c:v>DESEMBOLSO</c:v>
          </c:tx>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2.8756290438533456E-2"/>
                  <c:y val="-7.37988974085662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30-4A92-8E75-7C710F7F7CD4}"/>
                </c:ext>
              </c:extLst>
            </c:dLbl>
            <c:dLbl>
              <c:idx val="1"/>
              <c:layout>
                <c:manualLayout>
                  <c:x val="9.7771387491013606E-2"/>
                  <c:y val="1.3537347132918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30-4A92-8E75-7C710F7F7CD4}"/>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S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'Introducción de datos'!$D$33:$D$34</c:f>
              <c:numCache>
                <c:formatCode>\$#,##0.00</c:formatCode>
                <c:ptCount val="2"/>
                <c:pt idx="0">
                  <c:v>2556011</c:v>
                </c:pt>
                <c:pt idx="1">
                  <c:v>2556011</c:v>
                </c:pt>
              </c:numCache>
            </c:numRef>
          </c:val>
          <c:extLst>
            <c:ext xmlns:c16="http://schemas.microsoft.com/office/drawing/2014/chart" uri="{C3380CC4-5D6E-409C-BE32-E72D297353CC}">
              <c16:uniqueId val="{00000001-C77B-4E23-900E-E9D8F9762CA0}"/>
            </c:ext>
          </c:extLst>
        </c:ser>
        <c:dLbls>
          <c:dLblPos val="inEnd"/>
          <c:showLegendKey val="0"/>
          <c:showVal val="1"/>
          <c:showCatName val="0"/>
          <c:showSerName val="0"/>
          <c:showPercent val="0"/>
          <c:showBubbleSize val="0"/>
        </c:dLbls>
        <c:gapWidth val="65"/>
        <c:axId val="495545784"/>
        <c:axId val="1"/>
        <c:extLst>
          <c:ext xmlns:c15="http://schemas.microsoft.com/office/drawing/2012/chart" uri="{02D57815-91ED-43cb-92C2-25804820EDAC}">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val>
                  <c:numRef>
                    <c:extLst>
                      <c:ext uri="{02D57815-91ED-43cb-92C2-25804820EDAC}">
                        <c15:formulaRef>
                          <c15:sqref>'Introducción de datos'!$E$33:$E$34</c15:sqref>
                        </c15:formulaRef>
                      </c:ext>
                    </c:extLst>
                    <c:numCache>
                      <c:formatCode>\$#,##0.00</c:formatCode>
                      <c:ptCount val="2"/>
                    </c:numCache>
                  </c:numRef>
                </c:val>
                <c:extLst>
                  <c:ext xmlns:c16="http://schemas.microsoft.com/office/drawing/2014/chart" uri="{C3380CC4-5D6E-409C-BE32-E72D297353CC}">
                    <c16:uniqueId val="{00000000-F73B-4C67-BD54-6A7DE44F86BC}"/>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datos'!$F$33:$F$34</c15:sqref>
                        </c15:formulaRef>
                      </c:ext>
                    </c:extLst>
                    <c:numCache>
                      <c:formatCode>\$#,##0.00</c:formatCode>
                      <c:ptCount val="2"/>
                    </c:numCache>
                  </c:numRef>
                </c:val>
                <c:extLst xmlns:c15="http://schemas.microsoft.com/office/drawing/2012/chart">
                  <c:ext xmlns:c16="http://schemas.microsoft.com/office/drawing/2014/chart" uri="{C3380CC4-5D6E-409C-BE32-E72D297353CC}">
                    <c16:uniqueId val="{00000001-F73B-4C67-BD54-6A7DE44F86BC}"/>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datos'!$G$33:$G$34</c15:sqref>
                        </c15:formulaRef>
                      </c:ext>
                    </c:extLst>
                    <c:numCache>
                      <c:formatCode>\$#,##0.00</c:formatCode>
                      <c:ptCount val="2"/>
                    </c:numCache>
                  </c:numRef>
                </c:val>
                <c:extLst xmlns:c15="http://schemas.microsoft.com/office/drawing/2012/chart">
                  <c:ext xmlns:c16="http://schemas.microsoft.com/office/drawing/2014/chart" uri="{C3380CC4-5D6E-409C-BE32-E72D297353CC}">
                    <c16:uniqueId val="{00000002-F73B-4C67-BD54-6A7DE44F86BC}"/>
                  </c:ext>
                </c:extLst>
              </c15:ser>
            </c15:filteredBarSeries>
            <c15:filteredBarSeries>
              <c15:ser>
                <c:idx val="5"/>
                <c:order val="5"/>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datos'!$H$33:$H$34</c15:sqref>
                        </c15:formulaRef>
                      </c:ext>
                    </c:extLst>
                    <c:numCache>
                      <c:formatCode>\$#,##0.00</c:formatCode>
                      <c:ptCount val="2"/>
                    </c:numCache>
                  </c:numRef>
                </c:val>
                <c:extLst xmlns:c15="http://schemas.microsoft.com/office/drawing/2012/chart">
                  <c:ext xmlns:c16="http://schemas.microsoft.com/office/drawing/2014/chart" uri="{C3380CC4-5D6E-409C-BE32-E72D297353CC}">
                    <c16:uniqueId val="{00000003-F73B-4C67-BD54-6A7DE44F86BC}"/>
                  </c:ext>
                </c:extLst>
              </c15:ser>
            </c15:filteredBarSeries>
            <c15:filteredBarSeries>
              <c15:ser>
                <c:idx val="6"/>
                <c:order val="6"/>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datos'!$I$33:$I$34</c15:sqref>
                        </c15:formulaRef>
                      </c:ext>
                    </c:extLst>
                    <c:numCache>
                      <c:formatCode>#.##0</c:formatCode>
                      <c:ptCount val="2"/>
                    </c:numCache>
                  </c:numRef>
                </c:val>
                <c:extLst xmlns:c15="http://schemas.microsoft.com/office/drawing/2012/chart">
                  <c:ext xmlns:c16="http://schemas.microsoft.com/office/drawing/2014/chart" uri="{C3380CC4-5D6E-409C-BE32-E72D297353CC}">
                    <c16:uniqueId val="{00000004-F73B-4C67-BD54-6A7DE44F86BC}"/>
                  </c:ext>
                </c:extLst>
              </c15:ser>
            </c15:filteredBarSeries>
            <c15:filteredBarSeries>
              <c15:ser>
                <c:idx val="7"/>
                <c:order val="7"/>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datos'!$J$33:$J$34</c15:sqref>
                        </c15:formulaRef>
                      </c:ext>
                    </c:extLst>
                    <c:numCache>
                      <c:formatCode>#.##0</c:formatCode>
                      <c:ptCount val="2"/>
                    </c:numCache>
                  </c:numRef>
                </c:val>
                <c:extLst xmlns:c15="http://schemas.microsoft.com/office/drawing/2012/chart">
                  <c:ext xmlns:c16="http://schemas.microsoft.com/office/drawing/2014/chart" uri="{C3380CC4-5D6E-409C-BE32-E72D297353CC}">
                    <c16:uniqueId val="{00000005-F73B-4C67-BD54-6A7DE44F86BC}"/>
                  </c:ext>
                </c:extLst>
              </c15:ser>
            </c15:filteredBarSeries>
            <c15:filteredBarSeries>
              <c15:ser>
                <c:idx val="8"/>
                <c:order val="8"/>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datos'!$K$33:$K$34</c15:sqref>
                        </c15:formulaRef>
                      </c:ext>
                    </c:extLst>
                    <c:numCache>
                      <c:formatCode>#.##0</c:formatCode>
                      <c:ptCount val="2"/>
                    </c:numCache>
                  </c:numRef>
                </c:val>
                <c:extLst xmlns:c15="http://schemas.microsoft.com/office/drawing/2012/chart">
                  <c:ext xmlns:c16="http://schemas.microsoft.com/office/drawing/2014/chart" uri="{C3380CC4-5D6E-409C-BE32-E72D297353CC}">
                    <c16:uniqueId val="{00000006-F73B-4C67-BD54-6A7DE44F86BC}"/>
                  </c:ext>
                </c:extLst>
              </c15:ser>
            </c15:filteredBarSeries>
            <c15:filteredBarSeries>
              <c15:ser>
                <c:idx val="9"/>
                <c:order val="9"/>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datos'!$L$33:$L$34</c15:sqref>
                        </c15:formulaRef>
                      </c:ext>
                    </c:extLst>
                    <c:numCache>
                      <c:formatCode>#.##0</c:formatCode>
                      <c:ptCount val="2"/>
                    </c:numCache>
                  </c:numRef>
                </c:val>
                <c:extLst xmlns:c15="http://schemas.microsoft.com/office/drawing/2012/chart">
                  <c:ext xmlns:c16="http://schemas.microsoft.com/office/drawing/2014/chart" uri="{C3380CC4-5D6E-409C-BE32-E72D297353CC}">
                    <c16:uniqueId val="{00000007-F73B-4C67-BD54-6A7DE44F86BC}"/>
                  </c:ext>
                </c:extLst>
              </c15:ser>
            </c15:filteredBarSeries>
            <c15:filteredBarSeries>
              <c15:ser>
                <c:idx val="10"/>
                <c:order val="10"/>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datos'!$M$33:$M$34</c15:sqref>
                        </c15:formulaRef>
                      </c:ext>
                    </c:extLst>
                    <c:numCache>
                      <c:formatCode>#.##0</c:formatCode>
                      <c:ptCount val="2"/>
                    </c:numCache>
                  </c:numRef>
                </c:val>
                <c:extLst xmlns:c15="http://schemas.microsoft.com/office/drawing/2012/chart">
                  <c:ext xmlns:c16="http://schemas.microsoft.com/office/drawing/2014/chart" uri="{C3380CC4-5D6E-409C-BE32-E72D297353CC}">
                    <c16:uniqueId val="{00000008-F73B-4C67-BD54-6A7DE44F86BC}"/>
                  </c:ext>
                </c:extLst>
              </c15:ser>
            </c15:filteredBarSeries>
            <c15:filteredBarSeries>
              <c15:ser>
                <c:idx val="11"/>
                <c:order val="11"/>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SV"/>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extLst xmlns:c15="http://schemas.microsoft.com/office/drawing/2012/chart">
                      <c:ext xmlns:c15="http://schemas.microsoft.com/office/drawing/2012/chart" uri="{02D57815-91ED-43cb-92C2-25804820EDAC}">
                        <c15:formulaRef>
                          <c15:sqref>'Introducción de datos'!$N$33:$N$34</c15:sqref>
                        </c15:formulaRef>
                      </c:ext>
                    </c:extLst>
                    <c:numCache>
                      <c:formatCode>#.##0</c:formatCode>
                      <c:ptCount val="2"/>
                    </c:numCache>
                  </c:numRef>
                </c:val>
                <c:extLst xmlns:c15="http://schemas.microsoft.com/office/drawing/2012/chart">
                  <c:ext xmlns:c16="http://schemas.microsoft.com/office/drawing/2014/chart" uri="{C3380CC4-5D6E-409C-BE32-E72D297353CC}">
                    <c16:uniqueId val="{00000009-F73B-4C67-BD54-6A7DE44F86BC}"/>
                  </c:ext>
                </c:extLst>
              </c15:ser>
            </c15:filteredBarSeries>
          </c:ext>
        </c:extLst>
      </c:barChart>
      <c:catAx>
        <c:axId val="4955457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SV"/>
          </a:p>
        </c:txPr>
        <c:crossAx val="1"/>
        <c:crossesAt val="0"/>
        <c:auto val="1"/>
        <c:lblAlgn val="ctr"/>
        <c:lblOffset val="100"/>
        <c:tickLblSkip val="1"/>
        <c:tickMarkSkip val="1"/>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crossAx val="495545784"/>
        <c:crossesAt val="1"/>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S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SV"/>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4779710320588"/>
          <c:y val="0.30729322964085715"/>
          <c:w val="0.7961006692235103"/>
          <c:h val="0.48437746367118162"/>
        </c:manualLayout>
      </c:layout>
      <c:barChart>
        <c:barDir val="col"/>
        <c:grouping val="clustered"/>
        <c:varyColors val="0"/>
        <c:ser>
          <c:idx val="0"/>
          <c:order val="0"/>
          <c:spPr>
            <a:solidFill>
              <a:srgbClr val="0066CC"/>
            </a:solidFill>
            <a:ln w="25400">
              <a:noFill/>
            </a:ln>
          </c:spPr>
          <c:invertIfNegative val="0"/>
          <c:cat>
            <c:strRef>
              <c:f>'Introducción de datos'!$H$119:$S$119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datos'!$H$123:$S$123</c:f>
              <c:numCache>
                <c:formatCode>General</c:formatCode>
                <c:ptCount val="12"/>
                <c:pt idx="0" formatCode="#">
                  <c:v>14618</c:v>
                </c:pt>
                <c:pt idx="1">
                  <c:v>14618</c:v>
                </c:pt>
              </c:numCache>
            </c:numRef>
          </c:val>
          <c:extLst>
            <c:ext xmlns:c16="http://schemas.microsoft.com/office/drawing/2014/chart" uri="{C3380CC4-5D6E-409C-BE32-E72D297353CC}">
              <c16:uniqueId val="{00000000-58C3-40FB-9C44-0CA577984796}"/>
            </c:ext>
          </c:extLst>
        </c:ser>
        <c:ser>
          <c:idx val="1"/>
          <c:order val="1"/>
          <c:spPr>
            <a:solidFill>
              <a:srgbClr val="00CCFF"/>
            </a:solidFill>
            <a:ln w="25400">
              <a:noFill/>
            </a:ln>
          </c:spPr>
          <c:invertIfNegative val="0"/>
          <c:cat>
            <c:strRef>
              <c:f>'Introducción de datos'!$H$119:$S$119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datos'!$H$124:$S$124</c:f>
              <c:numCache>
                <c:formatCode>General</c:formatCode>
                <c:ptCount val="12"/>
                <c:pt idx="0" formatCode="#">
                  <c:v>4234</c:v>
                </c:pt>
                <c:pt idx="1">
                  <c:v>15863</c:v>
                </c:pt>
              </c:numCache>
            </c:numRef>
          </c:val>
          <c:extLst>
            <c:ext xmlns:c16="http://schemas.microsoft.com/office/drawing/2014/chart" uri="{C3380CC4-5D6E-409C-BE32-E72D297353CC}">
              <c16:uniqueId val="{00000001-58C3-40FB-9C44-0CA577984796}"/>
            </c:ext>
          </c:extLst>
        </c:ser>
        <c:dLbls>
          <c:showLegendKey val="0"/>
          <c:showVal val="0"/>
          <c:showCatName val="0"/>
          <c:showSerName val="0"/>
          <c:showPercent val="0"/>
          <c:showBubbleSize val="0"/>
        </c:dLbls>
        <c:gapWidth val="150"/>
        <c:axId val="502167048"/>
        <c:axId val="1"/>
      </c:barChart>
      <c:catAx>
        <c:axId val="50216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02167048"/>
        <c:crossesAt val="1"/>
        <c:crossBetween val="between"/>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97429147774022"/>
          <c:y val="0.31443298969072164"/>
          <c:w val="0.74278405610250597"/>
          <c:h val="0.4845360824742268"/>
        </c:manualLayout>
      </c:layout>
      <c:barChart>
        <c:barDir val="col"/>
        <c:grouping val="clustered"/>
        <c:varyColors val="0"/>
        <c:ser>
          <c:idx val="0"/>
          <c:order val="0"/>
          <c:spPr>
            <a:solidFill>
              <a:srgbClr val="0066CC"/>
            </a:solidFill>
            <a:ln w="25400">
              <a:noFill/>
            </a:ln>
          </c:spPr>
          <c:invertIfNegative val="0"/>
          <c:cat>
            <c:strRef>
              <c:f>'Introducción de datos'!$H$119:$S$119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datos'!$H$121:$S$121</c:f>
              <c:numCache>
                <c:formatCode>General</c:formatCode>
                <c:ptCount val="12"/>
                <c:pt idx="0" formatCode="#">
                  <c:v>10799</c:v>
                </c:pt>
                <c:pt idx="1">
                  <c:v>10799</c:v>
                </c:pt>
              </c:numCache>
            </c:numRef>
          </c:val>
          <c:extLst>
            <c:ext xmlns:c16="http://schemas.microsoft.com/office/drawing/2014/chart" uri="{C3380CC4-5D6E-409C-BE32-E72D297353CC}">
              <c16:uniqueId val="{00000000-CC5E-4FCB-BF02-767C22F2F017}"/>
            </c:ext>
          </c:extLst>
        </c:ser>
        <c:ser>
          <c:idx val="1"/>
          <c:order val="1"/>
          <c:spPr>
            <a:solidFill>
              <a:srgbClr val="00CCFF"/>
            </a:solidFill>
            <a:ln w="12700">
              <a:solidFill>
                <a:srgbClr val="000000"/>
              </a:solidFill>
              <a:prstDash val="solid"/>
            </a:ln>
          </c:spPr>
          <c:invertIfNegative val="0"/>
          <c:cat>
            <c:strRef>
              <c:f>'Introducción de datos'!$H$119:$S$119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datos'!$H$122:$S$122</c:f>
              <c:numCache>
                <c:formatCode>General</c:formatCode>
                <c:ptCount val="12"/>
                <c:pt idx="0" formatCode="#">
                  <c:v>9076</c:v>
                </c:pt>
                <c:pt idx="1">
                  <c:v>9208</c:v>
                </c:pt>
              </c:numCache>
            </c:numRef>
          </c:val>
          <c:extLst>
            <c:ext xmlns:c16="http://schemas.microsoft.com/office/drawing/2014/chart" uri="{C3380CC4-5D6E-409C-BE32-E72D297353CC}">
              <c16:uniqueId val="{00000001-CC5E-4FCB-BF02-767C22F2F017}"/>
            </c:ext>
          </c:extLst>
        </c:ser>
        <c:dLbls>
          <c:showLegendKey val="0"/>
          <c:showVal val="0"/>
          <c:showCatName val="0"/>
          <c:showSerName val="0"/>
          <c:showPercent val="0"/>
          <c:showBubbleSize val="0"/>
        </c:dLbls>
        <c:gapWidth val="150"/>
        <c:axId val="502168360"/>
        <c:axId val="1"/>
      </c:barChart>
      <c:catAx>
        <c:axId val="50216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02168360"/>
        <c:crossesAt val="1"/>
        <c:crossBetween val="between"/>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41801366145259"/>
          <c:y val="0.1068385041613388"/>
          <c:w val="0.84477826574274451"/>
          <c:h val="0.40028624627049819"/>
        </c:manualLayout>
      </c:layout>
      <c:barChart>
        <c:barDir val="col"/>
        <c:grouping val="clustered"/>
        <c:varyColors val="0"/>
        <c:ser>
          <c:idx val="0"/>
          <c:order val="0"/>
          <c:tx>
            <c:v>DESEMBOLSO</c:v>
          </c:tx>
          <c:spPr>
            <a:solidFill>
              <a:schemeClr val="accent1"/>
            </a:solidFill>
            <a:ln>
              <a:noFill/>
            </a:ln>
            <a:effectLst/>
          </c:spPr>
          <c:invertIfNegative val="0"/>
          <c:dLbls>
            <c:dLbl>
              <c:idx val="4"/>
              <c:layout>
                <c:manualLayout>
                  <c:x val="3.5810205908682661E-3"/>
                  <c:y val="-6.26780626780626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DD-4FDB-B351-71DC8DD107F8}"/>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'Introducción de datos'!$B$56:$B$60</c:f>
              <c:strCache>
                <c:ptCount val="5"/>
                <c:pt idx="0">
                  <c:v> Desembolsado por el Fondo Mundial </c:v>
                </c:pt>
                <c:pt idx="1">
                  <c:v> Intereses percibidos en cuenta de ahorro del 1 de enero al 31 de diciembre de 2017 </c:v>
                </c:pt>
                <c:pt idx="2">
                  <c:v> Gastos  </c:v>
                </c:pt>
                <c:pt idx="3">
                  <c:v> Compromisos  </c:v>
                </c:pt>
                <c:pt idx="4">
                  <c:v> Saldo en Caja al 31 de Diciembre MINSAL  </c:v>
                </c:pt>
              </c:strCache>
            </c:strRef>
          </c:cat>
          <c:val>
            <c:numRef>
              <c:f>'Introducción de datos'!$C$56:$C$60</c:f>
              <c:numCache>
                <c:formatCode>_(\$* #,##0.00_);_(\$* \(#,##0.00\);_(\$* \-??_);_(@_)</c:formatCode>
                <c:ptCount val="5"/>
                <c:pt idx="0">
                  <c:v>2477274</c:v>
                </c:pt>
                <c:pt idx="2">
                  <c:v>33165.99</c:v>
                </c:pt>
                <c:pt idx="3">
                  <c:v>1716064.92</c:v>
                </c:pt>
                <c:pt idx="4">
                  <c:v>2444108.0099999998</c:v>
                </c:pt>
              </c:numCache>
            </c:numRef>
          </c:val>
          <c:extLst>
            <c:ext xmlns:c16="http://schemas.microsoft.com/office/drawing/2014/chart" uri="{C3380CC4-5D6E-409C-BE32-E72D297353CC}">
              <c16:uniqueId val="{00000000-8118-456B-BBE2-93B80699FE42}"/>
            </c:ext>
          </c:extLst>
        </c:ser>
        <c:ser>
          <c:idx val="1"/>
          <c:order val="1"/>
          <c:tx>
            <c:v>GASTOS</c:v>
          </c:tx>
          <c:spPr>
            <a:solidFill>
              <a:schemeClr val="accent2"/>
            </a:solidFill>
            <a:ln>
              <a:noFill/>
            </a:ln>
            <a:effectLst/>
          </c:spPr>
          <c:invertIfNegative val="0"/>
          <c:dLbls>
            <c:dLbl>
              <c:idx val="4"/>
              <c:layout>
                <c:manualLayout>
                  <c:x val="6.445837063563116E-2"/>
                  <c:y val="-2.27920227920227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DD-4FDB-B351-71DC8DD107F8}"/>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lumMod val="75000"/>
                        <a:lumOff val="25000"/>
                      </a:schemeClr>
                    </a:solidFill>
                    <a:latin typeface="+mn-lt"/>
                    <a:ea typeface="+mn-ea"/>
                    <a:cs typeface="+mn-cs"/>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'Introducción de datos'!$B$56:$B$60</c:f>
              <c:strCache>
                <c:ptCount val="5"/>
                <c:pt idx="0">
                  <c:v> Desembolsado por el Fondo Mundial </c:v>
                </c:pt>
                <c:pt idx="1">
                  <c:v> Intereses percibidos en cuenta de ahorro del 1 de enero al 31 de diciembre de 2017 </c:v>
                </c:pt>
                <c:pt idx="2">
                  <c:v> Gastos  </c:v>
                </c:pt>
                <c:pt idx="3">
                  <c:v> Compromisos  </c:v>
                </c:pt>
                <c:pt idx="4">
                  <c:v> Saldo en Caja al 31 de Diciembre MINSAL  </c:v>
                </c:pt>
              </c:strCache>
            </c:strRef>
          </c:cat>
          <c:val>
            <c:numRef>
              <c:f>'Introducción de datos'!$D$56:$D$60</c:f>
              <c:numCache>
                <c:formatCode>_(\$* #,##0_);_(\$* \(#,##0\);_(\$* \-??_);_(@_)</c:formatCode>
                <c:ptCount val="5"/>
                <c:pt idx="0">
                  <c:v>78737</c:v>
                </c:pt>
                <c:pt idx="1">
                  <c:v>18429.509999999998</c:v>
                </c:pt>
                <c:pt idx="2">
                  <c:v>1323392.9099999999</c:v>
                </c:pt>
                <c:pt idx="3">
                  <c:v>318790</c:v>
                </c:pt>
                <c:pt idx="4">
                  <c:v>1217881.6099999999</c:v>
                </c:pt>
              </c:numCache>
            </c:numRef>
          </c:val>
          <c:extLst>
            <c:ext xmlns:c16="http://schemas.microsoft.com/office/drawing/2014/chart" uri="{C3380CC4-5D6E-409C-BE32-E72D297353CC}">
              <c16:uniqueId val="{00000001-8118-456B-BBE2-93B80699FE42}"/>
            </c:ext>
          </c:extLst>
        </c:ser>
        <c:dLbls>
          <c:dLblPos val="outEnd"/>
          <c:showLegendKey val="0"/>
          <c:showVal val="1"/>
          <c:showCatName val="0"/>
          <c:showSerName val="0"/>
          <c:showPercent val="0"/>
          <c:showBubbleSize val="0"/>
        </c:dLbls>
        <c:gapWidth val="267"/>
        <c:overlap val="-43"/>
        <c:axId val="495551360"/>
        <c:axId val="1"/>
      </c:barChart>
      <c:catAx>
        <c:axId val="4955513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460" b="0" i="0" u="none" strike="noStrike" kern="1200" cap="none" spc="0" normalizeH="0" baseline="0">
                <a:solidFill>
                  <a:schemeClr val="dk1">
                    <a:lumMod val="65000"/>
                    <a:lumOff val="35000"/>
                  </a:schemeClr>
                </a:solidFill>
                <a:latin typeface="+mn-lt"/>
                <a:ea typeface="+mn-ea"/>
                <a:cs typeface="+mn-cs"/>
              </a:defRPr>
            </a:pPr>
            <a:endParaRPr lang="es-SV"/>
          </a:p>
        </c:txPr>
        <c:crossAx val="1"/>
        <c:crossesAt val="0"/>
        <c:auto val="1"/>
        <c:lblAlgn val="ctr"/>
        <c:lblOffset val="100"/>
        <c:noMultiLvlLbl val="0"/>
      </c:catAx>
      <c:valAx>
        <c:axId val="1"/>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0"/>
        <c:majorTickMark val="none"/>
        <c:minorTickMark val="none"/>
        <c:tickLblPos val="nextTo"/>
        <c:spPr>
          <a:noFill/>
          <a:ln>
            <a:noFill/>
          </a:ln>
          <a:effectLst/>
        </c:spPr>
        <c:txPr>
          <a:bodyPr rot="0" spcFirstLastPara="1" vertOverflow="ellipsis" wrap="square" anchor="ctr" anchorCtr="1"/>
          <a:lstStyle/>
          <a:p>
            <a:pPr>
              <a:defRPr sz="600" b="0" i="0" u="none" strike="noStrike" kern="1200" baseline="0">
                <a:solidFill>
                  <a:schemeClr val="dk1">
                    <a:lumMod val="65000"/>
                    <a:lumOff val="35000"/>
                  </a:schemeClr>
                </a:solidFill>
                <a:latin typeface="+mn-lt"/>
                <a:ea typeface="+mn-ea"/>
                <a:cs typeface="+mn-cs"/>
              </a:defRPr>
            </a:pPr>
            <a:endParaRPr lang="es-SV"/>
          </a:p>
        </c:txPr>
        <c:crossAx val="495551360"/>
        <c:crossesAt val="1"/>
        <c:crossBetween val="between"/>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64284028507179669"/>
          <c:y val="0.68304776005563406"/>
          <c:w val="0.26047215897475667"/>
          <c:h val="0.1923090382932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SV"/>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SV"/>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Financiamiento!$C$32</c:f>
              <c:strCache>
                <c:ptCount val="1"/>
                <c:pt idx="0">
                  <c:v>Presupuesto acumulado</c:v>
                </c:pt>
              </c:strCache>
            </c:strRef>
          </c:tx>
          <c:spPr>
            <a:solidFill>
              <a:srgbClr val="7030A0"/>
            </a:solidFill>
            <a:ln w="3175">
              <a:solidFill>
                <a:srgbClr val="000000"/>
              </a:solidFill>
              <a:prstDash val="solid"/>
            </a:ln>
          </c:spPr>
          <c:invertIfNegative val="0"/>
          <c:cat>
            <c:strRef>
              <c:f>'Introducción de datos'!$B$39:$B$48</c:f>
              <c:strCache>
                <c:ptCount val="10"/>
                <c:pt idx="0">
                  <c:v> FSS - Financiamiento de la atención sanitaria </c:v>
                </c:pt>
                <c:pt idx="1">
                  <c:v> Gestión de programas </c:v>
                </c:pt>
                <c:pt idx="2">
                  <c:v> Prevención - Hombres que tienen relaciones sexuales con hombres y personas transgénero </c:v>
                </c:pt>
                <c:pt idx="3">
                  <c:v> Programas de prevención integral para trabajadores del sexo y sus clientes </c:v>
                </c:pt>
                <c:pt idx="4">
                  <c:v> Programas de prevención para otras poblaciones vulnerables </c:v>
                </c:pt>
                <c:pt idx="5">
                  <c:v> PTMI </c:v>
                </c:pt>
                <c:pt idx="6">
                  <c:v> SSRS: Recursos humanos para la salud, incluidos trabajadores de salud comunitarios </c:v>
                </c:pt>
                <c:pt idx="7">
                  <c:v> SSRS: Sistemas de información en salud y monitoreo y evaluación </c:v>
                </c:pt>
                <c:pt idx="8">
                  <c:v> TB/VIH </c:v>
                </c:pt>
                <c:pt idx="9">
                  <c:v> Tratamiento, atención y apoyo </c:v>
                </c:pt>
              </c:strCache>
            </c:strRef>
          </c:cat>
          <c:val>
            <c:numRef>
              <c:f>'Introducción de datos'!$C$39:$C$48</c:f>
              <c:numCache>
                <c:formatCode>_(\$* #,##0.00_);_(\$* \(#,##0.00\);_(\$* \-??_);_(@_)</c:formatCode>
                <c:ptCount val="10"/>
                <c:pt idx="0">
                  <c:v>174000</c:v>
                </c:pt>
                <c:pt idx="1">
                  <c:v>262352</c:v>
                </c:pt>
                <c:pt idx="2">
                  <c:v>751673</c:v>
                </c:pt>
                <c:pt idx="3">
                  <c:v>55585</c:v>
                </c:pt>
                <c:pt idx="4">
                  <c:v>159223</c:v>
                </c:pt>
                <c:pt idx="5">
                  <c:v>140085</c:v>
                </c:pt>
                <c:pt idx="6">
                  <c:v>215750</c:v>
                </c:pt>
                <c:pt idx="7">
                  <c:v>157402</c:v>
                </c:pt>
                <c:pt idx="8">
                  <c:v>29753</c:v>
                </c:pt>
                <c:pt idx="9">
                  <c:v>610188</c:v>
                </c:pt>
              </c:numCache>
            </c:numRef>
          </c:val>
          <c:extLst>
            <c:ext xmlns:c16="http://schemas.microsoft.com/office/drawing/2014/chart" uri="{C3380CC4-5D6E-409C-BE32-E72D297353CC}">
              <c16:uniqueId val="{00000000-9624-4ABD-86F5-F61E6A5771AE}"/>
            </c:ext>
          </c:extLst>
        </c:ser>
        <c:ser>
          <c:idx val="1"/>
          <c:order val="1"/>
          <c:tx>
            <c:strRef>
              <c:f>Financiamiento!$C$33</c:f>
              <c:strCache>
                <c:ptCount val="1"/>
                <c:pt idx="0">
                  <c:v>Gastos acumulados</c:v>
                </c:pt>
              </c:strCache>
            </c:strRef>
          </c:tx>
          <c:spPr>
            <a:solidFill>
              <a:srgbClr val="FFC000"/>
            </a:solidFill>
            <a:ln w="3175">
              <a:solidFill>
                <a:srgbClr val="800000"/>
              </a:solidFill>
              <a:prstDash val="solid"/>
            </a:ln>
          </c:spPr>
          <c:invertIfNegative val="0"/>
          <c:dPt>
            <c:idx val="0"/>
            <c:invertIfNegative val="0"/>
            <c:bubble3D val="0"/>
            <c:spPr>
              <a:solidFill>
                <a:srgbClr val="FFC000"/>
              </a:solidFill>
              <a:ln w="3175">
                <a:solidFill>
                  <a:srgbClr val="800000"/>
                </a:solidFill>
                <a:prstDash val="solid"/>
              </a:ln>
            </c:spPr>
            <c:extLst>
              <c:ext xmlns:c16="http://schemas.microsoft.com/office/drawing/2014/chart" uri="{C3380CC4-5D6E-409C-BE32-E72D297353CC}">
                <c16:uniqueId val="{0000000E-F1EC-4D4E-84FC-13E7C216135F}"/>
              </c:ext>
            </c:extLst>
          </c:dPt>
          <c:cat>
            <c:strRef>
              <c:f>'Introducción de datos'!$B$39:$B$48</c:f>
              <c:strCache>
                <c:ptCount val="10"/>
                <c:pt idx="0">
                  <c:v> FSS - Financiamiento de la atención sanitaria </c:v>
                </c:pt>
                <c:pt idx="1">
                  <c:v> Gestión de programas </c:v>
                </c:pt>
                <c:pt idx="2">
                  <c:v> Prevención - Hombres que tienen relaciones sexuales con hombres y personas transgénero </c:v>
                </c:pt>
                <c:pt idx="3">
                  <c:v> Programas de prevención integral para trabajadores del sexo y sus clientes </c:v>
                </c:pt>
                <c:pt idx="4">
                  <c:v> Programas de prevención para otras poblaciones vulnerables </c:v>
                </c:pt>
                <c:pt idx="5">
                  <c:v> PTMI </c:v>
                </c:pt>
                <c:pt idx="6">
                  <c:v> SSRS: Recursos humanos para la salud, incluidos trabajadores de salud comunitarios </c:v>
                </c:pt>
                <c:pt idx="7">
                  <c:v> SSRS: Sistemas de información en salud y monitoreo y evaluación </c:v>
                </c:pt>
                <c:pt idx="8">
                  <c:v> TB/VIH </c:v>
                </c:pt>
                <c:pt idx="9">
                  <c:v> Tratamiento, atención y apoyo </c:v>
                </c:pt>
              </c:strCache>
            </c:strRef>
          </c:cat>
          <c:val>
            <c:numRef>
              <c:f>'Introducción de datos'!$D$39:$D$48</c:f>
              <c:numCache>
                <c:formatCode>_(\$* #,##0.00_);_(\$* \(#,##0.00\);_(\$* \-??_);_(@_)</c:formatCode>
                <c:ptCount val="10"/>
                <c:pt idx="0">
                  <c:v>93327.24</c:v>
                </c:pt>
                <c:pt idx="1">
                  <c:v>56021.46</c:v>
                </c:pt>
                <c:pt idx="2">
                  <c:v>401326</c:v>
                </c:pt>
                <c:pt idx="3">
                  <c:v>38733</c:v>
                </c:pt>
                <c:pt idx="4">
                  <c:v>77784</c:v>
                </c:pt>
                <c:pt idx="5">
                  <c:v>65272</c:v>
                </c:pt>
                <c:pt idx="6">
                  <c:v>4956.3500000000004</c:v>
                </c:pt>
                <c:pt idx="7">
                  <c:v>62607</c:v>
                </c:pt>
                <c:pt idx="8">
                  <c:v>19169.919999999998</c:v>
                </c:pt>
                <c:pt idx="9">
                  <c:v>537299</c:v>
                </c:pt>
              </c:numCache>
            </c:numRef>
          </c:val>
          <c:extLst>
            <c:ext xmlns:c16="http://schemas.microsoft.com/office/drawing/2014/chart" uri="{C3380CC4-5D6E-409C-BE32-E72D297353CC}">
              <c16:uniqueId val="{00000001-9624-4ABD-86F5-F61E6A5771AE}"/>
            </c:ext>
          </c:extLst>
        </c:ser>
        <c:dLbls>
          <c:showLegendKey val="0"/>
          <c:showVal val="0"/>
          <c:showCatName val="0"/>
          <c:showSerName val="0"/>
          <c:showPercent val="0"/>
          <c:showBubbleSize val="0"/>
        </c:dLbls>
        <c:gapWidth val="150"/>
        <c:axId val="501678776"/>
        <c:axId val="1"/>
      </c:barChart>
      <c:catAx>
        <c:axId val="501678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0.00_);_(\$* \(#,##0.00\);_(\$* \-??_);_(@_)" sourceLinked="0"/>
        <c:majorTickMark val="none"/>
        <c:minorTickMark val="none"/>
        <c:tickLblPos val="nextTo"/>
        <c:spPr>
          <a:ln w="3175">
            <a:solidFill>
              <a:srgbClr val="000000"/>
            </a:solidFill>
            <a:prstDash val="solid"/>
          </a:ln>
        </c:spPr>
        <c:txPr>
          <a:bodyPr rot="0" vert="horz"/>
          <a:lstStyle/>
          <a:p>
            <a:pPr>
              <a:defRPr sz="700" baseline="0"/>
            </a:pPr>
            <a:endParaRPr lang="es-SV"/>
          </a:p>
        </c:txPr>
        <c:crossAx val="501678776"/>
        <c:crossesAt val="1"/>
        <c:crossBetween val="between"/>
      </c:valAx>
      <c:dTable>
        <c:showHorzBorder val="1"/>
        <c:showVertBorder val="1"/>
        <c:showOutline val="1"/>
        <c:showKeys val="1"/>
        <c:txPr>
          <a:bodyPr/>
          <a:lstStyle/>
          <a:p>
            <a:pPr rtl="0">
              <a:defRPr sz="600" baseline="0"/>
            </a:pPr>
            <a:endParaRPr lang="es-SV"/>
          </a:p>
        </c:txPr>
      </c:dTable>
      <c:spPr>
        <a:noFill/>
        <a:ln w="25400">
          <a:noFill/>
        </a:ln>
      </c:spPr>
    </c:plotArea>
    <c:plotVisOnly val="1"/>
    <c:dispBlanksAs val="gap"/>
    <c:showDLblsOverMax val="0"/>
  </c:chart>
  <c:spPr>
    <a:noFill/>
    <a:ln w="6350">
      <a:noFill/>
    </a:ln>
  </c:spPr>
  <c:txPr>
    <a:bodyPr/>
    <a:lstStyle/>
    <a:p>
      <a:pPr>
        <a:defRPr sz="95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9186535764376"/>
          <c:y val="0.34782608695652173"/>
          <c:w val="0.83870967741935487"/>
          <c:h val="0.43043478260869567"/>
        </c:manualLayout>
      </c:layout>
      <c:barChart>
        <c:barDir val="bar"/>
        <c:grouping val="percentStacked"/>
        <c:varyColors val="0"/>
        <c:ser>
          <c:idx val="0"/>
          <c:order val="0"/>
          <c:tx>
            <c:strRef>
              <c:f>'Introducción de datos'!$D$83</c:f>
              <c:strCache>
                <c:ptCount val="1"/>
                <c:pt idx="0">
                  <c:v> Cubiertos </c:v>
                </c:pt>
              </c:strCache>
            </c:strRef>
          </c:tx>
          <c:spPr>
            <a:solidFill>
              <a:srgbClr val="33CC33"/>
            </a:solidFill>
            <a:ln w="25400">
              <a:noFill/>
            </a:ln>
          </c:spPr>
          <c:invertIfNegative val="0"/>
          <c:dPt>
            <c:idx val="0"/>
            <c:invertIfNegative val="0"/>
            <c:bubble3D val="0"/>
            <c:spPr>
              <a:solidFill>
                <a:srgbClr val="99CC00"/>
              </a:solidFill>
              <a:ln w="25400">
                <a:noFill/>
              </a:ln>
            </c:spPr>
            <c:extLst>
              <c:ext xmlns:c16="http://schemas.microsoft.com/office/drawing/2014/chart" uri="{C3380CC4-5D6E-409C-BE32-E72D297353CC}">
                <c16:uniqueId val="{00000000-756C-4D59-9EC3-B6465365FE80}"/>
              </c:ext>
            </c:extLst>
          </c:dPt>
          <c:dLbls>
            <c:dLbl>
              <c:idx val="0"/>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756C-4D59-9EC3-B6465365FE80}"/>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datos'!$D$84</c:f>
              <c:numCache>
                <c:formatCode>General</c:formatCode>
                <c:ptCount val="1"/>
                <c:pt idx="0">
                  <c:v>0</c:v>
                </c:pt>
              </c:numCache>
            </c:numRef>
          </c:val>
          <c:extLst>
            <c:ext xmlns:c16="http://schemas.microsoft.com/office/drawing/2014/chart" uri="{C3380CC4-5D6E-409C-BE32-E72D297353CC}">
              <c16:uniqueId val="{00000001-756C-4D59-9EC3-B6465365FE80}"/>
            </c:ext>
          </c:extLst>
        </c:ser>
        <c:ser>
          <c:idx val="1"/>
          <c:order val="1"/>
          <c:tx>
            <c:strRef>
              <c:f>'Introducción de datos'!$E$83</c:f>
              <c:strCache>
                <c:ptCount val="1"/>
                <c:pt idx="0">
                  <c:v> Vacantes </c:v>
                </c:pt>
              </c:strCache>
            </c:strRef>
          </c:tx>
          <c:spPr>
            <a:solidFill>
              <a:srgbClr val="FF5050"/>
            </a:solidFill>
            <a:ln w="25400">
              <a:noFill/>
            </a:ln>
          </c:spPr>
          <c:invertIfNegative val="0"/>
          <c:dLbls>
            <c:dLbl>
              <c:idx val="0"/>
              <c:numFmt formatCode="0%" sourceLinked="0"/>
              <c:spPr>
                <a:noFill/>
                <a:ln w="25400">
                  <a:noFill/>
                </a:ln>
              </c:spPr>
              <c:txPr>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756C-4D59-9EC3-B6465365FE80}"/>
                </c:ext>
              </c:extLst>
            </c:dLbl>
            <c:numFmt formatCode="0%" sourceLinked="0"/>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datos'!$E$84</c:f>
              <c:numCache>
                <c:formatCode>General</c:formatCode>
                <c:ptCount val="1"/>
                <c:pt idx="0">
                  <c:v>0</c:v>
                </c:pt>
              </c:numCache>
            </c:numRef>
          </c:val>
          <c:extLst>
            <c:ext xmlns:c16="http://schemas.microsoft.com/office/drawing/2014/chart" uri="{C3380CC4-5D6E-409C-BE32-E72D297353CC}">
              <c16:uniqueId val="{00000003-756C-4D59-9EC3-B6465365FE80}"/>
            </c:ext>
          </c:extLst>
        </c:ser>
        <c:dLbls>
          <c:showLegendKey val="0"/>
          <c:showVal val="0"/>
          <c:showCatName val="0"/>
          <c:showSerName val="0"/>
          <c:showPercent val="0"/>
          <c:showBubbleSize val="0"/>
        </c:dLbls>
        <c:gapWidth val="79"/>
        <c:overlap val="100"/>
        <c:axId val="501680744"/>
        <c:axId val="1"/>
      </c:barChart>
      <c:catAx>
        <c:axId val="501680744"/>
        <c:scaling>
          <c:orientation val="minMax"/>
        </c:scaling>
        <c:delete val="1"/>
        <c:axPos val="l"/>
        <c:majorTickMark val="out"/>
        <c:minorTickMark val="none"/>
        <c:tickLblPos val="nextTo"/>
        <c:crossAx val="1"/>
        <c:crossesAt val="0"/>
        <c:auto val="0"/>
        <c:lblAlgn val="ctr"/>
        <c:lblOffset val="100"/>
        <c:noMultiLvlLbl val="0"/>
      </c:catAx>
      <c:valAx>
        <c:axId val="1"/>
        <c:scaling>
          <c:orientation val="minMax"/>
        </c:scaling>
        <c:delete val="0"/>
        <c:axPos val="t"/>
        <c:majorGridlines>
          <c:spPr>
            <a:ln w="3175">
              <a:solidFill>
                <a:srgbClr val="808080"/>
              </a:solidFill>
              <a:prstDash val="solid"/>
            </a:ln>
          </c:spPr>
        </c:majorGridlines>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501680744"/>
        <c:crosses val="max"/>
        <c:crossBetween val="between"/>
      </c:valAx>
      <c:spPr>
        <a:solidFill>
          <a:srgbClr val="FFFFFF"/>
        </a:solidFill>
        <a:ln w="25400">
          <a:noFill/>
        </a:ln>
      </c:spPr>
    </c:plotArea>
    <c:legend>
      <c:legendPos val="r"/>
      <c:layout>
        <c:manualLayout>
          <c:xMode val="edge"/>
          <c:yMode val="edge"/>
          <c:x val="0.26788218793828894"/>
          <c:y val="0.44782608695652176"/>
          <c:w val="0.43057503506311362"/>
          <c:h val="0.17391304347826086"/>
        </c:manualLayout>
      </c:layout>
      <c:overlay val="0"/>
      <c:spPr>
        <a:noFill/>
        <a:ln w="25400">
          <a:noFill/>
        </a:ln>
      </c:spPr>
      <c:txPr>
        <a:bodyPr/>
        <a:lstStyle/>
        <a:p>
          <a:pPr>
            <a:defRPr sz="500" b="0" i="0" u="none" strike="noStrike" baseline="0">
              <a:solidFill>
                <a:srgbClr val="000000"/>
              </a:solidFill>
              <a:latin typeface="Calibri"/>
              <a:ea typeface="Calibri"/>
              <a:cs typeface="Calibri"/>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0" i="0" u="none" strike="noStrike" baseline="0">
                <a:solidFill>
                  <a:srgbClr val="000000"/>
                </a:solidFill>
                <a:latin typeface="Arial"/>
                <a:ea typeface="Arial"/>
                <a:cs typeface="Arial"/>
              </a:defRPr>
            </a:pPr>
            <a:r>
              <a:rPr lang="es-SV"/>
              <a:t>Chart Title</a:t>
            </a:r>
          </a:p>
        </c:rich>
      </c:tx>
      <c:layout>
        <c:manualLayout>
          <c:xMode val="edge"/>
          <c:yMode val="edge"/>
          <c:x val="0.38479854605680536"/>
          <c:y val="0.26943073346101204"/>
        </c:manualLayout>
      </c:layout>
      <c:overlay val="0"/>
      <c:spPr>
        <a:noFill/>
        <a:ln w="25400">
          <a:noFill/>
        </a:ln>
      </c:spPr>
    </c:title>
    <c:autoTitleDeleted val="0"/>
    <c:plotArea>
      <c:layout>
        <c:manualLayout>
          <c:layoutTarget val="inner"/>
          <c:xMode val="edge"/>
          <c:yMode val="edge"/>
          <c:x val="0.23752996670173171"/>
          <c:y val="0.66839547339366445"/>
          <c:w val="0.72446639844028171"/>
          <c:h val="0.1917103295780278"/>
        </c:manualLayout>
      </c:layout>
      <c:barChart>
        <c:barDir val="col"/>
        <c:grouping val="clustered"/>
        <c:varyColors val="0"/>
        <c:ser>
          <c:idx val="0"/>
          <c:order val="0"/>
          <c:spPr>
            <a:solidFill>
              <a:srgbClr val="FFFFFF"/>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0-5D7D-4AF7-89F0-529F3750A7F3}"/>
                </c:ext>
              </c:extLst>
            </c:dLbl>
            <c:numFmt formatCode="_(* #,##0.00_);_(* \(#,##0.00\);_(* \-??_);_(@_)"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'Introducción de datos'!$C$88:$F$89</c:f>
              <c:multiLvlStrCache>
                <c:ptCount val="2"/>
                <c:lvl>
                  <c:pt idx="0">
                    <c:v> Firmados </c:v>
                  </c:pt>
                  <c:pt idx="1">
                    <c:v>N/A</c:v>
                  </c:pt>
                </c:lvl>
                <c:lvl>
                  <c:pt idx="0">
                    <c:v> Aprobados </c:v>
                  </c:pt>
                  <c:pt idx="1">
                    <c:v>N/A</c:v>
                  </c:pt>
                </c:lvl>
                <c:lvl>
                  <c:pt idx="0">
                    <c:v> Evaluados </c:v>
                  </c:pt>
                  <c:pt idx="1">
                    <c:v>N/A</c:v>
                  </c:pt>
                </c:lvl>
                <c:lvl>
                  <c:pt idx="0">
                    <c:v> Identificados </c:v>
                  </c:pt>
                  <c:pt idx="1">
                    <c:v>N/A</c:v>
                  </c:pt>
                </c:lvl>
              </c:multiLvlStrCache>
            </c:multiLvlStrRef>
          </c:cat>
          <c:val>
            <c:numRef>
              <c:f>'Introducción de datos'!$G$88:$G$89</c:f>
              <c:numCache>
                <c:formatCode>General</c:formatCode>
                <c:ptCount val="2"/>
                <c:pt idx="0" formatCode="_(* #,##0.00_);_(* \(#,##0.00\);_(* \-??_);_(@_)">
                  <c:v>0</c:v>
                </c:pt>
                <c:pt idx="1">
                  <c:v>0</c:v>
                </c:pt>
              </c:numCache>
            </c:numRef>
          </c:val>
          <c:extLst>
            <c:ext xmlns:c16="http://schemas.microsoft.com/office/drawing/2014/chart" uri="{C3380CC4-5D6E-409C-BE32-E72D297353CC}">
              <c16:uniqueId val="{00000001-5D7D-4AF7-89F0-529F3750A7F3}"/>
            </c:ext>
          </c:extLst>
        </c:ser>
        <c:dLbls>
          <c:showLegendKey val="0"/>
          <c:showVal val="0"/>
          <c:showCatName val="0"/>
          <c:showSerName val="0"/>
          <c:showPercent val="0"/>
          <c:showBubbleSize val="0"/>
        </c:dLbls>
        <c:gapWidth val="150"/>
        <c:overlap val="-20"/>
        <c:axId val="501677792"/>
        <c:axId val="1"/>
      </c:barChart>
      <c:catAx>
        <c:axId val="501677792"/>
        <c:scaling>
          <c:orientation val="minMax"/>
        </c:scaling>
        <c:delete val="0"/>
        <c:axPos val="b"/>
        <c:numFmt formatCode="General" sourceLinked="1"/>
        <c:majorTickMark val="none"/>
        <c:minorTickMark val="none"/>
        <c:tickLblPos val="none"/>
        <c:spPr>
          <a:ln w="3175">
            <a:solidFill>
              <a:srgbClr val="000000"/>
            </a:solidFill>
            <a:prstDash val="solid"/>
          </a:ln>
        </c:spPr>
        <c:crossAx val="1"/>
        <c:crossesAt val="0"/>
        <c:auto val="0"/>
        <c:lblAlgn val="ctr"/>
        <c:lblOffset val="100"/>
        <c:tickMarkSkip val="1"/>
        <c:noMultiLvlLbl val="0"/>
      </c:catAx>
      <c:valAx>
        <c:axId val="1"/>
        <c:scaling>
          <c:orientation val="minMax"/>
        </c:scaling>
        <c:delete val="0"/>
        <c:axPos val="l"/>
        <c:numFmt formatCode="_(* #,##0.00_);_(* \(#,##0.00\);_(* \-??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501677792"/>
        <c:crossesAt val="1"/>
        <c:crossBetween val="between"/>
      </c:valAx>
      <c:spPr>
        <a:noFill/>
        <a:ln w="25400">
          <a:noFill/>
        </a:ln>
      </c:spPr>
    </c:plotArea>
    <c:legend>
      <c:legendPos val="r"/>
      <c:layout>
        <c:manualLayout>
          <c:xMode val="edge"/>
          <c:yMode val="edge"/>
          <c:x val="1.1876498335086586E-2"/>
          <c:y val="0.69948363494685817"/>
          <c:w val="0.90498917313359784"/>
          <c:h val="8.8083124400715473E-2"/>
        </c:manualLayout>
      </c:layout>
      <c:overlay val="0"/>
      <c:spPr>
        <a:noFill/>
        <a:ln w="25400">
          <a:noFill/>
        </a:ln>
      </c:spPr>
      <c:txPr>
        <a:bodyPr/>
        <a:lstStyle/>
        <a:p>
          <a:pPr>
            <a:defRPr sz="335"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099227122638415"/>
          <c:y val="0.33333559391000644"/>
          <c:w val="0.37603343721090238"/>
          <c:h val="0.37500254314875725"/>
        </c:manualLayout>
      </c:layout>
      <c:barChart>
        <c:barDir val="bar"/>
        <c:grouping val="percentStacked"/>
        <c:varyColors val="0"/>
        <c:ser>
          <c:idx val="0"/>
          <c:order val="0"/>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datos'!$B$77:$B$78</c:f>
              <c:strCache>
                <c:ptCount val="2"/>
                <c:pt idx="0">
                  <c:v> Condiciones precedentes </c:v>
                </c:pt>
                <c:pt idx="1">
                  <c:v> Acciones con fecha límite </c:v>
                </c:pt>
              </c:strCache>
            </c:strRef>
          </c:cat>
          <c:val>
            <c:numRef>
              <c:f>'Introducción de datos'!$D$77:$D$78</c:f>
              <c:numCache>
                <c:formatCode>0</c:formatCode>
                <c:ptCount val="2"/>
                <c:pt idx="0">
                  <c:v>3</c:v>
                </c:pt>
                <c:pt idx="1">
                  <c:v>13</c:v>
                </c:pt>
              </c:numCache>
            </c:numRef>
          </c:val>
          <c:extLst>
            <c:ext xmlns:c16="http://schemas.microsoft.com/office/drawing/2014/chart" uri="{C3380CC4-5D6E-409C-BE32-E72D297353CC}">
              <c16:uniqueId val="{00000000-1071-4801-9C87-DD36AB6B99F4}"/>
            </c:ext>
          </c:extLst>
        </c:ser>
        <c:ser>
          <c:idx val="1"/>
          <c:order val="1"/>
          <c:spPr>
            <a:solidFill>
              <a:srgbClr val="FFFF99"/>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datos'!$B$77:$B$78</c:f>
              <c:strCache>
                <c:ptCount val="2"/>
                <c:pt idx="0">
                  <c:v> Condiciones precedentes </c:v>
                </c:pt>
                <c:pt idx="1">
                  <c:v> Acciones con fecha límite </c:v>
                </c:pt>
              </c:strCache>
            </c:strRef>
          </c:cat>
          <c:val>
            <c:numRef>
              <c:f>'Introducción de datos'!$E$77:$E$78</c:f>
              <c:numCache>
                <c:formatCode>0</c:formatCode>
                <c:ptCount val="2"/>
                <c:pt idx="0">
                  <c:v>0</c:v>
                </c:pt>
                <c:pt idx="1">
                  <c:v>0</c:v>
                </c:pt>
              </c:numCache>
            </c:numRef>
          </c:val>
          <c:extLst>
            <c:ext xmlns:c16="http://schemas.microsoft.com/office/drawing/2014/chart" uri="{C3380CC4-5D6E-409C-BE32-E72D297353CC}">
              <c16:uniqueId val="{00000001-1071-4801-9C87-DD36AB6B99F4}"/>
            </c:ext>
          </c:extLst>
        </c:ser>
        <c:ser>
          <c:idx val="2"/>
          <c:order val="2"/>
          <c:spPr>
            <a:solidFill>
              <a:srgbClr val="FF505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datos'!$B$77:$B$78</c:f>
              <c:strCache>
                <c:ptCount val="2"/>
                <c:pt idx="0">
                  <c:v> Condiciones precedentes </c:v>
                </c:pt>
                <c:pt idx="1">
                  <c:v> Acciones con fecha límite </c:v>
                </c:pt>
              </c:strCache>
            </c:strRef>
          </c:cat>
          <c:val>
            <c:numRef>
              <c:f>'Introducción de datos'!$F$77:$F$78</c:f>
              <c:numCache>
                <c:formatCode>0</c:formatCode>
                <c:ptCount val="2"/>
                <c:pt idx="0">
                  <c:v>0</c:v>
                </c:pt>
                <c:pt idx="1">
                  <c:v>0</c:v>
                </c:pt>
              </c:numCache>
            </c:numRef>
          </c:val>
          <c:extLst>
            <c:ext xmlns:c16="http://schemas.microsoft.com/office/drawing/2014/chart" uri="{C3380CC4-5D6E-409C-BE32-E72D297353CC}">
              <c16:uniqueId val="{00000002-1071-4801-9C87-DD36AB6B99F4}"/>
            </c:ext>
          </c:extLst>
        </c:ser>
        <c:dLbls>
          <c:showLegendKey val="0"/>
          <c:showVal val="0"/>
          <c:showCatName val="0"/>
          <c:showSerName val="0"/>
          <c:showPercent val="0"/>
          <c:showBubbleSize val="0"/>
        </c:dLbls>
        <c:gapWidth val="70"/>
        <c:overlap val="100"/>
        <c:axId val="501668608"/>
        <c:axId val="1"/>
      </c:barChart>
      <c:catAx>
        <c:axId val="501668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501668608"/>
        <c:crossesAt val="1"/>
        <c:crossBetween val="between"/>
      </c:valAx>
      <c:spPr>
        <a:noFill/>
        <a:ln w="25400">
          <a:noFill/>
        </a:ln>
      </c:spPr>
    </c:plotArea>
    <c:legend>
      <c:legendPos val="r"/>
      <c:layout>
        <c:manualLayout>
          <c:xMode val="edge"/>
          <c:yMode val="edge"/>
          <c:x val="1.0330588934365451E-2"/>
          <c:y val="0.45833644162625886"/>
          <c:w val="0.99173653769908321"/>
          <c:h val="0.16666779695500322"/>
        </c:manualLayout>
      </c:layout>
      <c:overlay val="0"/>
      <c:spPr>
        <a:noFill/>
        <a:ln w="25400">
          <a:noFill/>
        </a:ln>
      </c:spPr>
      <c:txPr>
        <a:bodyPr/>
        <a:lstStyle/>
        <a:p>
          <a:pPr>
            <a:defRPr sz="335"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13457123642399"/>
          <c:y val="0.29577600396128578"/>
          <c:w val="0.5684343742982082"/>
          <c:h val="0.45070629175053067"/>
        </c:manualLayout>
      </c:layout>
      <c:barChart>
        <c:barDir val="bar"/>
        <c:grouping val="percentStacked"/>
        <c:varyColors val="0"/>
        <c:ser>
          <c:idx val="0"/>
          <c:order val="0"/>
          <c:tx>
            <c:strRef>
              <c:f>'Introducción de datos'!$D$93</c:f>
              <c:strCache>
                <c:ptCount val="1"/>
                <c:pt idx="0">
                  <c:v> Recibidos </c:v>
                </c:pt>
              </c:strCache>
            </c:strRef>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datos'!$B$94:$B$95</c:f>
              <c:strCache>
                <c:ptCount val="2"/>
                <c:pt idx="0">
                  <c:v> Sub SR al SR </c:v>
                </c:pt>
                <c:pt idx="1">
                  <c:v> Personal Técnico al RP </c:v>
                </c:pt>
              </c:strCache>
            </c:strRef>
          </c:cat>
          <c:val>
            <c:numRef>
              <c:f>'Introducción de datos'!$D$94:$D$95</c:f>
              <c:numCache>
                <c:formatCode>0</c:formatCode>
                <c:ptCount val="2"/>
                <c:pt idx="0">
                  <c:v>0</c:v>
                </c:pt>
                <c:pt idx="1">
                  <c:v>0</c:v>
                </c:pt>
              </c:numCache>
            </c:numRef>
          </c:val>
          <c:extLst>
            <c:ext xmlns:c16="http://schemas.microsoft.com/office/drawing/2014/chart" uri="{C3380CC4-5D6E-409C-BE32-E72D297353CC}">
              <c16:uniqueId val="{00000000-AC8F-4981-B546-DB162DE43029}"/>
            </c:ext>
          </c:extLst>
        </c:ser>
        <c:ser>
          <c:idx val="1"/>
          <c:order val="1"/>
          <c:tx>
            <c:strRef>
              <c:f>'Introducción de datos'!$E$93</c:f>
              <c:strCache>
                <c:ptCount val="1"/>
                <c:pt idx="0">
                  <c:v> Pendientes </c:v>
                </c:pt>
              </c:strCache>
            </c:strRef>
          </c:tx>
          <c:spPr>
            <a:solidFill>
              <a:srgbClr val="FF5050"/>
            </a:solidFill>
            <a:ln w="25400">
              <a:noFill/>
            </a:ln>
          </c:spPr>
          <c:invertIfNegative val="0"/>
          <c:dLbls>
            <c:dLbl>
              <c:idx val="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1-AC8F-4981-B546-DB162DE43029}"/>
                </c:ext>
              </c:extLst>
            </c:dLbl>
            <c:dLbl>
              <c:idx val="1"/>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AC8F-4981-B546-DB162DE43029}"/>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datos'!$B$94:$B$95</c:f>
              <c:strCache>
                <c:ptCount val="2"/>
                <c:pt idx="0">
                  <c:v> Sub SR al SR </c:v>
                </c:pt>
                <c:pt idx="1">
                  <c:v> Personal Técnico al RP </c:v>
                </c:pt>
              </c:strCache>
            </c:strRef>
          </c:cat>
          <c:val>
            <c:numRef>
              <c:f>'Introducción de datos'!$E$94:$E$95</c:f>
              <c:numCache>
                <c:formatCode>0</c:formatCode>
                <c:ptCount val="2"/>
                <c:pt idx="0">
                  <c:v>0</c:v>
                </c:pt>
                <c:pt idx="1">
                  <c:v>0</c:v>
                </c:pt>
              </c:numCache>
            </c:numRef>
          </c:val>
          <c:extLst>
            <c:ext xmlns:c16="http://schemas.microsoft.com/office/drawing/2014/chart" uri="{C3380CC4-5D6E-409C-BE32-E72D297353CC}">
              <c16:uniqueId val="{00000003-AC8F-4981-B546-DB162DE43029}"/>
            </c:ext>
          </c:extLst>
        </c:ser>
        <c:dLbls>
          <c:showLegendKey val="0"/>
          <c:showVal val="0"/>
          <c:showCatName val="0"/>
          <c:showSerName val="0"/>
          <c:showPercent val="0"/>
          <c:showBubbleSize val="0"/>
        </c:dLbls>
        <c:gapWidth val="79"/>
        <c:overlap val="100"/>
        <c:axId val="501667296"/>
        <c:axId val="1"/>
      </c:barChart>
      <c:catAx>
        <c:axId val="501667296"/>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
        <c:crossesAt val="0"/>
        <c:auto val="1"/>
        <c:lblAlgn val="ctr"/>
        <c:lblOffset val="100"/>
        <c:tickLblSkip val="1"/>
        <c:tickMarkSkip val="1"/>
        <c:noMultiLvlLbl val="0"/>
      </c:catAx>
      <c:valAx>
        <c:axId val="1"/>
        <c:scaling>
          <c:orientation val="minMax"/>
        </c:scaling>
        <c:delete val="0"/>
        <c:axPos val="t"/>
        <c:majorGridlines>
          <c:spPr>
            <a:ln w="3175">
              <a:solidFill>
                <a:srgbClr val="808080"/>
              </a:solidFill>
              <a:prstDash val="solid"/>
            </a:ln>
          </c:spPr>
        </c:majorGridlines>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501667296"/>
        <c:crosses val="max"/>
        <c:crossBetween val="between"/>
      </c:valAx>
      <c:spPr>
        <a:solidFill>
          <a:srgbClr val="FFFFFF"/>
        </a:solidFill>
        <a:ln w="25400">
          <a:noFill/>
        </a:ln>
      </c:spPr>
    </c:plotArea>
    <c:legend>
      <c:legendPos val="r"/>
      <c:layout>
        <c:manualLayout>
          <c:xMode val="edge"/>
          <c:yMode val="edge"/>
          <c:x val="0.36991390952161052"/>
          <c:y val="0.48357029219067355"/>
          <c:w val="0.30949463763308083"/>
          <c:h val="0.12206628734910206"/>
        </c:manualLayout>
      </c:layout>
      <c:overlay val="0"/>
      <c:spPr>
        <a:noFill/>
        <a:ln w="25400">
          <a:noFill/>
        </a:ln>
      </c:spPr>
      <c:txPr>
        <a:bodyPr/>
        <a:lstStyle/>
        <a:p>
          <a:pPr>
            <a:defRPr sz="500" b="0" i="0" u="none" strike="noStrike" baseline="0">
              <a:solidFill>
                <a:srgbClr val="000000"/>
              </a:solidFill>
              <a:latin typeface="Calibri"/>
              <a:ea typeface="Calibri"/>
              <a:cs typeface="Calibri"/>
            </a:defRPr>
          </a:pPr>
          <a:endParaRPr lang="es-SV"/>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55129698590658"/>
          <c:y val="0.26198123936270618"/>
          <c:w val="0.66734760378229008"/>
          <c:h val="0.49520844025877386"/>
        </c:manualLayout>
      </c:layout>
      <c:lineChart>
        <c:grouping val="standard"/>
        <c:varyColors val="0"/>
        <c:ser>
          <c:idx val="0"/>
          <c:order val="0"/>
          <c:spPr>
            <a:ln w="25400">
              <a:solidFill>
                <a:srgbClr val="000080"/>
              </a:solidFill>
              <a:prstDash val="solid"/>
            </a:ln>
          </c:spPr>
          <c:marker>
            <c:symbol val="diamond"/>
            <c:size val="6"/>
            <c:spPr>
              <a:solidFill>
                <a:srgbClr val="000080"/>
              </a:solidFill>
              <a:ln>
                <a:solidFill>
                  <a:srgbClr val="000080"/>
                </a:solidFill>
                <a:prstDash val="solid"/>
              </a:ln>
            </c:spPr>
          </c:marker>
          <c:val>
            <c:numRef>
              <c:f>'Introducción de datos'!$C$103:$N$103</c:f>
              <c:numCache>
                <c:formatCode>\$#,##0.000</c:formatCode>
                <c:ptCount val="12"/>
                <c:pt idx="0">
                  <c:v>1300554</c:v>
                </c:pt>
                <c:pt idx="1">
                  <c:v>1300554</c:v>
                </c:pt>
                <c:pt idx="2">
                  <c:v>1300554</c:v>
                </c:pt>
                <c:pt idx="3">
                  <c:v>1300554</c:v>
                </c:pt>
                <c:pt idx="4">
                  <c:v>1300554</c:v>
                </c:pt>
                <c:pt idx="5">
                  <c:v>1300554</c:v>
                </c:pt>
              </c:numCache>
            </c:numRef>
          </c:val>
          <c:smooth val="0"/>
          <c:extLst>
            <c:ext xmlns:c16="http://schemas.microsoft.com/office/drawing/2014/chart" uri="{C3380CC4-5D6E-409C-BE32-E72D297353CC}">
              <c16:uniqueId val="{00000000-61A1-4BC3-B7A2-F13D603075D8}"/>
            </c:ext>
          </c:extLst>
        </c:ser>
        <c:ser>
          <c:idx val="1"/>
          <c:order val="1"/>
          <c:spPr>
            <a:ln w="12700">
              <a:solidFill>
                <a:srgbClr val="3366FF"/>
              </a:solidFill>
              <a:prstDash val="solid"/>
            </a:ln>
          </c:spPr>
          <c:marker>
            <c:symbol val="square"/>
            <c:size val="5"/>
            <c:spPr>
              <a:solidFill>
                <a:srgbClr val="3366FF"/>
              </a:solidFill>
              <a:ln>
                <a:solidFill>
                  <a:srgbClr val="3366FF"/>
                </a:solidFill>
                <a:prstDash val="solid"/>
              </a:ln>
            </c:spPr>
          </c:marker>
          <c:val>
            <c:numRef>
              <c:f>'Introducción de datos'!$C$104:$N$104</c:f>
              <c:numCache>
                <c:formatCode>\$#,##0.000</c:formatCode>
                <c:ptCount val="12"/>
                <c:pt idx="0">
                  <c:v>693492.45</c:v>
                </c:pt>
                <c:pt idx="1">
                  <c:v>70597.47</c:v>
                </c:pt>
                <c:pt idx="2">
                  <c:v>0</c:v>
                </c:pt>
                <c:pt idx="3">
                  <c:v>0</c:v>
                </c:pt>
                <c:pt idx="4">
                  <c:v>0</c:v>
                </c:pt>
                <c:pt idx="5">
                  <c:v>0</c:v>
                </c:pt>
              </c:numCache>
            </c:numRef>
          </c:val>
          <c:smooth val="0"/>
          <c:extLst>
            <c:ext xmlns:c16="http://schemas.microsoft.com/office/drawing/2014/chart" uri="{C3380CC4-5D6E-409C-BE32-E72D297353CC}">
              <c16:uniqueId val="{00000001-61A1-4BC3-B7A2-F13D603075D8}"/>
            </c:ext>
          </c:extLst>
        </c:ser>
        <c:ser>
          <c:idx val="2"/>
          <c:order val="2"/>
          <c:spPr>
            <a:ln w="25400">
              <a:solidFill>
                <a:srgbClr val="FFCC99"/>
              </a:solidFill>
              <a:prstDash val="solid"/>
            </a:ln>
          </c:spPr>
          <c:marker>
            <c:symbol val="triangle"/>
            <c:size val="5"/>
            <c:spPr>
              <a:solidFill>
                <a:srgbClr val="FFCC99"/>
              </a:solidFill>
              <a:ln>
                <a:solidFill>
                  <a:srgbClr val="FFCC99"/>
                </a:solidFill>
                <a:prstDash val="solid"/>
              </a:ln>
            </c:spPr>
          </c:marker>
          <c:val>
            <c:numRef>
              <c:f>'Introducción de datos'!$C$105:$N$105</c:f>
              <c:numCache>
                <c:formatCode>\$#,##0.000</c:formatCode>
                <c:ptCount val="12"/>
                <c:pt idx="0">
                  <c:v>0</c:v>
                </c:pt>
                <c:pt idx="1">
                  <c:v>944260</c:v>
                </c:pt>
                <c:pt idx="2">
                  <c:v>944260</c:v>
                </c:pt>
                <c:pt idx="3">
                  <c:v>944260</c:v>
                </c:pt>
                <c:pt idx="4">
                  <c:v>944260</c:v>
                </c:pt>
                <c:pt idx="5">
                  <c:v>944260</c:v>
                </c:pt>
              </c:numCache>
            </c:numRef>
          </c:val>
          <c:smooth val="0"/>
          <c:extLst>
            <c:ext xmlns:c16="http://schemas.microsoft.com/office/drawing/2014/chart" uri="{C3380CC4-5D6E-409C-BE32-E72D297353CC}">
              <c16:uniqueId val="{00000002-61A1-4BC3-B7A2-F13D603075D8}"/>
            </c:ext>
          </c:extLst>
        </c:ser>
        <c:dLbls>
          <c:showLegendKey val="0"/>
          <c:showVal val="0"/>
          <c:showCatName val="0"/>
          <c:showSerName val="0"/>
          <c:showPercent val="0"/>
          <c:showBubbleSize val="0"/>
        </c:dLbls>
        <c:marker val="1"/>
        <c:smooth val="0"/>
        <c:axId val="501670904"/>
        <c:axId val="1"/>
      </c:lineChart>
      <c:catAx>
        <c:axId val="501670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SV"/>
          </a:p>
        </c:txPr>
        <c:crossAx val="501670904"/>
        <c:crossesAt val="1"/>
        <c:crossBetween val="midCat"/>
      </c:valAx>
      <c:spPr>
        <a:solidFill>
          <a:srgbClr val="FFFFFF"/>
        </a:solidFill>
        <a:ln w="12700">
          <a:solidFill>
            <a:srgbClr val="808080"/>
          </a:solidFill>
          <a:prstDash val="solid"/>
        </a:ln>
      </c:spPr>
    </c:plotArea>
    <c:legend>
      <c:legendPos val="r"/>
      <c:layout>
        <c:manualLayout>
          <c:xMode val="edge"/>
          <c:yMode val="edge"/>
          <c:x val="1.0204091800952449E-2"/>
          <c:y val="0.55271651719205084"/>
          <c:w val="0.88775598668286304"/>
          <c:h val="0.2044731624294292"/>
        </c:manualLayout>
      </c:layout>
      <c:overlay val="0"/>
      <c:spPr>
        <a:noFill/>
        <a:ln w="25400">
          <a:noFill/>
        </a:ln>
      </c:spPr>
      <c:txPr>
        <a:bodyPr/>
        <a:lstStyle/>
        <a:p>
          <a:pPr>
            <a:defRPr sz="345"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3741221957599"/>
          <c:y val="0.30570025527307138"/>
          <c:w val="0.67347034648088222"/>
          <c:h val="0.4766851438156367"/>
        </c:manualLayout>
      </c:layout>
      <c:barChart>
        <c:barDir val="col"/>
        <c:grouping val="clustered"/>
        <c:varyColors val="0"/>
        <c:ser>
          <c:idx val="0"/>
          <c:order val="0"/>
          <c:spPr>
            <a:solidFill>
              <a:srgbClr val="0066CC"/>
            </a:solidFill>
            <a:ln w="25400">
              <a:noFill/>
            </a:ln>
          </c:spPr>
          <c:invertIfNegative val="0"/>
          <c:cat>
            <c:strRef>
              <c:f>'Introducción de datos'!$H$119:$S$119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datos'!$H$123:$S$123</c:f>
              <c:numCache>
                <c:formatCode>General</c:formatCode>
                <c:ptCount val="12"/>
                <c:pt idx="0" formatCode="#">
                  <c:v>14618</c:v>
                </c:pt>
                <c:pt idx="1">
                  <c:v>14618</c:v>
                </c:pt>
              </c:numCache>
            </c:numRef>
          </c:val>
          <c:extLst>
            <c:ext xmlns:c16="http://schemas.microsoft.com/office/drawing/2014/chart" uri="{C3380CC4-5D6E-409C-BE32-E72D297353CC}">
              <c16:uniqueId val="{00000000-C830-4438-9E38-AAA5D7C377CB}"/>
            </c:ext>
          </c:extLst>
        </c:ser>
        <c:ser>
          <c:idx val="1"/>
          <c:order val="1"/>
          <c:spPr>
            <a:solidFill>
              <a:srgbClr val="00CCFF"/>
            </a:solidFill>
            <a:ln w="12700">
              <a:solidFill>
                <a:srgbClr val="000000"/>
              </a:solidFill>
              <a:prstDash val="solid"/>
            </a:ln>
          </c:spPr>
          <c:invertIfNegative val="0"/>
          <c:cat>
            <c:strRef>
              <c:f>'Introducción de datos'!$H$119:$S$119</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datos'!$H$123:$S$123</c:f>
              <c:numCache>
                <c:formatCode>General</c:formatCode>
                <c:ptCount val="12"/>
                <c:pt idx="0" formatCode="#">
                  <c:v>14618</c:v>
                </c:pt>
                <c:pt idx="1">
                  <c:v>14618</c:v>
                </c:pt>
              </c:numCache>
            </c:numRef>
          </c:val>
          <c:extLst>
            <c:ext xmlns:c16="http://schemas.microsoft.com/office/drawing/2014/chart" uri="{C3380CC4-5D6E-409C-BE32-E72D297353CC}">
              <c16:uniqueId val="{00000001-C830-4438-9E38-AAA5D7C377CB}"/>
            </c:ext>
          </c:extLst>
        </c:ser>
        <c:dLbls>
          <c:showLegendKey val="0"/>
          <c:showVal val="0"/>
          <c:showCatName val="0"/>
          <c:showSerName val="0"/>
          <c:showPercent val="0"/>
          <c:showBubbleSize val="0"/>
        </c:dLbls>
        <c:gapWidth val="150"/>
        <c:axId val="501674512"/>
        <c:axId val="1"/>
      </c:barChart>
      <c:catAx>
        <c:axId val="50167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01674512"/>
        <c:crossesAt val="1"/>
        <c:crossBetween val="between"/>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250;!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142875</xdr:rowOff>
    </xdr:from>
    <xdr:to>
      <xdr:col>11</xdr:col>
      <xdr:colOff>533400</xdr:colOff>
      <xdr:row>19</xdr:row>
      <xdr:rowOff>104775</xdr:rowOff>
    </xdr:to>
    <xdr:pic>
      <xdr:nvPicPr>
        <xdr:cNvPr id="1025" name="Picture 2">
          <a:extLst>
            <a:ext uri="{FF2B5EF4-FFF2-40B4-BE49-F238E27FC236}">
              <a16:creationId xmlns:a16="http://schemas.microsoft.com/office/drawing/2014/main" id="{672A373C-5009-482F-AF28-D54EBE4A2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351" t="36855" r="9529"/>
        <a:stretch>
          <a:fillRect/>
        </a:stretch>
      </xdr:blipFill>
      <xdr:spPr bwMode="auto">
        <a:xfrm>
          <a:off x="38100" y="1381125"/>
          <a:ext cx="6172200" cy="2819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31351" t="36855" r="9529"/>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552450</xdr:colOff>
      <xdr:row>7</xdr:row>
      <xdr:rowOff>47625</xdr:rowOff>
    </xdr:from>
    <xdr:to>
      <xdr:col>11</xdr:col>
      <xdr:colOff>447675</xdr:colOff>
      <xdr:row>18</xdr:row>
      <xdr:rowOff>142875</xdr:rowOff>
    </xdr:to>
    <xdr:pic>
      <xdr:nvPicPr>
        <xdr:cNvPr id="1026" name="Picture 824">
          <a:extLst>
            <a:ext uri="{FF2B5EF4-FFF2-40B4-BE49-F238E27FC236}">
              <a16:creationId xmlns:a16="http://schemas.microsoft.com/office/drawing/2014/main" id="{9D1EA309-DD90-41FD-8C23-794DD48533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1857375"/>
          <a:ext cx="1838325" cy="21907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209550</xdr:colOff>
      <xdr:row>7</xdr:row>
      <xdr:rowOff>104775</xdr:rowOff>
    </xdr:from>
    <xdr:to>
      <xdr:col>7</xdr:col>
      <xdr:colOff>447675</xdr:colOff>
      <xdr:row>18</xdr:row>
      <xdr:rowOff>57150</xdr:rowOff>
    </xdr:to>
    <xdr:sp macro="" textlink="">
      <xdr:nvSpPr>
        <xdr:cNvPr id="1027" name="AutoShape 27">
          <a:extLst>
            <a:ext uri="{FF2B5EF4-FFF2-40B4-BE49-F238E27FC236}">
              <a16:creationId xmlns:a16="http://schemas.microsoft.com/office/drawing/2014/main" id="{24317B90-E28F-4B6B-873D-E9B2FEBD12B7}"/>
            </a:ext>
          </a:extLst>
        </xdr:cNvPr>
        <xdr:cNvSpPr>
          <a:spLocks noChangeArrowheads="1"/>
        </xdr:cNvSpPr>
      </xdr:nvSpPr>
      <xdr:spPr bwMode="auto">
        <a:xfrm>
          <a:off x="2114550" y="1914525"/>
          <a:ext cx="2066925" cy="2047875"/>
        </a:xfrm>
        <a:prstGeom prst="roundRect">
          <a:avLst>
            <a:gd name="adj" fmla="val 11921"/>
          </a:avLst>
        </a:prstGeom>
        <a:gradFill rotWithShape="0">
          <a:gsLst>
            <a:gs pos="0">
              <a:srgbClr val="B24B48"/>
            </a:gs>
            <a:gs pos="100000">
              <a:srgbClr val="D48886"/>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10</xdr:row>
      <xdr:rowOff>47625</xdr:rowOff>
    </xdr:from>
    <xdr:to>
      <xdr:col>6</xdr:col>
      <xdr:colOff>476250</xdr:colOff>
      <xdr:row>12</xdr:row>
      <xdr:rowOff>19050</xdr:rowOff>
    </xdr:to>
    <xdr:sp macro="" textlink="">
      <xdr:nvSpPr>
        <xdr:cNvPr id="1028" name="AutoShape 26">
          <a:extLst>
            <a:ext uri="{FF2B5EF4-FFF2-40B4-BE49-F238E27FC236}">
              <a16:creationId xmlns:a16="http://schemas.microsoft.com/office/drawing/2014/main" id="{22B00AD0-5369-43E4-8EEF-9E51D187B19A}"/>
            </a:ext>
          </a:extLst>
        </xdr:cNvPr>
        <xdr:cNvSpPr>
          <a:spLocks noChangeArrowheads="1"/>
        </xdr:cNvSpPr>
      </xdr:nvSpPr>
      <xdr:spPr bwMode="auto">
        <a:xfrm>
          <a:off x="2743200" y="2428875"/>
          <a:ext cx="857250" cy="352425"/>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5</xdr:col>
      <xdr:colOff>247650</xdr:colOff>
      <xdr:row>10</xdr:row>
      <xdr:rowOff>85725</xdr:rowOff>
    </xdr:from>
    <xdr:to>
      <xdr:col>6</xdr:col>
      <xdr:colOff>457200</xdr:colOff>
      <xdr:row>11</xdr:row>
      <xdr:rowOff>190500</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8661A149-A88A-433D-9F32-C4121B46DAFB}"/>
            </a:ext>
          </a:extLst>
        </xdr:cNvPr>
        <xdr:cNvSpPr>
          <a:spLocks noChangeArrowheads="1"/>
        </xdr:cNvSpPr>
      </xdr:nvSpPr>
      <xdr:spPr bwMode="auto">
        <a:xfrm>
          <a:off x="2762250" y="2466975"/>
          <a:ext cx="819150"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FFFFFF"/>
              </a:solidFill>
              <a:latin typeface="Arial"/>
              <a:cs typeface="Arial"/>
            </a:rPr>
            <a:t>Financieros</a:t>
          </a:r>
        </a:p>
      </xdr:txBody>
    </xdr:sp>
    <xdr:clientData/>
  </xdr:twoCellAnchor>
  <xdr:twoCellAnchor>
    <xdr:from>
      <xdr:col>5</xdr:col>
      <xdr:colOff>247650</xdr:colOff>
      <xdr:row>10</xdr:row>
      <xdr:rowOff>95250</xdr:rowOff>
    </xdr:from>
    <xdr:to>
      <xdr:col>5</xdr:col>
      <xdr:colOff>333375</xdr:colOff>
      <xdr:row>11</xdr:row>
      <xdr:rowOff>57150</xdr:rowOff>
    </xdr:to>
    <xdr:sp macro="" textlink="">
      <xdr:nvSpPr>
        <xdr:cNvPr id="1030" name="Freeform 28">
          <a:extLst>
            <a:ext uri="{FF2B5EF4-FFF2-40B4-BE49-F238E27FC236}">
              <a16:creationId xmlns:a16="http://schemas.microsoft.com/office/drawing/2014/main" id="{BA21528D-FC1A-4776-986E-A84D810D6700}"/>
            </a:ext>
          </a:extLst>
        </xdr:cNvPr>
        <xdr:cNvSpPr>
          <a:spLocks noChangeArrowheads="1"/>
        </xdr:cNvSpPr>
      </xdr:nvSpPr>
      <xdr:spPr bwMode="auto">
        <a:xfrm>
          <a:off x="2762250" y="2476500"/>
          <a:ext cx="85725" cy="152400"/>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247650</xdr:colOff>
      <xdr:row>15</xdr:row>
      <xdr:rowOff>171450</xdr:rowOff>
    </xdr:from>
    <xdr:to>
      <xdr:col>6</xdr:col>
      <xdr:colOff>485775</xdr:colOff>
      <xdr:row>17</xdr:row>
      <xdr:rowOff>152400</xdr:rowOff>
    </xdr:to>
    <xdr:sp macro="" textlink="">
      <xdr:nvSpPr>
        <xdr:cNvPr id="1031" name="AutoShape 26">
          <a:extLst>
            <a:ext uri="{FF2B5EF4-FFF2-40B4-BE49-F238E27FC236}">
              <a16:creationId xmlns:a16="http://schemas.microsoft.com/office/drawing/2014/main" id="{DAD2E77A-E967-4AF8-85A2-9836D43D7617}"/>
            </a:ext>
          </a:extLst>
        </xdr:cNvPr>
        <xdr:cNvSpPr>
          <a:spLocks noChangeArrowheads="1"/>
        </xdr:cNvSpPr>
      </xdr:nvSpPr>
      <xdr:spPr bwMode="auto">
        <a:xfrm>
          <a:off x="2762250" y="3505200"/>
          <a:ext cx="847725" cy="361950"/>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5</xdr:col>
      <xdr:colOff>266700</xdr:colOff>
      <xdr:row>16</xdr:row>
      <xdr:rowOff>19050</xdr:rowOff>
    </xdr:from>
    <xdr:to>
      <xdr:col>6</xdr:col>
      <xdr:colOff>476250</xdr:colOff>
      <xdr:row>17</xdr:row>
      <xdr:rowOff>104775</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C8D09D2E-B4DF-4B91-BE27-8E25AAC8299D}"/>
            </a:ext>
          </a:extLst>
        </xdr:cNvPr>
        <xdr:cNvSpPr>
          <a:spLocks noChangeArrowheads="1"/>
        </xdr:cNvSpPr>
      </xdr:nvSpPr>
      <xdr:spPr bwMode="auto">
        <a:xfrm>
          <a:off x="2781300" y="3543300"/>
          <a:ext cx="819150" cy="27622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FFFFFF"/>
              </a:solidFill>
              <a:latin typeface="Arial"/>
              <a:cs typeface="Arial"/>
            </a:rPr>
            <a:t>Programáticos</a:t>
          </a:r>
        </a:p>
      </xdr:txBody>
    </xdr:sp>
    <xdr:clientData/>
  </xdr:twoCellAnchor>
  <xdr:twoCellAnchor>
    <xdr:from>
      <xdr:col>5</xdr:col>
      <xdr:colOff>285750</xdr:colOff>
      <xdr:row>16</xdr:row>
      <xdr:rowOff>28575</xdr:rowOff>
    </xdr:from>
    <xdr:to>
      <xdr:col>5</xdr:col>
      <xdr:colOff>381000</xdr:colOff>
      <xdr:row>16</xdr:row>
      <xdr:rowOff>180975</xdr:rowOff>
    </xdr:to>
    <xdr:sp macro="" textlink="">
      <xdr:nvSpPr>
        <xdr:cNvPr id="1033" name="Freeform 28">
          <a:extLst>
            <a:ext uri="{FF2B5EF4-FFF2-40B4-BE49-F238E27FC236}">
              <a16:creationId xmlns:a16="http://schemas.microsoft.com/office/drawing/2014/main" id="{5B7510E8-7994-4F51-B30D-A879150BA55F}"/>
            </a:ext>
          </a:extLst>
        </xdr:cNvPr>
        <xdr:cNvSpPr>
          <a:spLocks noChangeArrowheads="1"/>
        </xdr:cNvSpPr>
      </xdr:nvSpPr>
      <xdr:spPr bwMode="auto">
        <a:xfrm>
          <a:off x="2800350" y="3552825"/>
          <a:ext cx="95250" cy="152400"/>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13</xdr:row>
      <xdr:rowOff>9525</xdr:rowOff>
    </xdr:from>
    <xdr:to>
      <xdr:col>6</xdr:col>
      <xdr:colOff>476250</xdr:colOff>
      <xdr:row>14</xdr:row>
      <xdr:rowOff>180975</xdr:rowOff>
    </xdr:to>
    <xdr:sp macro="" textlink="">
      <xdr:nvSpPr>
        <xdr:cNvPr id="1034" name="AutoShape 26">
          <a:extLst>
            <a:ext uri="{FF2B5EF4-FFF2-40B4-BE49-F238E27FC236}">
              <a16:creationId xmlns:a16="http://schemas.microsoft.com/office/drawing/2014/main" id="{E3EBB599-6B6F-4774-90F7-E1AD7F652278}"/>
            </a:ext>
          </a:extLst>
        </xdr:cNvPr>
        <xdr:cNvSpPr>
          <a:spLocks noChangeArrowheads="1"/>
        </xdr:cNvSpPr>
      </xdr:nvSpPr>
      <xdr:spPr bwMode="auto">
        <a:xfrm>
          <a:off x="2743200" y="2962275"/>
          <a:ext cx="857250" cy="361950"/>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5</xdr:col>
      <xdr:colOff>247650</xdr:colOff>
      <xdr:row>13</xdr:row>
      <xdr:rowOff>47625</xdr:rowOff>
    </xdr:from>
    <xdr:to>
      <xdr:col>6</xdr:col>
      <xdr:colOff>457200</xdr:colOff>
      <xdr:row>14</xdr:row>
      <xdr:rowOff>152400</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78A0D831-976F-40F6-BF35-BD09BFD7A851}"/>
            </a:ext>
          </a:extLst>
        </xdr:cNvPr>
        <xdr:cNvSpPr>
          <a:spLocks noChangeArrowheads="1"/>
        </xdr:cNvSpPr>
      </xdr:nvSpPr>
      <xdr:spPr bwMode="auto">
        <a:xfrm>
          <a:off x="2762250" y="3000375"/>
          <a:ext cx="819150"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000" tIns="46800" rIns="18000" bIns="46800" anchor="ctr"/>
        <a:lstStyle/>
        <a:p>
          <a:pPr algn="ctr" rtl="0">
            <a:defRPr sz="1000"/>
          </a:pPr>
          <a:r>
            <a:rPr lang="es-SV" sz="1000" b="0" i="0" u="none" strike="noStrike" baseline="0">
              <a:solidFill>
                <a:srgbClr val="FFFFFF"/>
              </a:solidFill>
              <a:latin typeface="Arial"/>
              <a:cs typeface="Arial"/>
            </a:rPr>
            <a:t>Gestión</a:t>
          </a:r>
        </a:p>
      </xdr:txBody>
    </xdr:sp>
    <xdr:clientData/>
  </xdr:twoCellAnchor>
  <xdr:twoCellAnchor>
    <xdr:from>
      <xdr:col>5</xdr:col>
      <xdr:colOff>247650</xdr:colOff>
      <xdr:row>13</xdr:row>
      <xdr:rowOff>57150</xdr:rowOff>
    </xdr:from>
    <xdr:to>
      <xdr:col>5</xdr:col>
      <xdr:colOff>342900</xdr:colOff>
      <xdr:row>14</xdr:row>
      <xdr:rowOff>28575</xdr:rowOff>
    </xdr:to>
    <xdr:sp macro="" textlink="">
      <xdr:nvSpPr>
        <xdr:cNvPr id="1036" name="Freeform 28">
          <a:extLst>
            <a:ext uri="{FF2B5EF4-FFF2-40B4-BE49-F238E27FC236}">
              <a16:creationId xmlns:a16="http://schemas.microsoft.com/office/drawing/2014/main" id="{5E9E47C5-7E71-4DD5-88AD-51D7B98260BB}"/>
            </a:ext>
          </a:extLst>
        </xdr:cNvPr>
        <xdr:cNvSpPr>
          <a:spLocks noChangeArrowheads="1"/>
        </xdr:cNvSpPr>
      </xdr:nvSpPr>
      <xdr:spPr bwMode="auto">
        <a:xfrm>
          <a:off x="2762250" y="3009900"/>
          <a:ext cx="95250" cy="161925"/>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257175</xdr:colOff>
      <xdr:row>5</xdr:row>
      <xdr:rowOff>0</xdr:rowOff>
    </xdr:from>
    <xdr:to>
      <xdr:col>7</xdr:col>
      <xdr:colOff>323850</xdr:colOff>
      <xdr:row>6</xdr:row>
      <xdr:rowOff>38100</xdr:rowOff>
    </xdr:to>
    <xdr:sp macro="" textlink="" fLocksText="0">
      <xdr:nvSpPr>
        <xdr:cNvPr id="1037" name="Rectangle 803">
          <a:extLst>
            <a:ext uri="{FF2B5EF4-FFF2-40B4-BE49-F238E27FC236}">
              <a16:creationId xmlns:a16="http://schemas.microsoft.com/office/drawing/2014/main" id="{5C8FEEC3-C04D-47C5-82B5-AB749C7B9D99}"/>
            </a:ext>
          </a:extLst>
        </xdr:cNvPr>
        <xdr:cNvSpPr>
          <a:spLocks noChangeArrowheads="1"/>
        </xdr:cNvSpPr>
      </xdr:nvSpPr>
      <xdr:spPr bwMode="auto">
        <a:xfrm>
          <a:off x="2162175" y="1428750"/>
          <a:ext cx="18954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27360" bIns="0" anchor="t"/>
        <a:lstStyle/>
        <a:p>
          <a:pPr algn="ctr" rtl="0">
            <a:defRPr sz="1000"/>
          </a:pPr>
          <a:r>
            <a:rPr lang="es-SV" sz="1100" b="1" i="1" u="none" strike="noStrike" baseline="0">
              <a:solidFill>
                <a:srgbClr val="000000"/>
              </a:solidFill>
              <a:latin typeface="Calibri"/>
              <a:cs typeface="Calibri"/>
            </a:rPr>
            <a:t>Seleccione la opción que desea ver:</a:t>
          </a:r>
        </a:p>
      </xdr:txBody>
    </xdr:sp>
    <xdr:clientData/>
  </xdr:twoCellAnchor>
  <xdr:twoCellAnchor>
    <xdr:from>
      <xdr:col>8</xdr:col>
      <xdr:colOff>238125</xdr:colOff>
      <xdr:row>11</xdr:row>
      <xdr:rowOff>0</xdr:rowOff>
    </xdr:from>
    <xdr:to>
      <xdr:col>11</xdr:col>
      <xdr:colOff>133350</xdr:colOff>
      <xdr:row>13</xdr:row>
      <xdr:rowOff>28575</xdr:rowOff>
    </xdr:to>
    <xdr:sp macro="" textlink="">
      <xdr:nvSpPr>
        <xdr:cNvPr id="1038" name="AutoShape 30">
          <a:extLst>
            <a:ext uri="{FF2B5EF4-FFF2-40B4-BE49-F238E27FC236}">
              <a16:creationId xmlns:a16="http://schemas.microsoft.com/office/drawing/2014/main" id="{4241711B-1FD2-4293-9115-C894A7722529}"/>
            </a:ext>
          </a:extLst>
        </xdr:cNvPr>
        <xdr:cNvSpPr>
          <a:spLocks noChangeArrowheads="1"/>
        </xdr:cNvSpPr>
      </xdr:nvSpPr>
      <xdr:spPr bwMode="auto">
        <a:xfrm>
          <a:off x="4581525" y="2571750"/>
          <a:ext cx="1228725" cy="409575"/>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8</xdr:col>
      <xdr:colOff>266700</xdr:colOff>
      <xdr:row>11</xdr:row>
      <xdr:rowOff>47625</xdr:rowOff>
    </xdr:from>
    <xdr:to>
      <xdr:col>11</xdr:col>
      <xdr:colOff>104775</xdr:colOff>
      <xdr:row>12</xdr:row>
      <xdr:rowOff>190500</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E05FD423-AAEF-47C7-83EA-B872E037E195}"/>
            </a:ext>
          </a:extLst>
        </xdr:cNvPr>
        <xdr:cNvSpPr>
          <a:spLocks noChangeArrowheads="1"/>
        </xdr:cNvSpPr>
      </xdr:nvSpPr>
      <xdr:spPr bwMode="auto">
        <a:xfrm>
          <a:off x="4610100" y="2619375"/>
          <a:ext cx="1171575" cy="333375"/>
        </a:xfrm>
        <a:prstGeom prst="roundRect">
          <a:avLst>
            <a:gd name="adj" fmla="val 11921"/>
          </a:avLst>
        </a:prstGeom>
        <a:solidFill>
          <a:srgbClr val="99FF99"/>
        </a:soli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000000"/>
              </a:solidFill>
              <a:latin typeface="Arial"/>
              <a:cs typeface="Arial"/>
            </a:rPr>
            <a:t>Recomendaciones</a:t>
          </a:r>
        </a:p>
      </xdr:txBody>
    </xdr:sp>
    <xdr:clientData/>
  </xdr:twoCellAnchor>
  <xdr:twoCellAnchor>
    <xdr:from>
      <xdr:col>8</xdr:col>
      <xdr:colOff>285750</xdr:colOff>
      <xdr:row>11</xdr:row>
      <xdr:rowOff>66675</xdr:rowOff>
    </xdr:from>
    <xdr:to>
      <xdr:col>8</xdr:col>
      <xdr:colOff>400050</xdr:colOff>
      <xdr:row>12</xdr:row>
      <xdr:rowOff>47625</xdr:rowOff>
    </xdr:to>
    <xdr:sp macro="" textlink="">
      <xdr:nvSpPr>
        <xdr:cNvPr id="1040" name="Freeform 32">
          <a:extLst>
            <a:ext uri="{FF2B5EF4-FFF2-40B4-BE49-F238E27FC236}">
              <a16:creationId xmlns:a16="http://schemas.microsoft.com/office/drawing/2014/main" id="{2ED3CC55-947D-49E3-9872-A75889D65230}"/>
            </a:ext>
          </a:extLst>
        </xdr:cNvPr>
        <xdr:cNvSpPr>
          <a:spLocks noChangeArrowheads="1"/>
        </xdr:cNvSpPr>
      </xdr:nvSpPr>
      <xdr:spPr bwMode="auto">
        <a:xfrm>
          <a:off x="4629150" y="2638425"/>
          <a:ext cx="114300" cy="171450"/>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200025</xdr:colOff>
      <xdr:row>7</xdr:row>
      <xdr:rowOff>85725</xdr:rowOff>
    </xdr:from>
    <xdr:to>
      <xdr:col>4</xdr:col>
      <xdr:colOff>85725</xdr:colOff>
      <xdr:row>18</xdr:row>
      <xdr:rowOff>114300</xdr:rowOff>
    </xdr:to>
    <xdr:sp macro="" textlink="">
      <xdr:nvSpPr>
        <xdr:cNvPr id="1041" name="AutoShape 31">
          <a:extLst>
            <a:ext uri="{FF2B5EF4-FFF2-40B4-BE49-F238E27FC236}">
              <a16:creationId xmlns:a16="http://schemas.microsoft.com/office/drawing/2014/main" id="{8D923F90-156E-41A8-9BC4-FF8567643B64}"/>
            </a:ext>
          </a:extLst>
        </xdr:cNvPr>
        <xdr:cNvSpPr>
          <a:spLocks noChangeArrowheads="1"/>
        </xdr:cNvSpPr>
      </xdr:nvSpPr>
      <xdr:spPr bwMode="auto">
        <a:xfrm>
          <a:off x="276225" y="1895475"/>
          <a:ext cx="1714500" cy="2124075"/>
        </a:xfrm>
        <a:prstGeom prst="roundRect">
          <a:avLst>
            <a:gd name="adj" fmla="val 11921"/>
          </a:avLst>
        </a:prstGeom>
        <a:gradFill rotWithShape="0">
          <a:gsLst>
            <a:gs pos="0">
              <a:srgbClr val="4C7BB4"/>
            </a:gs>
            <a:gs pos="100000">
              <a:srgbClr val="87AFD3"/>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7</xdr:row>
      <xdr:rowOff>171450</xdr:rowOff>
    </xdr:from>
    <xdr:to>
      <xdr:col>2</xdr:col>
      <xdr:colOff>47625</xdr:colOff>
      <xdr:row>9</xdr:row>
      <xdr:rowOff>104775</xdr:rowOff>
    </xdr:to>
    <xdr:sp macro="" textlink="">
      <xdr:nvSpPr>
        <xdr:cNvPr id="1042" name="Freeform 32">
          <a:extLst>
            <a:ext uri="{FF2B5EF4-FFF2-40B4-BE49-F238E27FC236}">
              <a16:creationId xmlns:a16="http://schemas.microsoft.com/office/drawing/2014/main" id="{EB273C53-830D-4E1B-A2AC-789F97D67577}"/>
            </a:ext>
          </a:extLst>
        </xdr:cNvPr>
        <xdr:cNvSpPr>
          <a:spLocks noChangeArrowheads="1"/>
        </xdr:cNvSpPr>
      </xdr:nvSpPr>
      <xdr:spPr bwMode="auto">
        <a:xfrm>
          <a:off x="352425" y="1981200"/>
          <a:ext cx="381000" cy="314325"/>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228600</xdr:colOff>
      <xdr:row>14</xdr:row>
      <xdr:rowOff>57150</xdr:rowOff>
    </xdr:from>
    <xdr:to>
      <xdr:col>11</xdr:col>
      <xdr:colOff>123825</xdr:colOff>
      <xdr:row>16</xdr:row>
      <xdr:rowOff>66675</xdr:rowOff>
    </xdr:to>
    <xdr:sp macro="" textlink="">
      <xdr:nvSpPr>
        <xdr:cNvPr id="1043" name="AutoShape 30">
          <a:extLst>
            <a:ext uri="{FF2B5EF4-FFF2-40B4-BE49-F238E27FC236}">
              <a16:creationId xmlns:a16="http://schemas.microsoft.com/office/drawing/2014/main" id="{CF413285-AA0A-4BBB-997E-46B220F3D1CF}"/>
            </a:ext>
          </a:extLst>
        </xdr:cNvPr>
        <xdr:cNvSpPr>
          <a:spLocks noChangeArrowheads="1"/>
        </xdr:cNvSpPr>
      </xdr:nvSpPr>
      <xdr:spPr bwMode="auto">
        <a:xfrm>
          <a:off x="4572000" y="3200400"/>
          <a:ext cx="1228725" cy="390525"/>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8</xdr:col>
      <xdr:colOff>247650</xdr:colOff>
      <xdr:row>14</xdr:row>
      <xdr:rowOff>104775</xdr:rowOff>
    </xdr:from>
    <xdr:to>
      <xdr:col>11</xdr:col>
      <xdr:colOff>85725</xdr:colOff>
      <xdr:row>16</xdr:row>
      <xdr:rowOff>47625</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5FF8848B-370A-49BC-9F1F-FCE98745BA06}"/>
            </a:ext>
          </a:extLst>
        </xdr:cNvPr>
        <xdr:cNvSpPr>
          <a:spLocks noChangeArrowheads="1"/>
        </xdr:cNvSpPr>
      </xdr:nvSpPr>
      <xdr:spPr bwMode="auto">
        <a:xfrm>
          <a:off x="4591050" y="3248025"/>
          <a:ext cx="1171575" cy="323850"/>
        </a:xfrm>
        <a:prstGeom prst="roundRect">
          <a:avLst>
            <a:gd name="adj" fmla="val 11921"/>
          </a:avLst>
        </a:prstGeom>
        <a:solidFill>
          <a:srgbClr val="99FF99"/>
        </a:soli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000000"/>
              </a:solidFill>
              <a:latin typeface="Arial"/>
              <a:cs typeface="Arial"/>
            </a:rPr>
            <a:t>Acciones</a:t>
          </a:r>
        </a:p>
      </xdr:txBody>
    </xdr:sp>
    <xdr:clientData/>
  </xdr:twoCellAnchor>
  <xdr:twoCellAnchor>
    <xdr:from>
      <xdr:col>8</xdr:col>
      <xdr:colOff>266700</xdr:colOff>
      <xdr:row>14</xdr:row>
      <xdr:rowOff>123825</xdr:rowOff>
    </xdr:from>
    <xdr:to>
      <xdr:col>8</xdr:col>
      <xdr:colOff>381000</xdr:colOff>
      <xdr:row>15</xdr:row>
      <xdr:rowOff>95250</xdr:rowOff>
    </xdr:to>
    <xdr:sp macro="" textlink="">
      <xdr:nvSpPr>
        <xdr:cNvPr id="1045" name="Freeform 32">
          <a:extLst>
            <a:ext uri="{FF2B5EF4-FFF2-40B4-BE49-F238E27FC236}">
              <a16:creationId xmlns:a16="http://schemas.microsoft.com/office/drawing/2014/main" id="{469FDD77-CFE3-4136-AF5D-F4A65A8D19F6}"/>
            </a:ext>
          </a:extLst>
        </xdr:cNvPr>
        <xdr:cNvSpPr>
          <a:spLocks noChangeArrowheads="1"/>
        </xdr:cNvSpPr>
      </xdr:nvSpPr>
      <xdr:spPr bwMode="auto">
        <a:xfrm>
          <a:off x="4610100" y="3267075"/>
          <a:ext cx="114300" cy="161925"/>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0 0"/>
            <a:gd name="G13" fmla="*/ 1 13931 55552"/>
            <a:gd name="G14" fmla="*/ G13 1 180"/>
            <a:gd name="G15" fmla="*/ G12 1 G14"/>
            <a:gd name="G16" fmla="+- 1 0 0"/>
            <a:gd name="G17" fmla="+- 1 0 0"/>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15</xdr:row>
      <xdr:rowOff>133350</xdr:rowOff>
    </xdr:from>
    <xdr:to>
      <xdr:col>3</xdr:col>
      <xdr:colOff>400050</xdr:colOff>
      <xdr:row>18</xdr:row>
      <xdr:rowOff>19050</xdr:rowOff>
    </xdr:to>
    <xdr:sp macro="" textlink="">
      <xdr:nvSpPr>
        <xdr:cNvPr id="1046" name="AutoShape 30">
          <a:extLst>
            <a:ext uri="{FF2B5EF4-FFF2-40B4-BE49-F238E27FC236}">
              <a16:creationId xmlns:a16="http://schemas.microsoft.com/office/drawing/2014/main" id="{A022F9A9-5BE3-4E23-ABF1-4E789158ABDE}"/>
            </a:ext>
          </a:extLst>
        </xdr:cNvPr>
        <xdr:cNvSpPr>
          <a:spLocks noChangeArrowheads="1"/>
        </xdr:cNvSpPr>
      </xdr:nvSpPr>
      <xdr:spPr bwMode="auto">
        <a:xfrm>
          <a:off x="485775" y="3467100"/>
          <a:ext cx="1209675" cy="457200"/>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1</xdr:col>
      <xdr:colOff>438150</xdr:colOff>
      <xdr:row>15</xdr:row>
      <xdr:rowOff>171450</xdr:rowOff>
    </xdr:from>
    <xdr:to>
      <xdr:col>3</xdr:col>
      <xdr:colOff>361950</xdr:colOff>
      <xdr:row>17</xdr:row>
      <xdr:rowOff>180975</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314DBE70-9323-45F8-A320-2DCD12D9C686}"/>
            </a:ext>
          </a:extLst>
        </xdr:cNvPr>
        <xdr:cNvSpPr>
          <a:spLocks noChangeArrowheads="1"/>
        </xdr:cNvSpPr>
      </xdr:nvSpPr>
      <xdr:spPr bwMode="auto">
        <a:xfrm>
          <a:off x="514350" y="3505200"/>
          <a:ext cx="1143000" cy="390525"/>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FFFFFF"/>
              </a:solidFill>
              <a:latin typeface="Arial"/>
              <a:cs typeface="Arial"/>
            </a:rPr>
            <a:t>Información de la subvención</a:t>
          </a:r>
        </a:p>
      </xdr:txBody>
    </xdr:sp>
    <xdr:clientData/>
  </xdr:twoCellAnchor>
  <xdr:twoCellAnchor>
    <xdr:from>
      <xdr:col>1</xdr:col>
      <xdr:colOff>457200</xdr:colOff>
      <xdr:row>16</xdr:row>
      <xdr:rowOff>0</xdr:rowOff>
    </xdr:from>
    <xdr:to>
      <xdr:col>1</xdr:col>
      <xdr:colOff>571500</xdr:colOff>
      <xdr:row>16</xdr:row>
      <xdr:rowOff>114300</xdr:rowOff>
    </xdr:to>
    <xdr:sp macro="" textlink="">
      <xdr:nvSpPr>
        <xdr:cNvPr id="1048" name="Freeform 32">
          <a:extLst>
            <a:ext uri="{FF2B5EF4-FFF2-40B4-BE49-F238E27FC236}">
              <a16:creationId xmlns:a16="http://schemas.microsoft.com/office/drawing/2014/main" id="{85C66E31-7D41-4A16-9D95-21585F7AA0BD}"/>
            </a:ext>
          </a:extLst>
        </xdr:cNvPr>
        <xdr:cNvSpPr>
          <a:spLocks noChangeArrowheads="1"/>
        </xdr:cNvSpPr>
      </xdr:nvSpPr>
      <xdr:spPr bwMode="auto">
        <a:xfrm>
          <a:off x="533400" y="3524250"/>
          <a:ext cx="114300" cy="114300"/>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10</xdr:row>
      <xdr:rowOff>28575</xdr:rowOff>
    </xdr:from>
    <xdr:to>
      <xdr:col>3</xdr:col>
      <xdr:colOff>400050</xdr:colOff>
      <xdr:row>12</xdr:row>
      <xdr:rowOff>9525</xdr:rowOff>
    </xdr:to>
    <xdr:sp macro="" textlink="">
      <xdr:nvSpPr>
        <xdr:cNvPr id="1049" name="AutoShape 30">
          <a:extLst>
            <a:ext uri="{FF2B5EF4-FFF2-40B4-BE49-F238E27FC236}">
              <a16:creationId xmlns:a16="http://schemas.microsoft.com/office/drawing/2014/main" id="{0B176186-556B-4496-822B-AF71F529724B}"/>
            </a:ext>
          </a:extLst>
        </xdr:cNvPr>
        <xdr:cNvSpPr>
          <a:spLocks noChangeArrowheads="1"/>
        </xdr:cNvSpPr>
      </xdr:nvSpPr>
      <xdr:spPr bwMode="auto">
        <a:xfrm>
          <a:off x="485775" y="2409825"/>
          <a:ext cx="1209675" cy="361950"/>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1</xdr:col>
      <xdr:colOff>438150</xdr:colOff>
      <xdr:row>10</xdr:row>
      <xdr:rowOff>66675</xdr:rowOff>
    </xdr:from>
    <xdr:to>
      <xdr:col>3</xdr:col>
      <xdr:colOff>371475</xdr:colOff>
      <xdr:row>11</xdr:row>
      <xdr:rowOff>180975</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0937B9EE-B828-4F2A-ACD9-486147112C34}"/>
            </a:ext>
          </a:extLst>
        </xdr:cNvPr>
        <xdr:cNvSpPr>
          <a:spLocks noChangeArrowheads="1"/>
        </xdr:cNvSpPr>
      </xdr:nvSpPr>
      <xdr:spPr bwMode="auto">
        <a:xfrm>
          <a:off x="514350" y="2447925"/>
          <a:ext cx="1152525" cy="304800"/>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FFFFFF"/>
              </a:solidFill>
              <a:latin typeface="Arial"/>
              <a:cs typeface="Arial"/>
            </a:rPr>
            <a:t>Lista de indicadores</a:t>
          </a:r>
        </a:p>
      </xdr:txBody>
    </xdr:sp>
    <xdr:clientData/>
  </xdr:twoCellAnchor>
  <xdr:twoCellAnchor>
    <xdr:from>
      <xdr:col>1</xdr:col>
      <xdr:colOff>457200</xdr:colOff>
      <xdr:row>10</xdr:row>
      <xdr:rowOff>85725</xdr:rowOff>
    </xdr:from>
    <xdr:to>
      <xdr:col>1</xdr:col>
      <xdr:colOff>571500</xdr:colOff>
      <xdr:row>11</xdr:row>
      <xdr:rowOff>57150</xdr:rowOff>
    </xdr:to>
    <xdr:sp macro="" textlink="">
      <xdr:nvSpPr>
        <xdr:cNvPr id="1051" name="Freeform 32">
          <a:extLst>
            <a:ext uri="{FF2B5EF4-FFF2-40B4-BE49-F238E27FC236}">
              <a16:creationId xmlns:a16="http://schemas.microsoft.com/office/drawing/2014/main" id="{38560078-30D7-4CEA-AE65-B26079EEFD74}"/>
            </a:ext>
          </a:extLst>
        </xdr:cNvPr>
        <xdr:cNvSpPr>
          <a:spLocks noChangeArrowheads="1"/>
        </xdr:cNvSpPr>
      </xdr:nvSpPr>
      <xdr:spPr bwMode="auto">
        <a:xfrm>
          <a:off x="533400" y="2466975"/>
          <a:ext cx="114300" cy="161925"/>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12</xdr:row>
      <xdr:rowOff>180975</xdr:rowOff>
    </xdr:from>
    <xdr:to>
      <xdr:col>3</xdr:col>
      <xdr:colOff>400050</xdr:colOff>
      <xdr:row>14</xdr:row>
      <xdr:rowOff>171450</xdr:rowOff>
    </xdr:to>
    <xdr:sp macro="" textlink="">
      <xdr:nvSpPr>
        <xdr:cNvPr id="1052" name="AutoShape 30">
          <a:extLst>
            <a:ext uri="{FF2B5EF4-FFF2-40B4-BE49-F238E27FC236}">
              <a16:creationId xmlns:a16="http://schemas.microsoft.com/office/drawing/2014/main" id="{D2ABEE23-8474-4B87-9DF4-D0C73BBBBA34}"/>
            </a:ext>
          </a:extLst>
        </xdr:cNvPr>
        <xdr:cNvSpPr>
          <a:spLocks noChangeArrowheads="1"/>
        </xdr:cNvSpPr>
      </xdr:nvSpPr>
      <xdr:spPr bwMode="auto">
        <a:xfrm>
          <a:off x="485775" y="2943225"/>
          <a:ext cx="1209675" cy="371475"/>
        </a:xfrm>
        <a:prstGeom prst="roundRect">
          <a:avLst>
            <a:gd name="adj" fmla="val 10889"/>
          </a:avLst>
        </a:prstGeom>
        <a:gradFill rotWithShape="0">
          <a:gsLst>
            <a:gs pos="0">
              <a:srgbClr val="EEEEEE"/>
            </a:gs>
            <a:gs pos="100000">
              <a:srgbClr val="DDDDDD"/>
            </a:gs>
          </a:gsLst>
          <a:lin ang="13500000" scaled="1"/>
        </a:gradFill>
        <a:ln w="9360" cap="sq">
          <a:solidFill>
            <a:srgbClr val="FFFFFF"/>
          </a:solidFill>
          <a:miter lim="800000"/>
          <a:headEnd/>
          <a:tailEnd/>
        </a:ln>
        <a:effectLst>
          <a:outerShdw dist="134956" dir="2927119" algn="ctr" rotWithShape="0">
            <a:srgbClr val="000000">
              <a:alpha val="50027"/>
            </a:srgbClr>
          </a:outerShdw>
        </a:effectLst>
      </xdr:spPr>
    </xdr:sp>
    <xdr:clientData/>
  </xdr:twoCellAnchor>
  <xdr:twoCellAnchor>
    <xdr:from>
      <xdr:col>1</xdr:col>
      <xdr:colOff>438150</xdr:colOff>
      <xdr:row>13</xdr:row>
      <xdr:rowOff>28575</xdr:rowOff>
    </xdr:from>
    <xdr:to>
      <xdr:col>3</xdr:col>
      <xdr:colOff>371475</xdr:colOff>
      <xdr:row>14</xdr:row>
      <xdr:rowOff>142875</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76EC25FA-BDA9-4A27-BB5B-66902679C2C7}"/>
            </a:ext>
          </a:extLst>
        </xdr:cNvPr>
        <xdr:cNvSpPr>
          <a:spLocks noChangeArrowheads="1"/>
        </xdr:cNvSpPr>
      </xdr:nvSpPr>
      <xdr:spPr bwMode="auto">
        <a:xfrm>
          <a:off x="514350" y="2981325"/>
          <a:ext cx="1152525" cy="304800"/>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es-SV" sz="1000" b="0" i="0" u="none" strike="noStrike" baseline="0">
              <a:solidFill>
                <a:srgbClr val="FFFFFF"/>
              </a:solidFill>
              <a:latin typeface="Arial"/>
              <a:cs typeface="Arial"/>
            </a:rPr>
            <a:t>Introducción de datos</a:t>
          </a:r>
        </a:p>
      </xdr:txBody>
    </xdr:sp>
    <xdr:clientData/>
  </xdr:twoCellAnchor>
  <xdr:twoCellAnchor>
    <xdr:from>
      <xdr:col>1</xdr:col>
      <xdr:colOff>457200</xdr:colOff>
      <xdr:row>13</xdr:row>
      <xdr:rowOff>47625</xdr:rowOff>
    </xdr:from>
    <xdr:to>
      <xdr:col>1</xdr:col>
      <xdr:colOff>571500</xdr:colOff>
      <xdr:row>14</xdr:row>
      <xdr:rowOff>9525</xdr:rowOff>
    </xdr:to>
    <xdr:sp macro="" textlink="">
      <xdr:nvSpPr>
        <xdr:cNvPr id="1054" name="Freeform 32">
          <a:extLst>
            <a:ext uri="{FF2B5EF4-FFF2-40B4-BE49-F238E27FC236}">
              <a16:creationId xmlns:a16="http://schemas.microsoft.com/office/drawing/2014/main" id="{4B9A0AA7-C364-4D70-82E9-7602A2F1166E}"/>
            </a:ext>
          </a:extLst>
        </xdr:cNvPr>
        <xdr:cNvSpPr>
          <a:spLocks noChangeArrowheads="1"/>
        </xdr:cNvSpPr>
      </xdr:nvSpPr>
      <xdr:spPr bwMode="auto">
        <a:xfrm>
          <a:off x="533400" y="3000375"/>
          <a:ext cx="114300" cy="152400"/>
        </a:xfrm>
        <a:custGeom>
          <a:avLst/>
          <a:gdLst>
            <a:gd name="G0" fmla="+- 1 0 0"/>
            <a:gd name="G1" fmla="+- 65471 0 0"/>
            <a:gd name="G2" fmla="+- 18 0 0"/>
            <a:gd name="G3" fmla="*/ 1 37971 25600"/>
            <a:gd name="G4" fmla="+- 1 0 0"/>
            <a:gd name="G5" fmla="+- 1 0 0"/>
            <a:gd name="G6" fmla="*/ 1 60299 5120"/>
            <a:gd name="G7" fmla="*/ 1 13931 55552"/>
            <a:gd name="G8" fmla="*/ G7 1 180"/>
            <a:gd name="G9" fmla="*/ G6 1 G8"/>
            <a:gd name="G10" fmla="+- 1 0 0"/>
            <a:gd name="G11" fmla="*/ 1 12633 8192"/>
            <a:gd name="G12" fmla="*/ 1 5237 5120"/>
            <a:gd name="G13" fmla="*/ 1 13931 55552"/>
            <a:gd name="G14" fmla="*/ G13 1 180"/>
            <a:gd name="G15" fmla="*/ G12 1 G14"/>
            <a:gd name="G16" fmla="+- 1 0 0"/>
            <a:gd name="G17" fmla="+- 1 0 0"/>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w 596"/>
            <a:gd name="T13" fmla="*/ 0 h 598"/>
            <a:gd name="T14" fmla="*/ 596 w 596"/>
            <a:gd name="T15" fmla="*/ 598 h 598"/>
          </a:gdLst>
          <a:ahLst/>
          <a:cxnLst>
            <a:cxn ang="0">
              <a:pos x="T0" y="T1"/>
            </a:cxn>
            <a:cxn ang="0">
              <a:pos x="T2" y="T3"/>
            </a:cxn>
            <a:cxn ang="0">
              <a:pos x="T4" y="T5"/>
            </a:cxn>
            <a:cxn ang="0">
              <a:pos x="T6" y="T7"/>
            </a:cxn>
            <a:cxn ang="0">
              <a:pos x="T8" y="T9"/>
            </a:cxn>
            <a:cxn ang="0">
              <a:pos x="T10" y="T11"/>
            </a:cxn>
          </a:cxnLst>
          <a:rect l="T12" t="T13" r="T14" b="T15"/>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135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209550</xdr:colOff>
      <xdr:row>7</xdr:row>
      <xdr:rowOff>66675</xdr:rowOff>
    </xdr:from>
    <xdr:to>
      <xdr:col>4</xdr:col>
      <xdr:colOff>85725</xdr:colOff>
      <xdr:row>9</xdr:row>
      <xdr:rowOff>114300</xdr:rowOff>
    </xdr:to>
    <xdr:pic>
      <xdr:nvPicPr>
        <xdr:cNvPr id="1055" name="Picture 2012">
          <a:extLst>
            <a:ext uri="{FF2B5EF4-FFF2-40B4-BE49-F238E27FC236}">
              <a16:creationId xmlns:a16="http://schemas.microsoft.com/office/drawing/2014/main" id="{CFEF532D-FA11-4737-8E2D-6611F34AA15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85750" y="1876425"/>
          <a:ext cx="1704975" cy="4286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257175</xdr:colOff>
      <xdr:row>7</xdr:row>
      <xdr:rowOff>104775</xdr:rowOff>
    </xdr:from>
    <xdr:to>
      <xdr:col>4</xdr:col>
      <xdr:colOff>47625</xdr:colOff>
      <xdr:row>9</xdr:row>
      <xdr:rowOff>180975</xdr:rowOff>
    </xdr:to>
    <xdr:sp macro="" textlink="" fLocksText="0">
      <xdr:nvSpPr>
        <xdr:cNvPr id="1056" name="Text Box 2013">
          <a:extLst>
            <a:ext uri="{FF2B5EF4-FFF2-40B4-BE49-F238E27FC236}">
              <a16:creationId xmlns:a16="http://schemas.microsoft.com/office/drawing/2014/main" id="{0793F3C9-3ACA-4E32-853E-38F26C91F334}"/>
            </a:ext>
          </a:extLst>
        </xdr:cNvPr>
        <xdr:cNvSpPr txBox="1">
          <a:spLocks noChangeArrowheads="1"/>
        </xdr:cNvSpPr>
      </xdr:nvSpPr>
      <xdr:spPr bwMode="auto">
        <a:xfrm>
          <a:off x="333375" y="1914525"/>
          <a:ext cx="1619250"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es-SV" sz="1100" b="0" i="0" u="none" strike="noStrike" baseline="0">
              <a:solidFill>
                <a:srgbClr val="000000"/>
              </a:solidFill>
              <a:latin typeface="Arial"/>
              <a:cs typeface="Arial"/>
            </a:rPr>
            <a:t>Información de la subvención</a:t>
          </a:r>
        </a:p>
        <a:p>
          <a:pPr algn="ctr" rtl="0">
            <a:defRPr sz="1000"/>
          </a:pPr>
          <a:endParaRPr lang="es-SV" sz="1100" b="0" i="0" u="none" strike="noStrike" baseline="0">
            <a:solidFill>
              <a:srgbClr val="000000"/>
            </a:solidFill>
            <a:latin typeface="Arial"/>
            <a:cs typeface="Arial"/>
          </a:endParaRPr>
        </a:p>
      </xdr:txBody>
    </xdr:sp>
    <xdr:clientData/>
  </xdr:twoCellAnchor>
  <xdr:twoCellAnchor>
    <xdr:from>
      <xdr:col>4</xdr:col>
      <xdr:colOff>200025</xdr:colOff>
      <xdr:row>7</xdr:row>
      <xdr:rowOff>66675</xdr:rowOff>
    </xdr:from>
    <xdr:to>
      <xdr:col>7</xdr:col>
      <xdr:colOff>447675</xdr:colOff>
      <xdr:row>9</xdr:row>
      <xdr:rowOff>114300</xdr:rowOff>
    </xdr:to>
    <xdr:pic>
      <xdr:nvPicPr>
        <xdr:cNvPr id="1057" name="Picture 2016">
          <a:extLst>
            <a:ext uri="{FF2B5EF4-FFF2-40B4-BE49-F238E27FC236}">
              <a16:creationId xmlns:a16="http://schemas.microsoft.com/office/drawing/2014/main" id="{7A2DC896-9CAC-4206-B57C-F13F9B0C6A9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1876425"/>
          <a:ext cx="2076450" cy="4286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476250</xdr:colOff>
      <xdr:row>7</xdr:row>
      <xdr:rowOff>95250</xdr:rowOff>
    </xdr:from>
    <xdr:to>
      <xdr:col>7</xdr:col>
      <xdr:colOff>238125</xdr:colOff>
      <xdr:row>9</xdr:row>
      <xdr:rowOff>104775</xdr:rowOff>
    </xdr:to>
    <xdr:sp macro="" textlink="" fLocksText="0">
      <xdr:nvSpPr>
        <xdr:cNvPr id="1058" name="Text Box 2017">
          <a:extLst>
            <a:ext uri="{FF2B5EF4-FFF2-40B4-BE49-F238E27FC236}">
              <a16:creationId xmlns:a16="http://schemas.microsoft.com/office/drawing/2014/main" id="{DA8D6D77-4DAC-4BC3-87B1-C12748525F6E}"/>
            </a:ext>
          </a:extLst>
        </xdr:cNvPr>
        <xdr:cNvSpPr txBox="1">
          <a:spLocks noChangeArrowheads="1"/>
        </xdr:cNvSpPr>
      </xdr:nvSpPr>
      <xdr:spPr bwMode="auto">
        <a:xfrm>
          <a:off x="2381250" y="1905000"/>
          <a:ext cx="1590675" cy="390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ctr" rtl="0">
            <a:defRPr sz="1000"/>
          </a:pPr>
          <a:r>
            <a:rPr lang="es-SV" sz="1200" b="0" i="0" u="none" strike="noStrike" baseline="0">
              <a:solidFill>
                <a:srgbClr val="000000"/>
              </a:solidFill>
              <a:latin typeface="Arial"/>
              <a:cs typeface="Arial"/>
            </a:rPr>
            <a:t>Indicadores</a:t>
          </a:r>
        </a:p>
        <a:p>
          <a:pPr algn="ctr" rtl="0">
            <a:defRPr sz="1000"/>
          </a:pPr>
          <a:endParaRPr lang="es-SV" sz="1200" b="0" i="0" u="none" strike="noStrike" baseline="0">
            <a:solidFill>
              <a:srgbClr val="000000"/>
            </a:solidFill>
            <a:latin typeface="Arial"/>
            <a:cs typeface="Arial"/>
          </a:endParaRPr>
        </a:p>
      </xdr:txBody>
    </xdr:sp>
    <xdr:clientData/>
  </xdr:twoCellAnchor>
  <xdr:twoCellAnchor>
    <xdr:from>
      <xdr:col>7</xdr:col>
      <xdr:colOff>590550</xdr:colOff>
      <xdr:row>7</xdr:row>
      <xdr:rowOff>76200</xdr:rowOff>
    </xdr:from>
    <xdr:to>
      <xdr:col>11</xdr:col>
      <xdr:colOff>409575</xdr:colOff>
      <xdr:row>9</xdr:row>
      <xdr:rowOff>133350</xdr:rowOff>
    </xdr:to>
    <xdr:pic>
      <xdr:nvPicPr>
        <xdr:cNvPr id="1059" name="Picture 2018">
          <a:extLst>
            <a:ext uri="{FF2B5EF4-FFF2-40B4-BE49-F238E27FC236}">
              <a16:creationId xmlns:a16="http://schemas.microsoft.com/office/drawing/2014/main" id="{A765B0CB-C715-40BB-A13B-B3A7CF7FB9D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24350" y="1885950"/>
          <a:ext cx="1762125" cy="438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47625</xdr:colOff>
      <xdr:row>7</xdr:row>
      <xdr:rowOff>95250</xdr:rowOff>
    </xdr:from>
    <xdr:to>
      <xdr:col>11</xdr:col>
      <xdr:colOff>342900</xdr:colOff>
      <xdr:row>9</xdr:row>
      <xdr:rowOff>104775</xdr:rowOff>
    </xdr:to>
    <xdr:sp macro="" textlink="" fLocksText="0">
      <xdr:nvSpPr>
        <xdr:cNvPr id="1060" name="Text Box 2019">
          <a:extLst>
            <a:ext uri="{FF2B5EF4-FFF2-40B4-BE49-F238E27FC236}">
              <a16:creationId xmlns:a16="http://schemas.microsoft.com/office/drawing/2014/main" id="{689D9F0E-EDEF-468E-A260-666C27F3CA6B}"/>
            </a:ext>
          </a:extLst>
        </xdr:cNvPr>
        <xdr:cNvSpPr txBox="1">
          <a:spLocks noChangeArrowheads="1"/>
        </xdr:cNvSpPr>
      </xdr:nvSpPr>
      <xdr:spPr bwMode="auto">
        <a:xfrm>
          <a:off x="4391025" y="1905000"/>
          <a:ext cx="1628775" cy="390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ctr" rtl="0">
            <a:defRPr sz="1000"/>
          </a:pPr>
          <a:r>
            <a:rPr lang="es-SV" sz="1200" b="0" i="0" u="none" strike="noStrike" baseline="0">
              <a:solidFill>
                <a:srgbClr val="000000"/>
              </a:solidFill>
              <a:latin typeface="Arial"/>
              <a:cs typeface="Arial"/>
            </a:rPr>
            <a:t>Informes</a:t>
          </a:r>
        </a:p>
        <a:p>
          <a:pPr algn="ctr" rtl="0">
            <a:defRPr sz="1000"/>
          </a:pPr>
          <a:endParaRPr lang="es-SV" sz="12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1</xdr:row>
      <xdr:rowOff>66675</xdr:rowOff>
    </xdr:from>
    <xdr:to>
      <xdr:col>1</xdr:col>
      <xdr:colOff>123825</xdr:colOff>
      <xdr:row>4</xdr:row>
      <xdr:rowOff>66675</xdr:rowOff>
    </xdr:to>
    <xdr:pic>
      <xdr:nvPicPr>
        <xdr:cNvPr id="10241" name="Picture 2">
          <a:extLst>
            <a:ext uri="{FF2B5EF4-FFF2-40B4-BE49-F238E27FC236}">
              <a16:creationId xmlns:a16="http://schemas.microsoft.com/office/drawing/2014/main" id="{9BF4DA7E-0CB1-4E01-B7CA-42F8726B6B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57175"/>
          <a:ext cx="619125" cy="971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1133475</xdr:colOff>
      <xdr:row>1</xdr:row>
      <xdr:rowOff>9525</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F891D5D0-F235-48A2-9952-EC873F97D75E}"/>
            </a:ext>
          </a:extLst>
        </xdr:cNvPr>
        <xdr:cNvSpPr>
          <a:spLocks noChangeArrowheads="1"/>
        </xdr:cNvSpPr>
      </xdr:nvSpPr>
      <xdr:spPr bwMode="auto">
        <a:xfrm>
          <a:off x="28575" y="28575"/>
          <a:ext cx="1285875" cy="419100"/>
        </a:xfrm>
        <a:prstGeom prst="leftArrow">
          <a:avLst>
            <a:gd name="adj1" fmla="val 50000"/>
            <a:gd name="adj2" fmla="val 76705"/>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1000125</xdr:colOff>
      <xdr:row>0</xdr:row>
      <xdr:rowOff>333375</xdr:rowOff>
    </xdr:to>
    <xdr:sp macro="" textlink="" fLocksText="0">
      <xdr:nvSpPr>
        <xdr:cNvPr id="3075" name="AutoShape 50">
          <a:hlinkClick xmlns:r="http://schemas.openxmlformats.org/officeDocument/2006/relationships" r:id="rId1"/>
          <a:extLst>
            <a:ext uri="{FF2B5EF4-FFF2-40B4-BE49-F238E27FC236}">
              <a16:creationId xmlns:a16="http://schemas.microsoft.com/office/drawing/2014/main" id="{B0F34DC3-3D87-4670-B91C-768D37A58248}"/>
            </a:ext>
          </a:extLst>
        </xdr:cNvPr>
        <xdr:cNvSpPr>
          <a:spLocks noChangeArrowheads="1"/>
        </xdr:cNvSpPr>
      </xdr:nvSpPr>
      <xdr:spPr bwMode="auto">
        <a:xfrm>
          <a:off x="180975" y="0"/>
          <a:ext cx="1000125" cy="333375"/>
        </a:xfrm>
        <a:prstGeom prst="leftArrow">
          <a:avLst>
            <a:gd name="adj1" fmla="val 50000"/>
            <a:gd name="adj2" fmla="val 84542"/>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fLocksText="0">
      <xdr:nvSpPr>
        <xdr:cNvPr id="4097" name="Rectangle 117">
          <a:hlinkClick xmlns:r="http://schemas.openxmlformats.org/officeDocument/2006/relationships" r:id="rId1"/>
          <a:extLst>
            <a:ext uri="{FF2B5EF4-FFF2-40B4-BE49-F238E27FC236}">
              <a16:creationId xmlns:a16="http://schemas.microsoft.com/office/drawing/2014/main" id="{04F3E488-3EDF-45B0-92CF-BEDAA9040F16}"/>
            </a:ext>
          </a:extLst>
        </xdr:cNvPr>
        <xdr:cNvSpPr>
          <a:spLocks noChangeArrowheads="1"/>
        </xdr:cNvSpPr>
      </xdr:nvSpPr>
      <xdr:spPr bwMode="auto">
        <a:xfrm>
          <a:off x="200025" y="590550"/>
          <a:ext cx="981075" cy="447675"/>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es-SV" sz="900" b="0" i="0" u="none" strike="noStrike" baseline="0">
              <a:solidFill>
                <a:srgbClr val="000000"/>
              </a:solidFill>
              <a:latin typeface="Calibri"/>
              <a:cs typeface="Calibri"/>
            </a:rPr>
            <a:t>http://www.crwflags.com/fotw/flags/country.html</a:t>
          </a:r>
        </a:p>
      </xdr:txBody>
    </xdr:sp>
    <xdr:clientData/>
  </xdr:twoCellAnchor>
  <xdr:twoCellAnchor>
    <xdr:from>
      <xdr:col>0</xdr:col>
      <xdr:colOff>85725</xdr:colOff>
      <xdr:row>0</xdr:row>
      <xdr:rowOff>38100</xdr:rowOff>
    </xdr:from>
    <xdr:to>
      <xdr:col>0</xdr:col>
      <xdr:colOff>1009650</xdr:colOff>
      <xdr:row>1</xdr:row>
      <xdr:rowOff>104775</xdr:rowOff>
    </xdr:to>
    <xdr:sp macro="" textlink="" fLocksText="0">
      <xdr:nvSpPr>
        <xdr:cNvPr id="4098" name="AutoShape 50">
          <a:hlinkClick xmlns:r="http://schemas.openxmlformats.org/officeDocument/2006/relationships" r:id="rId2"/>
          <a:extLst>
            <a:ext uri="{FF2B5EF4-FFF2-40B4-BE49-F238E27FC236}">
              <a16:creationId xmlns:a16="http://schemas.microsoft.com/office/drawing/2014/main" id="{71974D74-1CD7-4002-9D92-3D6CA3260EE3}"/>
            </a:ext>
          </a:extLst>
        </xdr:cNvPr>
        <xdr:cNvSpPr>
          <a:spLocks noChangeArrowheads="1"/>
        </xdr:cNvSpPr>
      </xdr:nvSpPr>
      <xdr:spPr bwMode="auto">
        <a:xfrm>
          <a:off x="85725" y="3810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twoCellAnchor>
    <xdr:from>
      <xdr:col>0</xdr:col>
      <xdr:colOff>219075</xdr:colOff>
      <xdr:row>1</xdr:row>
      <xdr:rowOff>276225</xdr:rowOff>
    </xdr:from>
    <xdr:to>
      <xdr:col>0</xdr:col>
      <xdr:colOff>1238250</xdr:colOff>
      <xdr:row>3</xdr:row>
      <xdr:rowOff>38100</xdr:rowOff>
    </xdr:to>
    <xdr:pic>
      <xdr:nvPicPr>
        <xdr:cNvPr id="4099" name="Picture 711">
          <a:extLst>
            <a:ext uri="{FF2B5EF4-FFF2-40B4-BE49-F238E27FC236}">
              <a16:creationId xmlns:a16="http://schemas.microsoft.com/office/drawing/2014/main" id="{A2C75169-C55B-47AC-A70B-5A93C0D18DF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5" y="542925"/>
          <a:ext cx="1019175" cy="542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230189</xdr:colOff>
      <xdr:row>9</xdr:row>
      <xdr:rowOff>182562</xdr:rowOff>
    </xdr:from>
    <xdr:to>
      <xdr:col>6</xdr:col>
      <xdr:colOff>184151</xdr:colOff>
      <xdr:row>20</xdr:row>
      <xdr:rowOff>268287</xdr:rowOff>
    </xdr:to>
    <xdr:graphicFrame macro="">
      <xdr:nvGraphicFramePr>
        <xdr:cNvPr id="5121" name="Gráfico 1">
          <a:extLst>
            <a:ext uri="{FF2B5EF4-FFF2-40B4-BE49-F238E27FC236}">
              <a16:creationId xmlns:a16="http://schemas.microsoft.com/office/drawing/2014/main" id="{DF5C8ABA-7A95-4EF4-B361-E85294ECF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68263</xdr:colOff>
      <xdr:row>8</xdr:row>
      <xdr:rowOff>574675</xdr:rowOff>
    </xdr:from>
    <xdr:to>
      <xdr:col>12</xdr:col>
      <xdr:colOff>106363</xdr:colOff>
      <xdr:row>20</xdr:row>
      <xdr:rowOff>128587</xdr:rowOff>
    </xdr:to>
    <xdr:graphicFrame macro="">
      <xdr:nvGraphicFramePr>
        <xdr:cNvPr id="5122" name="Gráfico 2">
          <a:extLst>
            <a:ext uri="{FF2B5EF4-FFF2-40B4-BE49-F238E27FC236}">
              <a16:creationId xmlns:a16="http://schemas.microsoft.com/office/drawing/2014/main" id="{4BB96A60-2439-46DC-BB65-56844829F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23</xdr:row>
      <xdr:rowOff>47625</xdr:rowOff>
    </xdr:from>
    <xdr:to>
      <xdr:col>6</xdr:col>
      <xdr:colOff>206375</xdr:colOff>
      <xdr:row>37</xdr:row>
      <xdr:rowOff>71437</xdr:rowOff>
    </xdr:to>
    <xdr:graphicFrame macro="">
      <xdr:nvGraphicFramePr>
        <xdr:cNvPr id="5123" name="Gráfico 3">
          <a:extLst>
            <a:ext uri="{FF2B5EF4-FFF2-40B4-BE49-F238E27FC236}">
              <a16:creationId xmlns:a16="http://schemas.microsoft.com/office/drawing/2014/main" id="{BE1859C3-9C7B-4984-9118-2697602CC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xdr:col>
      <xdr:colOff>685800</xdr:colOff>
      <xdr:row>0</xdr:row>
      <xdr:rowOff>333375</xdr:rowOff>
    </xdr:to>
    <xdr:sp macro="" textlink="" fLocksText="0">
      <xdr:nvSpPr>
        <xdr:cNvPr id="5124" name="AutoShape 50">
          <a:hlinkClick xmlns:r="http://schemas.openxmlformats.org/officeDocument/2006/relationships" r:id="rId4"/>
          <a:extLst>
            <a:ext uri="{FF2B5EF4-FFF2-40B4-BE49-F238E27FC236}">
              <a16:creationId xmlns:a16="http://schemas.microsoft.com/office/drawing/2014/main" id="{695C6C44-93B3-4E2D-9920-A4B073A25CB5}"/>
            </a:ext>
          </a:extLst>
        </xdr:cNvPr>
        <xdr:cNvSpPr>
          <a:spLocks noChangeArrowheads="1"/>
        </xdr:cNvSpPr>
      </xdr:nvSpPr>
      <xdr:spPr bwMode="auto">
        <a:xfrm>
          <a:off x="0" y="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1209675</xdr:colOff>
      <xdr:row>8</xdr:row>
      <xdr:rowOff>123825</xdr:rowOff>
    </xdr:from>
    <xdr:to>
      <xdr:col>12</xdr:col>
      <xdr:colOff>0</xdr:colOff>
      <xdr:row>16</xdr:row>
      <xdr:rowOff>76200</xdr:rowOff>
    </xdr:to>
    <xdr:graphicFrame macro="">
      <xdr:nvGraphicFramePr>
        <xdr:cNvPr id="6145" name="Gráfico 1">
          <a:extLst>
            <a:ext uri="{FF2B5EF4-FFF2-40B4-BE49-F238E27FC236}">
              <a16:creationId xmlns:a16="http://schemas.microsoft.com/office/drawing/2014/main" id="{65175A44-1AEB-4C10-BF71-D74C91262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18</xdr:row>
      <xdr:rowOff>76200</xdr:rowOff>
    </xdr:from>
    <xdr:to>
      <xdr:col>5</xdr:col>
      <xdr:colOff>733425</xdr:colOff>
      <xdr:row>26</xdr:row>
      <xdr:rowOff>285750</xdr:rowOff>
    </xdr:to>
    <xdr:graphicFrame macro="">
      <xdr:nvGraphicFramePr>
        <xdr:cNvPr id="6146" name="Gráfico 2">
          <a:extLst>
            <a:ext uri="{FF2B5EF4-FFF2-40B4-BE49-F238E27FC236}">
              <a16:creationId xmlns:a16="http://schemas.microsoft.com/office/drawing/2014/main" id="{9F507436-9867-4061-913C-32461520D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8</xdr:row>
      <xdr:rowOff>114300</xdr:rowOff>
    </xdr:from>
    <xdr:to>
      <xdr:col>6</xdr:col>
      <xdr:colOff>142875</xdr:colOff>
      <xdr:row>14</xdr:row>
      <xdr:rowOff>342900</xdr:rowOff>
    </xdr:to>
    <xdr:graphicFrame macro="">
      <xdr:nvGraphicFramePr>
        <xdr:cNvPr id="6147" name="Gráfico 3">
          <a:extLst>
            <a:ext uri="{FF2B5EF4-FFF2-40B4-BE49-F238E27FC236}">
              <a16:creationId xmlns:a16="http://schemas.microsoft.com/office/drawing/2014/main" id="{03FBB566-F4E0-4ACA-9A15-C545269FC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314325</xdr:colOff>
      <xdr:row>20</xdr:row>
      <xdr:rowOff>28575</xdr:rowOff>
    </xdr:from>
    <xdr:to>
      <xdr:col>12</xdr:col>
      <xdr:colOff>38100</xdr:colOff>
      <xdr:row>27</xdr:row>
      <xdr:rowOff>85725</xdr:rowOff>
    </xdr:to>
    <xdr:graphicFrame macro="">
      <xdr:nvGraphicFramePr>
        <xdr:cNvPr id="6148" name="Gráfico 4">
          <a:extLst>
            <a:ext uri="{FF2B5EF4-FFF2-40B4-BE49-F238E27FC236}">
              <a16:creationId xmlns:a16="http://schemas.microsoft.com/office/drawing/2014/main" id="{6DC957E2-C7D6-4B77-A768-A3B571E1E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28</xdr:row>
      <xdr:rowOff>76200</xdr:rowOff>
    </xdr:from>
    <xdr:to>
      <xdr:col>6</xdr:col>
      <xdr:colOff>304800</xdr:colOff>
      <xdr:row>36</xdr:row>
      <xdr:rowOff>142875</xdr:rowOff>
    </xdr:to>
    <xdr:graphicFrame macro="">
      <xdr:nvGraphicFramePr>
        <xdr:cNvPr id="6149" name="Gráfico 5">
          <a:extLst>
            <a:ext uri="{FF2B5EF4-FFF2-40B4-BE49-F238E27FC236}">
              <a16:creationId xmlns:a16="http://schemas.microsoft.com/office/drawing/2014/main" id="{F9BB63DD-32E6-4A1F-A174-D2B866CA0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9525</xdr:rowOff>
    </xdr:from>
    <xdr:to>
      <xdr:col>1</xdr:col>
      <xdr:colOff>704850</xdr:colOff>
      <xdr:row>0</xdr:row>
      <xdr:rowOff>342900</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254F79F7-5AA1-4685-BC88-333911845F57}"/>
            </a:ext>
          </a:extLst>
        </xdr:cNvPr>
        <xdr:cNvSpPr>
          <a:spLocks noChangeArrowheads="1"/>
        </xdr:cNvSpPr>
      </xdr:nvSpPr>
      <xdr:spPr bwMode="auto">
        <a:xfrm>
          <a:off x="0" y="9525"/>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66675</xdr:colOff>
      <xdr:row>17</xdr:row>
      <xdr:rowOff>0</xdr:rowOff>
    </xdr:to>
    <xdr:graphicFrame macro="">
      <xdr:nvGraphicFramePr>
        <xdr:cNvPr id="7169" name="Gráfico 1">
          <a:extLst>
            <a:ext uri="{FF2B5EF4-FFF2-40B4-BE49-F238E27FC236}">
              <a16:creationId xmlns:a16="http://schemas.microsoft.com/office/drawing/2014/main" id="{FCB8874B-A9C2-45A4-95F4-D7F7C25E2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9</xdr:row>
      <xdr:rowOff>57150</xdr:rowOff>
    </xdr:from>
    <xdr:to>
      <xdr:col>16</xdr:col>
      <xdr:colOff>762000</xdr:colOff>
      <xdr:row>16</xdr:row>
      <xdr:rowOff>219075</xdr:rowOff>
    </xdr:to>
    <xdr:graphicFrame macro="">
      <xdr:nvGraphicFramePr>
        <xdr:cNvPr id="7170" name="Gráfico 2">
          <a:extLst>
            <a:ext uri="{FF2B5EF4-FFF2-40B4-BE49-F238E27FC236}">
              <a16:creationId xmlns:a16="http://schemas.microsoft.com/office/drawing/2014/main" id="{5F2B93D5-C513-4A42-B271-EE73D05AD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19050</xdr:rowOff>
    </xdr:from>
    <xdr:to>
      <xdr:col>1</xdr:col>
      <xdr:colOff>933450</xdr:colOff>
      <xdr:row>1</xdr:row>
      <xdr:rowOff>19050</xdr:rowOff>
    </xdr:to>
    <xdr:sp macro="" textlink="" fLocksText="0">
      <xdr:nvSpPr>
        <xdr:cNvPr id="7171" name="AutoShape 50">
          <a:hlinkClick xmlns:r="http://schemas.openxmlformats.org/officeDocument/2006/relationships" r:id="rId3"/>
          <a:extLst>
            <a:ext uri="{FF2B5EF4-FFF2-40B4-BE49-F238E27FC236}">
              <a16:creationId xmlns:a16="http://schemas.microsoft.com/office/drawing/2014/main" id="{0DC73104-8DC3-4A86-B77E-4E67AF068531}"/>
            </a:ext>
          </a:extLst>
        </xdr:cNvPr>
        <xdr:cNvSpPr>
          <a:spLocks noChangeArrowheads="1"/>
        </xdr:cNvSpPr>
      </xdr:nvSpPr>
      <xdr:spPr bwMode="auto">
        <a:xfrm>
          <a:off x="0" y="19050"/>
          <a:ext cx="933450" cy="333375"/>
        </a:xfrm>
        <a:prstGeom prst="leftArrow">
          <a:avLst>
            <a:gd name="adj1" fmla="val 50000"/>
            <a:gd name="adj2" fmla="val 78906"/>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twoCellAnchor>
    <xdr:from>
      <xdr:col>1</xdr:col>
      <xdr:colOff>190500</xdr:colOff>
      <xdr:row>9</xdr:row>
      <xdr:rowOff>38100</xdr:rowOff>
    </xdr:from>
    <xdr:to>
      <xdr:col>4</xdr:col>
      <xdr:colOff>400050</xdr:colOff>
      <xdr:row>16</xdr:row>
      <xdr:rowOff>219075</xdr:rowOff>
    </xdr:to>
    <xdr:graphicFrame macro="">
      <xdr:nvGraphicFramePr>
        <xdr:cNvPr id="7172" name="Gráfico 4">
          <a:extLst>
            <a:ext uri="{FF2B5EF4-FFF2-40B4-BE49-F238E27FC236}">
              <a16:creationId xmlns:a16="http://schemas.microsoft.com/office/drawing/2014/main" id="{AD55FFFF-1A18-447C-9861-F3E5B45B2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914400</xdr:colOff>
      <xdr:row>0</xdr:row>
      <xdr:rowOff>381000</xdr:rowOff>
    </xdr:to>
    <xdr:sp macro="" textlink="" fLocksText="0">
      <xdr:nvSpPr>
        <xdr:cNvPr id="8193" name="AutoShape 50">
          <a:hlinkClick xmlns:r="http://schemas.openxmlformats.org/officeDocument/2006/relationships" r:id="rId1"/>
          <a:extLst>
            <a:ext uri="{FF2B5EF4-FFF2-40B4-BE49-F238E27FC236}">
              <a16:creationId xmlns:a16="http://schemas.microsoft.com/office/drawing/2014/main" id="{5C1D0094-6122-446E-9E1A-B928E99A1AAF}"/>
            </a:ext>
          </a:extLst>
        </xdr:cNvPr>
        <xdr:cNvSpPr>
          <a:spLocks noChangeArrowheads="1"/>
        </xdr:cNvSpPr>
      </xdr:nvSpPr>
      <xdr:spPr bwMode="auto">
        <a:xfrm>
          <a:off x="47625" y="47625"/>
          <a:ext cx="942975" cy="333375"/>
        </a:xfrm>
        <a:prstGeom prst="leftArrow">
          <a:avLst>
            <a:gd name="adj1" fmla="val 50000"/>
            <a:gd name="adj2" fmla="val 79711"/>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733425</xdr:colOff>
      <xdr:row>0</xdr:row>
      <xdr:rowOff>352425</xdr:rowOff>
    </xdr:to>
    <xdr:sp macro="" textlink="" fLocksText="0">
      <xdr:nvSpPr>
        <xdr:cNvPr id="9217" name="AutoShape 50">
          <a:hlinkClick xmlns:r="http://schemas.openxmlformats.org/officeDocument/2006/relationships" r:id="rId1"/>
          <a:extLst>
            <a:ext uri="{FF2B5EF4-FFF2-40B4-BE49-F238E27FC236}">
              <a16:creationId xmlns:a16="http://schemas.microsoft.com/office/drawing/2014/main" id="{452CCD07-FE56-46A0-8071-F77450FEACD7}"/>
            </a:ext>
          </a:extLst>
        </xdr:cNvPr>
        <xdr:cNvSpPr>
          <a:spLocks noChangeArrowheads="1"/>
        </xdr:cNvSpPr>
      </xdr:nvSpPr>
      <xdr:spPr bwMode="auto">
        <a:xfrm>
          <a:off x="28575" y="28575"/>
          <a:ext cx="2295525" cy="323850"/>
        </a:xfrm>
        <a:prstGeom prst="leftArrow">
          <a:avLst>
            <a:gd name="adj1" fmla="val 50000"/>
            <a:gd name="adj2" fmla="val 199750"/>
          </a:avLst>
        </a:prstGeom>
        <a:solidFill>
          <a:srgbClr val="FFFF99"/>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ctr" rtl="0">
            <a:defRPr sz="1000"/>
          </a:pPr>
          <a:r>
            <a:rPr lang="es-SV" sz="1000" b="0" i="0" u="none" strike="noStrike" baseline="0">
              <a:solidFill>
                <a:srgbClr val="000000"/>
              </a:solidFill>
              <a:latin typeface="Calibri"/>
              <a:cs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mp\mozilla_mlgonzalez0\Users\gfuentes\AppData\Local\Microsoft\Windows\Temporary%20Internet%20Files\OLKA46A\Documents%20and%20Settings\Administrator\My%20Documents\Downloads\Ficticia%20HIV%20Dashboard_ES%20-%20Set%20Up%20and%20Maintenance%20Gui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4"/>
  <sheetViews>
    <sheetView showGridLines="0" workbookViewId="0"/>
  </sheetViews>
  <sheetFormatPr baseColWidth="10" defaultColWidth="9.140625" defaultRowHeight="15"/>
  <cols>
    <col min="1" max="1" width="1.140625" customWidth="1"/>
    <col min="11" max="11" width="1.7109375" customWidth="1"/>
  </cols>
  <sheetData>
    <row r="1" spans="2:15" ht="25.5" customHeight="1"/>
    <row r="2" spans="2:15" ht="36">
      <c r="B2" s="483" t="s">
        <v>0</v>
      </c>
      <c r="C2" s="483"/>
      <c r="D2" s="483"/>
      <c r="E2" s="483"/>
      <c r="F2" s="483"/>
      <c r="G2" s="483"/>
      <c r="H2" s="483"/>
      <c r="I2" s="483"/>
      <c r="J2" s="483"/>
      <c r="K2" s="483"/>
      <c r="L2" s="483"/>
      <c r="M2" s="1"/>
      <c r="N2" s="1"/>
      <c r="O2" s="1"/>
    </row>
    <row r="4" spans="2:15" ht="21">
      <c r="B4" s="484" t="s">
        <v>1</v>
      </c>
      <c r="C4" s="484"/>
      <c r="D4" s="484"/>
      <c r="E4" s="484"/>
      <c r="F4" s="2"/>
      <c r="G4" s="2"/>
      <c r="H4" s="3" t="s">
        <v>2</v>
      </c>
      <c r="I4" s="3"/>
      <c r="J4" s="4"/>
      <c r="K4" s="2"/>
      <c r="L4" s="2"/>
    </row>
  </sheetData>
  <sheetProtection selectLockedCells="1" selectUnlockedCells="1"/>
  <mergeCells count="2">
    <mergeCell ref="B2:L2"/>
    <mergeCell ref="B4:E4"/>
  </mergeCell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48"/>
  <sheetViews>
    <sheetView showGridLines="0" zoomScale="80" zoomScaleNormal="80" workbookViewId="0">
      <selection activeCell="M18" sqref="M18"/>
    </sheetView>
  </sheetViews>
  <sheetFormatPr baseColWidth="10" defaultColWidth="9.140625" defaultRowHeight="15"/>
  <cols>
    <col min="2" max="2" width="16.140625" customWidth="1"/>
    <col min="3" max="3" width="14.7109375" customWidth="1"/>
    <col min="4" max="4" width="15.5703125" customWidth="1"/>
    <col min="7" max="7" width="14.42578125" customWidth="1"/>
    <col min="8" max="8" width="35.5703125" customWidth="1"/>
    <col min="9" max="9" width="45.7109375" customWidth="1"/>
    <col min="10" max="10" width="33.5703125" customWidth="1"/>
    <col min="13" max="13" width="28.5703125" customWidth="1"/>
    <col min="14" max="14" width="46.42578125" customWidth="1"/>
  </cols>
  <sheetData>
    <row r="2" spans="2:15" ht="25.5" customHeight="1"/>
    <row r="3" spans="2:15" ht="36">
      <c r="B3" s="667" t="str">
        <f>'Información de la subvención'!B3:J3</f>
        <v>Tablero de mando:  El Salvador - VIH / SIDA</v>
      </c>
      <c r="C3" s="667"/>
      <c r="D3" s="667"/>
      <c r="E3" s="667"/>
      <c r="F3" s="667"/>
      <c r="G3" s="667"/>
      <c r="H3" s="667"/>
      <c r="I3" s="295"/>
    </row>
    <row r="6" spans="2:15" ht="18.75">
      <c r="B6" s="668" t="s">
        <v>278</v>
      </c>
      <c r="C6" s="668"/>
      <c r="D6" s="668"/>
      <c r="E6" s="668"/>
      <c r="F6" s="668"/>
      <c r="G6" s="668"/>
      <c r="H6" s="668"/>
    </row>
    <row r="8" spans="2:15" ht="18.75">
      <c r="B8" s="450" t="s">
        <v>279</v>
      </c>
      <c r="C8" s="450" t="s">
        <v>280</v>
      </c>
      <c r="D8" s="450" t="s">
        <v>281</v>
      </c>
      <c r="E8" s="450" t="s">
        <v>282</v>
      </c>
      <c r="F8" s="450" t="s">
        <v>283</v>
      </c>
      <c r="G8" s="450" t="s">
        <v>284</v>
      </c>
      <c r="H8" s="450" t="s">
        <v>285</v>
      </c>
      <c r="I8" s="451" t="s">
        <v>286</v>
      </c>
      <c r="J8" s="451" t="s">
        <v>287</v>
      </c>
      <c r="M8" s="10"/>
      <c r="N8" s="10"/>
      <c r="O8" s="10"/>
    </row>
    <row r="9" spans="2:15">
      <c r="B9" s="452" t="s">
        <v>288</v>
      </c>
      <c r="C9" s="452" t="s">
        <v>288</v>
      </c>
      <c r="D9" s="452" t="s">
        <v>288</v>
      </c>
      <c r="E9" s="452" t="s">
        <v>288</v>
      </c>
      <c r="F9" s="452" t="s">
        <v>288</v>
      </c>
      <c r="G9" s="452" t="s">
        <v>288</v>
      </c>
      <c r="H9" s="452" t="s">
        <v>288</v>
      </c>
      <c r="I9" s="453" t="s">
        <v>288</v>
      </c>
      <c r="J9" s="452" t="s">
        <v>288</v>
      </c>
      <c r="M9" s="10"/>
      <c r="N9" s="10"/>
      <c r="O9" s="10"/>
    </row>
    <row r="10" spans="2:15">
      <c r="B10" s="454" t="s">
        <v>54</v>
      </c>
      <c r="C10" s="454" t="s">
        <v>84</v>
      </c>
      <c r="D10" s="454" t="s">
        <v>289</v>
      </c>
      <c r="E10" s="454" t="s">
        <v>290</v>
      </c>
      <c r="F10" s="454" t="s">
        <v>71</v>
      </c>
      <c r="G10" s="455" t="s">
        <v>291</v>
      </c>
      <c r="H10" s="456" t="s">
        <v>292</v>
      </c>
      <c r="I10" s="457" t="s">
        <v>293</v>
      </c>
      <c r="J10" s="452" t="s">
        <v>294</v>
      </c>
      <c r="M10" s="10"/>
      <c r="N10" s="10"/>
      <c r="O10" s="10"/>
    </row>
    <row r="11" spans="2:15">
      <c r="B11" s="454" t="s">
        <v>295</v>
      </c>
      <c r="C11" s="454" t="s">
        <v>296</v>
      </c>
      <c r="D11" s="454" t="s">
        <v>297</v>
      </c>
      <c r="E11" s="454" t="s">
        <v>61</v>
      </c>
      <c r="F11" s="454" t="s">
        <v>88</v>
      </c>
      <c r="G11" s="455" t="s">
        <v>298</v>
      </c>
      <c r="H11" s="456" t="s">
        <v>299</v>
      </c>
      <c r="I11" s="457" t="s">
        <v>300</v>
      </c>
      <c r="J11" s="452" t="s">
        <v>301</v>
      </c>
      <c r="M11" s="10"/>
      <c r="N11" s="10"/>
      <c r="O11" s="10"/>
    </row>
    <row r="12" spans="2:15">
      <c r="B12" s="454" t="s">
        <v>302</v>
      </c>
      <c r="D12" s="454" t="s">
        <v>303</v>
      </c>
      <c r="E12" s="454" t="s">
        <v>304</v>
      </c>
      <c r="F12" s="454" t="s">
        <v>89</v>
      </c>
      <c r="G12" s="455" t="s">
        <v>305</v>
      </c>
      <c r="H12" s="456" t="s">
        <v>306</v>
      </c>
      <c r="I12" s="457" t="s">
        <v>307</v>
      </c>
      <c r="J12" s="452" t="s">
        <v>308</v>
      </c>
      <c r="M12" s="458"/>
      <c r="N12" s="10"/>
      <c r="O12" s="10"/>
    </row>
    <row r="13" spans="2:15">
      <c r="B13" s="454" t="s">
        <v>309</v>
      </c>
      <c r="D13" s="454" t="s">
        <v>310</v>
      </c>
      <c r="E13" s="459"/>
      <c r="F13" s="454" t="s">
        <v>90</v>
      </c>
      <c r="G13" s="455" t="s">
        <v>67</v>
      </c>
      <c r="H13" s="456" t="s">
        <v>311</v>
      </c>
      <c r="I13" s="457" t="s">
        <v>312</v>
      </c>
      <c r="J13" s="452" t="s">
        <v>313</v>
      </c>
      <c r="M13" s="458"/>
      <c r="N13" s="10"/>
      <c r="O13" s="10"/>
    </row>
    <row r="14" spans="2:15">
      <c r="B14" s="454" t="s">
        <v>314</v>
      </c>
      <c r="D14" s="454" t="s">
        <v>315</v>
      </c>
      <c r="F14" s="454" t="s">
        <v>91</v>
      </c>
      <c r="G14" s="455" t="s">
        <v>316</v>
      </c>
      <c r="H14" s="456" t="s">
        <v>317</v>
      </c>
      <c r="I14" s="457" t="s">
        <v>318</v>
      </c>
      <c r="J14" s="452" t="s">
        <v>319</v>
      </c>
      <c r="M14" s="458"/>
      <c r="N14" s="10"/>
      <c r="O14" s="10"/>
    </row>
    <row r="15" spans="2:15">
      <c r="D15" s="454" t="s">
        <v>320</v>
      </c>
      <c r="F15" s="454" t="s">
        <v>92</v>
      </c>
      <c r="H15" s="456" t="s">
        <v>321</v>
      </c>
      <c r="I15" s="457" t="s">
        <v>322</v>
      </c>
      <c r="J15" s="452" t="s">
        <v>323</v>
      </c>
      <c r="M15" s="458"/>
      <c r="N15" s="10"/>
      <c r="O15" s="10"/>
    </row>
    <row r="16" spans="2:15">
      <c r="D16" s="454" t="s">
        <v>324</v>
      </c>
      <c r="F16" s="454" t="s">
        <v>93</v>
      </c>
      <c r="H16" s="456" t="s">
        <v>325</v>
      </c>
      <c r="I16" s="457" t="s">
        <v>326</v>
      </c>
      <c r="J16" s="452" t="s">
        <v>327</v>
      </c>
      <c r="M16" s="458"/>
      <c r="N16" s="10"/>
      <c r="O16" s="10"/>
    </row>
    <row r="17" spans="4:15">
      <c r="D17" s="454" t="s">
        <v>328</v>
      </c>
      <c r="F17" s="454" t="s">
        <v>94</v>
      </c>
      <c r="H17" s="456" t="s">
        <v>329</v>
      </c>
      <c r="I17" s="457" t="s">
        <v>330</v>
      </c>
      <c r="J17" s="452" t="s">
        <v>331</v>
      </c>
      <c r="M17" s="458"/>
      <c r="N17" s="10"/>
      <c r="O17" s="10"/>
    </row>
    <row r="18" spans="4:15">
      <c r="D18" s="454" t="s">
        <v>332</v>
      </c>
      <c r="F18" s="454" t="s">
        <v>95</v>
      </c>
      <c r="H18" s="456" t="s">
        <v>333</v>
      </c>
      <c r="I18" s="457" t="s">
        <v>334</v>
      </c>
      <c r="J18" s="452" t="s">
        <v>335</v>
      </c>
      <c r="M18" s="458"/>
      <c r="N18" s="10"/>
      <c r="O18" s="10"/>
    </row>
    <row r="19" spans="4:15">
      <c r="D19" s="454" t="s">
        <v>336</v>
      </c>
      <c r="F19" s="454" t="s">
        <v>96</v>
      </c>
      <c r="H19" s="456" t="s">
        <v>337</v>
      </c>
      <c r="I19" s="457" t="s">
        <v>338</v>
      </c>
      <c r="J19" s="452" t="s">
        <v>339</v>
      </c>
      <c r="M19" s="458"/>
      <c r="N19" s="10"/>
      <c r="O19" s="10"/>
    </row>
    <row r="20" spans="4:15">
      <c r="D20" s="460"/>
      <c r="F20" s="454" t="s">
        <v>97</v>
      </c>
      <c r="H20" s="456" t="s">
        <v>65</v>
      </c>
      <c r="I20" s="457" t="s">
        <v>340</v>
      </c>
      <c r="J20" s="452" t="s">
        <v>341</v>
      </c>
      <c r="M20" s="10"/>
      <c r="N20" s="10"/>
      <c r="O20" s="10"/>
    </row>
    <row r="21" spans="4:15">
      <c r="D21" s="461"/>
      <c r="F21" s="454" t="s">
        <v>98</v>
      </c>
      <c r="H21" s="461"/>
      <c r="I21" s="457" t="s">
        <v>342</v>
      </c>
      <c r="J21" s="452" t="s">
        <v>343</v>
      </c>
      <c r="M21" s="10"/>
      <c r="N21" s="10"/>
      <c r="O21" s="10"/>
    </row>
    <row r="22" spans="4:15">
      <c r="H22" s="461"/>
      <c r="I22" s="457" t="s">
        <v>344</v>
      </c>
      <c r="J22" s="452" t="s">
        <v>345</v>
      </c>
      <c r="M22" s="10"/>
      <c r="N22" s="10"/>
      <c r="O22" s="10"/>
    </row>
    <row r="23" spans="4:15">
      <c r="I23" s="457" t="s">
        <v>346</v>
      </c>
      <c r="J23" s="452" t="s">
        <v>347</v>
      </c>
      <c r="M23" s="10"/>
      <c r="N23" s="10"/>
      <c r="O23" s="10"/>
    </row>
    <row r="24" spans="4:15">
      <c r="I24" s="457" t="s">
        <v>348</v>
      </c>
      <c r="J24" s="452" t="s">
        <v>349</v>
      </c>
      <c r="M24" s="10"/>
      <c r="N24" s="10"/>
      <c r="O24" s="10"/>
    </row>
    <row r="25" spans="4:15">
      <c r="I25" s="462"/>
      <c r="J25" s="452" t="s">
        <v>350</v>
      </c>
    </row>
    <row r="26" spans="4:15">
      <c r="I26" s="457" t="s">
        <v>351</v>
      </c>
      <c r="J26" s="452" t="s">
        <v>352</v>
      </c>
    </row>
    <row r="27" spans="4:15">
      <c r="I27" s="457" t="s">
        <v>353</v>
      </c>
      <c r="J27" s="452" t="s">
        <v>48</v>
      </c>
    </row>
    <row r="28" spans="4:15">
      <c r="I28" s="462" t="s">
        <v>354</v>
      </c>
      <c r="J28" s="452" t="s">
        <v>355</v>
      </c>
    </row>
    <row r="29" spans="4:15">
      <c r="I29" s="462" t="s">
        <v>356</v>
      </c>
      <c r="J29" s="452" t="s">
        <v>357</v>
      </c>
    </row>
    <row r="30" spans="4:15">
      <c r="I30" s="462" t="s">
        <v>358</v>
      </c>
      <c r="J30" s="452" t="s">
        <v>359</v>
      </c>
    </row>
    <row r="31" spans="4:15">
      <c r="J31" s="452" t="s">
        <v>360</v>
      </c>
    </row>
    <row r="32" spans="4:15">
      <c r="J32" s="452" t="s">
        <v>361</v>
      </c>
    </row>
    <row r="33" spans="10:10">
      <c r="J33" s="452" t="s">
        <v>362</v>
      </c>
    </row>
    <row r="34" spans="10:10">
      <c r="J34" s="452" t="s">
        <v>363</v>
      </c>
    </row>
    <row r="35" spans="10:10">
      <c r="J35" s="452" t="s">
        <v>364</v>
      </c>
    </row>
    <row r="36" spans="10:10">
      <c r="J36" s="452" t="s">
        <v>365</v>
      </c>
    </row>
    <row r="37" spans="10:10">
      <c r="J37" s="452" t="s">
        <v>366</v>
      </c>
    </row>
    <row r="38" spans="10:10">
      <c r="J38" s="452" t="s">
        <v>367</v>
      </c>
    </row>
    <row r="39" spans="10:10">
      <c r="J39" s="452" t="s">
        <v>368</v>
      </c>
    </row>
    <row r="40" spans="10:10">
      <c r="J40" s="452" t="s">
        <v>369</v>
      </c>
    </row>
    <row r="41" spans="10:10">
      <c r="J41" s="452" t="s">
        <v>370</v>
      </c>
    </row>
    <row r="42" spans="10:10">
      <c r="J42" s="452" t="s">
        <v>371</v>
      </c>
    </row>
    <row r="43" spans="10:10">
      <c r="J43" s="452" t="s">
        <v>372</v>
      </c>
    </row>
    <row r="44" spans="10:10">
      <c r="J44" s="452" t="s">
        <v>373</v>
      </c>
    </row>
    <row r="45" spans="10:10">
      <c r="J45" s="452" t="s">
        <v>374</v>
      </c>
    </row>
    <row r="46" spans="10:10">
      <c r="J46" s="452" t="s">
        <v>375</v>
      </c>
    </row>
    <row r="47" spans="10:10">
      <c r="J47" s="452" t="s">
        <v>376</v>
      </c>
    </row>
    <row r="48" spans="10:10">
      <c r="J48" s="452" t="s">
        <v>377</v>
      </c>
    </row>
  </sheetData>
  <sheetProtection selectLockedCells="1" selectUnlockedCells="1"/>
  <mergeCells count="2">
    <mergeCell ref="B3:H3"/>
    <mergeCell ref="B6:H6"/>
  </mergeCells>
  <dataValidations count="1">
    <dataValidation type="list" allowBlank="1" showErrorMessage="1" sqref="M28" xr:uid="{00000000-0002-0000-0900-000000000000}">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BH48"/>
  <sheetViews>
    <sheetView showGridLines="0" zoomScale="70" zoomScaleNormal="70" workbookViewId="0">
      <pane ySplit="2" topLeftCell="A3" activePane="bottomLeft" state="frozen"/>
      <selection pane="bottomLeft" activeCell="E11" sqref="E11:I11"/>
    </sheetView>
  </sheetViews>
  <sheetFormatPr baseColWidth="10" defaultColWidth="9.140625" defaultRowHeight="15"/>
  <cols>
    <col min="1" max="1" width="2.7109375" customWidth="1"/>
    <col min="2" max="2" width="2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5" customWidth="1"/>
    <col min="15" max="15" width="3" style="5" customWidth="1"/>
    <col min="16" max="16" width="2.5703125" customWidth="1"/>
    <col min="17" max="17" width="16.140625" customWidth="1"/>
    <col min="18" max="18" width="13.7109375" customWidth="1"/>
    <col min="20" max="20" width="14.85546875" customWidth="1"/>
    <col min="21" max="21" width="16" customWidth="1"/>
    <col min="22" max="22" width="0" hidden="1" customWidth="1"/>
    <col min="23" max="23" width="15.5703125" customWidth="1"/>
    <col min="25" max="25" width="2.28515625" customWidth="1"/>
    <col min="26" max="26" width="1.140625" customWidth="1"/>
    <col min="27" max="27" width="3.28515625" customWidth="1"/>
    <col min="28" max="28" width="17" customWidth="1"/>
    <col min="29" max="29" width="15" customWidth="1"/>
    <col min="31" max="31" width="13.5703125" customWidth="1"/>
    <col min="32" max="32" width="16.85546875" customWidth="1"/>
    <col min="34" max="34" width="2" customWidth="1"/>
    <col min="35" max="35" width="3.28515625" customWidth="1"/>
    <col min="36" max="36" width="2.28515625" customWidth="1"/>
    <col min="37" max="37" width="40.7109375" customWidth="1"/>
    <col min="38" max="38" width="15.42578125" customWidth="1"/>
  </cols>
  <sheetData>
    <row r="1" spans="1:60" ht="34.5" customHeight="1">
      <c r="A1" s="6"/>
      <c r="B1" s="6"/>
      <c r="C1" s="6"/>
      <c r="D1" s="6"/>
      <c r="E1" s="6"/>
      <c r="F1" s="6"/>
      <c r="G1" s="6"/>
      <c r="H1" s="6"/>
      <c r="I1" s="6"/>
      <c r="J1" s="6"/>
      <c r="K1" s="6"/>
      <c r="L1" s="6"/>
      <c r="M1" s="6"/>
    </row>
    <row r="2" spans="1:60" ht="36" customHeight="1">
      <c r="A2" s="6"/>
      <c r="B2" s="485" t="s">
        <v>3</v>
      </c>
      <c r="C2" s="485"/>
      <c r="D2" s="485"/>
      <c r="E2" s="485"/>
      <c r="F2" s="485"/>
      <c r="G2" s="485"/>
      <c r="H2" s="485"/>
      <c r="I2" s="485"/>
      <c r="J2" s="485"/>
      <c r="K2" s="485"/>
      <c r="L2" s="485"/>
      <c r="M2" s="485"/>
    </row>
    <row r="3" spans="1:60" ht="15.75" customHeight="1">
      <c r="A3" s="6"/>
      <c r="B3" s="7"/>
      <c r="C3" s="7"/>
      <c r="D3" s="7"/>
      <c r="E3" s="7"/>
      <c r="F3" s="7"/>
      <c r="G3" s="7"/>
      <c r="H3" s="7"/>
      <c r="I3" s="7"/>
      <c r="J3" s="7"/>
      <c r="K3" s="8"/>
      <c r="L3" s="8"/>
      <c r="M3" s="6"/>
    </row>
    <row r="5" spans="1:60" ht="23.25">
      <c r="B5" s="486" t="s">
        <v>4</v>
      </c>
      <c r="C5" s="486"/>
      <c r="D5" s="486"/>
      <c r="E5" s="486"/>
      <c r="F5" s="486"/>
      <c r="G5" s="486"/>
      <c r="H5" s="486"/>
      <c r="I5" s="486"/>
      <c r="J5" s="486"/>
      <c r="K5" s="486"/>
      <c r="L5" s="486"/>
      <c r="M5" s="486"/>
      <c r="N5" s="486"/>
      <c r="O5" s="486"/>
    </row>
    <row r="7" spans="1:60" ht="21">
      <c r="B7" s="487" t="s">
        <v>5</v>
      </c>
      <c r="C7" s="487"/>
      <c r="D7" s="487"/>
      <c r="E7" s="487" t="s">
        <v>6</v>
      </c>
      <c r="F7" s="487"/>
      <c r="G7" s="487"/>
      <c r="H7" s="487"/>
      <c r="I7" s="487"/>
      <c r="J7" s="487" t="s">
        <v>7</v>
      </c>
      <c r="K7" s="487"/>
      <c r="L7" s="487"/>
      <c r="M7" s="487" t="s">
        <v>8</v>
      </c>
      <c r="N7" s="487"/>
      <c r="O7" s="487"/>
    </row>
    <row r="8" spans="1:60" ht="92.25" customHeight="1">
      <c r="B8" s="492" t="str">
        <f>+'Introducción de datos'!B27</f>
        <v>F1: Presupuesto y desembolsos del Fondo Mundial</v>
      </c>
      <c r="C8" s="492"/>
      <c r="D8" s="492"/>
      <c r="E8" s="493" t="s">
        <v>9</v>
      </c>
      <c r="F8" s="493"/>
      <c r="G8" s="493"/>
      <c r="H8" s="493"/>
      <c r="I8" s="493"/>
      <c r="J8" s="494" t="s">
        <v>10</v>
      </c>
      <c r="K8" s="494"/>
      <c r="L8" s="494"/>
      <c r="M8" s="494" t="s">
        <v>11</v>
      </c>
      <c r="N8" s="494"/>
      <c r="O8" s="494"/>
    </row>
    <row r="9" spans="1:60" ht="117.75" customHeight="1">
      <c r="B9" s="492" t="str">
        <f>+'Introducción de datos'!B36</f>
        <v>F2: Presupuesto y gastos reales por Módulo de la subvención</v>
      </c>
      <c r="C9" s="492"/>
      <c r="D9" s="492"/>
      <c r="E9" s="489" t="s">
        <v>12</v>
      </c>
      <c r="F9" s="489"/>
      <c r="G9" s="489"/>
      <c r="H9" s="489"/>
      <c r="I9" s="489"/>
      <c r="J9" s="491" t="s">
        <v>13</v>
      </c>
      <c r="K9" s="491"/>
      <c r="L9" s="491"/>
      <c r="M9" s="491" t="s">
        <v>11</v>
      </c>
      <c r="N9" s="491"/>
      <c r="O9" s="491"/>
    </row>
    <row r="10" spans="1:60" ht="233.25" customHeight="1">
      <c r="B10" s="488" t="str">
        <f>+'Introducción de datos'!B53</f>
        <v>F3: Desembolsos y gastos</v>
      </c>
      <c r="C10" s="488"/>
      <c r="D10" s="488"/>
      <c r="E10" s="489" t="s">
        <v>14</v>
      </c>
      <c r="F10" s="489"/>
      <c r="G10" s="489"/>
      <c r="H10" s="489"/>
      <c r="I10" s="489"/>
      <c r="J10" s="490" t="s">
        <v>15</v>
      </c>
      <c r="K10" s="490"/>
      <c r="L10" s="490"/>
      <c r="M10" s="491" t="s">
        <v>16</v>
      </c>
      <c r="N10" s="491"/>
      <c r="O10" s="491"/>
    </row>
    <row r="11" spans="1:60" ht="279.75" customHeight="1">
      <c r="B11" s="488" t="str">
        <f>+'Introducción de datos'!B63</f>
        <v>F4: Último ciclo de información y desembolso del RP</v>
      </c>
      <c r="C11" s="488"/>
      <c r="D11" s="488"/>
      <c r="E11" s="489" t="s">
        <v>17</v>
      </c>
      <c r="F11" s="489"/>
      <c r="G11" s="489"/>
      <c r="H11" s="489"/>
      <c r="I11" s="489"/>
      <c r="J11" s="490" t="s">
        <v>18</v>
      </c>
      <c r="K11" s="490"/>
      <c r="L11" s="490"/>
      <c r="M11" s="491" t="s">
        <v>19</v>
      </c>
      <c r="N11" s="491"/>
      <c r="O11" s="49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s="10" customFormat="1">
      <c r="B12" s="497"/>
      <c r="C12" s="497"/>
      <c r="D12" s="497"/>
      <c r="E12" s="498"/>
      <c r="F12" s="498"/>
      <c r="G12" s="498"/>
      <c r="H12" s="498"/>
      <c r="I12" s="498"/>
      <c r="J12" s="498"/>
      <c r="K12" s="498"/>
      <c r="L12" s="498"/>
      <c r="M12" s="498"/>
      <c r="N12" s="498"/>
      <c r="O12" s="498"/>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s="10" customFormat="1">
      <c r="B13" s="495"/>
      <c r="C13" s="495"/>
      <c r="D13" s="495"/>
      <c r="E13" s="496"/>
      <c r="F13" s="496"/>
      <c r="G13" s="496"/>
      <c r="H13" s="496"/>
      <c r="I13" s="496"/>
      <c r="J13" s="496"/>
      <c r="K13" s="496"/>
      <c r="L13" s="496"/>
      <c r="M13" s="496"/>
      <c r="N13" s="496"/>
      <c r="O13" s="49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s="10" customFormat="1">
      <c r="B14" s="495"/>
      <c r="C14" s="495"/>
      <c r="D14" s="495"/>
      <c r="E14" s="496"/>
      <c r="F14" s="496"/>
      <c r="G14" s="496"/>
      <c r="H14" s="496"/>
      <c r="I14" s="496"/>
      <c r="J14" s="496"/>
      <c r="K14" s="496"/>
      <c r="L14" s="496"/>
      <c r="M14" s="496"/>
      <c r="N14" s="496"/>
      <c r="O14" s="49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10" customFormat="1">
      <c r="B15" s="495"/>
      <c r="C15" s="495"/>
      <c r="D15" s="495"/>
      <c r="E15" s="496"/>
      <c r="F15" s="496"/>
      <c r="G15" s="496"/>
      <c r="H15" s="496"/>
      <c r="I15" s="496"/>
      <c r="J15" s="496"/>
      <c r="K15" s="496"/>
      <c r="L15" s="496"/>
      <c r="M15" s="496"/>
      <c r="N15" s="496"/>
      <c r="O15" s="49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60" ht="23.25">
      <c r="B16" s="486" t="s">
        <v>20</v>
      </c>
      <c r="C16" s="486"/>
      <c r="D16" s="486"/>
      <c r="E16" s="486"/>
      <c r="F16" s="486"/>
      <c r="G16" s="486"/>
      <c r="H16" s="486"/>
      <c r="I16" s="486"/>
      <c r="J16" s="486"/>
      <c r="K16" s="486"/>
      <c r="L16" s="486"/>
      <c r="M16" s="486"/>
      <c r="N16" s="486"/>
      <c r="O16" s="486"/>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1:60" ht="21">
      <c r="B18" s="500" t="s">
        <v>5</v>
      </c>
      <c r="C18" s="500"/>
      <c r="D18" s="500"/>
      <c r="E18" s="500" t="s">
        <v>6</v>
      </c>
      <c r="F18" s="500"/>
      <c r="G18" s="500"/>
      <c r="H18" s="500"/>
      <c r="I18" s="500"/>
      <c r="J18" s="500" t="s">
        <v>7</v>
      </c>
      <c r="K18" s="500"/>
      <c r="L18" s="500"/>
      <c r="M18" s="500" t="s">
        <v>21</v>
      </c>
      <c r="N18" s="500"/>
      <c r="O18" s="500"/>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1:60" ht="149.25" customHeight="1">
      <c r="B19" s="492" t="str">
        <f>+'Introducción de datos'!B74</f>
        <v>M1: Estado de las condiciones precedentes y acciones con fecha límite</v>
      </c>
      <c r="C19" s="492"/>
      <c r="D19" s="492"/>
      <c r="E19" s="489" t="s">
        <v>22</v>
      </c>
      <c r="F19" s="489"/>
      <c r="G19" s="489"/>
      <c r="H19" s="489"/>
      <c r="I19" s="489"/>
      <c r="J19" s="491" t="s">
        <v>23</v>
      </c>
      <c r="K19" s="491"/>
      <c r="L19" s="491"/>
      <c r="M19" s="491" t="s">
        <v>24</v>
      </c>
      <c r="N19" s="491"/>
      <c r="O19" s="491"/>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60" ht="102.75" customHeight="1">
      <c r="B20" s="492" t="str">
        <f>+'Introducción de datos'!B81</f>
        <v>M2: Estado de los principales puestos directivos del RP</v>
      </c>
      <c r="C20" s="492"/>
      <c r="D20" s="492"/>
      <c r="E20" s="489" t="s">
        <v>25</v>
      </c>
      <c r="F20" s="489"/>
      <c r="G20" s="489"/>
      <c r="H20" s="489"/>
      <c r="I20" s="489"/>
      <c r="J20" s="491" t="s">
        <v>26</v>
      </c>
      <c r="K20" s="491"/>
      <c r="L20" s="491"/>
      <c r="M20" s="491" t="s">
        <v>27</v>
      </c>
      <c r="N20" s="491"/>
      <c r="O20" s="491"/>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1:60" ht="137.25" customHeight="1">
      <c r="B21" s="492" t="str">
        <f>+'Introducción de datos'!B86</f>
        <v xml:space="preserve">M3: Acuerdos contractuales (gestores de compra de bienes y servicios) </v>
      </c>
      <c r="C21" s="492"/>
      <c r="D21" s="492"/>
      <c r="E21" s="499" t="s">
        <v>28</v>
      </c>
      <c r="F21" s="499"/>
      <c r="G21" s="499"/>
      <c r="H21" s="499"/>
      <c r="I21" s="499"/>
      <c r="J21" s="491" t="s">
        <v>29</v>
      </c>
      <c r="K21" s="491"/>
      <c r="L21" s="491"/>
      <c r="M21" s="491" t="s">
        <v>30</v>
      </c>
      <c r="N21" s="491"/>
      <c r="O21" s="491"/>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1:60" ht="74.25" customHeight="1">
      <c r="B22" s="492" t="str">
        <f>+'Introducción de datos'!B91</f>
        <v>M4: Número de informes completos recibidos a tiempo</v>
      </c>
      <c r="C22" s="492"/>
      <c r="D22" s="492"/>
      <c r="E22" s="501" t="s">
        <v>31</v>
      </c>
      <c r="F22" s="501"/>
      <c r="G22" s="501"/>
      <c r="H22" s="501"/>
      <c r="I22" s="501"/>
      <c r="J22" s="490" t="s">
        <v>32</v>
      </c>
      <c r="K22" s="490"/>
      <c r="L22" s="490"/>
      <c r="M22" s="491" t="s">
        <v>33</v>
      </c>
      <c r="N22" s="491"/>
      <c r="O22" s="491"/>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1:60" ht="207.75" customHeight="1">
      <c r="B23" s="488" t="str">
        <f>+'Introducción de datos'!B97</f>
        <v>M5: Presupuesto y compra de productos y equipo sanitario, medicamentos y productos farmacéuticos</v>
      </c>
      <c r="C23" s="488"/>
      <c r="D23" s="488"/>
      <c r="E23" s="502" t="s">
        <v>34</v>
      </c>
      <c r="F23" s="502"/>
      <c r="G23" s="502"/>
      <c r="H23" s="502"/>
      <c r="I23" s="502"/>
      <c r="J23" s="491" t="s">
        <v>35</v>
      </c>
      <c r="K23" s="491"/>
      <c r="L23" s="491"/>
      <c r="M23" s="491" t="s">
        <v>36</v>
      </c>
      <c r="N23" s="491"/>
      <c r="O23" s="491"/>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1:60" ht="114.75" customHeight="1">
      <c r="B24" s="488"/>
      <c r="C24" s="488"/>
      <c r="D24" s="488"/>
      <c r="E24" s="503" t="s">
        <v>37</v>
      </c>
      <c r="F24" s="503"/>
      <c r="G24" s="503"/>
      <c r="H24" s="503"/>
      <c r="I24" s="503"/>
      <c r="J24" s="491"/>
      <c r="K24" s="491"/>
      <c r="L24" s="491"/>
      <c r="M24" s="491"/>
      <c r="N24" s="491"/>
      <c r="O24" s="491"/>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1:60" ht="206.25" customHeight="1">
      <c r="B25" s="492" t="str">
        <f>+'Introducción de datos'!B110</f>
        <v>M6: Diferencia entre existencias actuales y existencias de seguridad</v>
      </c>
      <c r="C25" s="492"/>
      <c r="D25" s="492"/>
      <c r="E25" s="504" t="s">
        <v>38</v>
      </c>
      <c r="F25" s="504"/>
      <c r="G25" s="504"/>
      <c r="H25" s="504"/>
      <c r="I25" s="504"/>
      <c r="J25" s="505" t="s">
        <v>39</v>
      </c>
      <c r="K25" s="505"/>
      <c r="L25" s="505"/>
      <c r="M25" s="506" t="s">
        <v>40</v>
      </c>
      <c r="N25" s="506"/>
      <c r="O25" s="506"/>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60">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60">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1: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1:60" ht="23.25">
      <c r="B30" s="486" t="s">
        <v>41</v>
      </c>
      <c r="C30" s="486"/>
      <c r="D30" s="486"/>
      <c r="E30" s="486"/>
      <c r="F30" s="486"/>
      <c r="G30" s="486"/>
      <c r="H30" s="486"/>
      <c r="I30" s="486"/>
      <c r="J30" s="486"/>
      <c r="K30" s="486"/>
      <c r="L30" s="486"/>
      <c r="M30" s="486"/>
      <c r="N30" s="486"/>
      <c r="O30" s="486"/>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60">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7" t="s">
        <v>42</v>
      </c>
      <c r="C32" s="507"/>
      <c r="D32" s="507"/>
      <c r="E32" s="508" t="s">
        <v>43</v>
      </c>
      <c r="F32" s="508"/>
      <c r="G32" s="508"/>
      <c r="H32" s="508"/>
      <c r="I32" s="508"/>
      <c r="J32" s="508" t="s">
        <v>7</v>
      </c>
      <c r="K32" s="508"/>
      <c r="L32" s="508"/>
      <c r="M32" s="508" t="s">
        <v>21</v>
      </c>
      <c r="N32" s="508"/>
      <c r="O32" s="508"/>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09"/>
      <c r="C33" s="509"/>
      <c r="D33" s="509"/>
      <c r="E33" s="512"/>
      <c r="F33" s="512"/>
      <c r="G33" s="512"/>
      <c r="H33" s="512"/>
      <c r="I33" s="512"/>
      <c r="J33" s="510"/>
      <c r="K33" s="510"/>
      <c r="L33" s="510"/>
      <c r="M33" s="510"/>
      <c r="N33" s="510"/>
      <c r="O33" s="510"/>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09"/>
      <c r="C34" s="509"/>
      <c r="D34" s="509"/>
      <c r="E34" s="512"/>
      <c r="F34" s="512"/>
      <c r="G34" s="512"/>
      <c r="H34" s="512"/>
      <c r="I34" s="512"/>
      <c r="J34" s="510"/>
      <c r="K34" s="510"/>
      <c r="L34" s="510"/>
      <c r="M34" s="510"/>
      <c r="N34" s="510"/>
      <c r="O34" s="510"/>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09"/>
      <c r="C35" s="509"/>
      <c r="D35" s="509"/>
      <c r="E35" s="510"/>
      <c r="F35" s="510"/>
      <c r="G35" s="510"/>
      <c r="H35" s="510"/>
      <c r="I35" s="510"/>
      <c r="J35" s="510"/>
      <c r="K35" s="510"/>
      <c r="L35" s="510"/>
      <c r="M35" s="510"/>
      <c r="N35" s="510"/>
      <c r="O35" s="510"/>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1"/>
      <c r="C36" s="511"/>
      <c r="D36" s="511"/>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09"/>
      <c r="C37" s="509"/>
      <c r="D37" s="509"/>
      <c r="E37" s="510"/>
      <c r="F37" s="510"/>
      <c r="G37" s="510"/>
      <c r="H37" s="510"/>
      <c r="I37" s="510"/>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09"/>
      <c r="C38" s="509"/>
      <c r="D38" s="509"/>
      <c r="E38" s="512"/>
      <c r="F38" s="512"/>
      <c r="G38" s="512"/>
      <c r="H38" s="512"/>
      <c r="I38" s="512"/>
      <c r="J38" s="510"/>
      <c r="K38" s="510"/>
      <c r="L38" s="510"/>
      <c r="M38" s="510"/>
      <c r="N38" s="510"/>
      <c r="O38" s="510"/>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5"/>
      <c r="C39" s="515"/>
      <c r="D39" s="515"/>
      <c r="E39" s="510"/>
      <c r="F39" s="510"/>
      <c r="G39" s="510"/>
      <c r="H39" s="510"/>
      <c r="I39" s="510"/>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13"/>
      <c r="C40" s="513"/>
      <c r="D40" s="513"/>
      <c r="E40" s="514"/>
      <c r="F40" s="514"/>
      <c r="G40" s="514"/>
      <c r="H40" s="514"/>
      <c r="I40" s="514"/>
      <c r="J40" s="510"/>
      <c r="K40" s="510"/>
      <c r="L40" s="510"/>
      <c r="M40" s="510"/>
      <c r="N40" s="510"/>
      <c r="O40" s="510"/>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5"/>
      <c r="C41" s="515"/>
      <c r="D41" s="515"/>
      <c r="E41" s="512"/>
      <c r="F41" s="512"/>
      <c r="G41" s="512"/>
      <c r="H41" s="512"/>
      <c r="I41" s="512"/>
      <c r="J41" s="510"/>
      <c r="K41" s="510"/>
      <c r="L41" s="510"/>
      <c r="M41" s="510"/>
      <c r="N41" s="510"/>
      <c r="O41" s="510"/>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5"/>
      <c r="C42" s="515"/>
      <c r="D42" s="515"/>
      <c r="E42" s="510"/>
      <c r="F42" s="510"/>
      <c r="G42" s="510"/>
      <c r="H42" s="510"/>
      <c r="I42" s="510"/>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5"/>
      <c r="C43" s="515"/>
      <c r="D43" s="515"/>
      <c r="E43" s="512"/>
      <c r="F43" s="512"/>
      <c r="G43" s="512"/>
      <c r="H43" s="512"/>
      <c r="I43" s="512"/>
      <c r="J43" s="510"/>
      <c r="K43" s="510"/>
      <c r="L43" s="510"/>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13"/>
      <c r="C44" s="513"/>
      <c r="D44" s="513"/>
      <c r="E44" s="512"/>
      <c r="F44" s="512"/>
      <c r="G44" s="512"/>
      <c r="H44" s="512"/>
      <c r="I44" s="512"/>
      <c r="J44" s="510"/>
      <c r="K44" s="510"/>
      <c r="L44" s="510"/>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1:60" ht="49.5" customHeight="1">
      <c r="B45" s="513"/>
      <c r="C45" s="513"/>
      <c r="D45" s="513"/>
      <c r="E45" s="512"/>
      <c r="F45" s="512"/>
      <c r="G45" s="512"/>
      <c r="H45" s="512"/>
      <c r="I45" s="512"/>
      <c r="J45" s="510"/>
      <c r="K45" s="510"/>
      <c r="L45" s="510"/>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1:60" ht="30" customHeight="1">
      <c r="B46" s="516"/>
      <c r="C46" s="516"/>
      <c r="D46" s="516"/>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1: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1:60" ht="15.75" customHeight="1">
      <c r="B48" s="517" t="s">
        <v>44</v>
      </c>
      <c r="C48" s="517"/>
      <c r="D48" s="517"/>
      <c r="E48" s="517"/>
      <c r="F48" s="517"/>
      <c r="G48" s="517"/>
      <c r="H48" s="517"/>
      <c r="I48" s="517"/>
      <c r="J48" s="517"/>
      <c r="K48" s="517"/>
      <c r="L48" s="517"/>
      <c r="M48" s="518" t="s">
        <v>45</v>
      </c>
      <c r="N48" s="518"/>
      <c r="O48" s="518"/>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mergeCells count="116">
    <mergeCell ref="B45:D45"/>
    <mergeCell ref="E45:I45"/>
    <mergeCell ref="J45:L45"/>
    <mergeCell ref="B46:D46"/>
    <mergeCell ref="B48:L48"/>
    <mergeCell ref="M48:O48"/>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 ref="B10:D10"/>
    <mergeCell ref="E10:I10"/>
    <mergeCell ref="J10:L10"/>
    <mergeCell ref="M10:O10"/>
  </mergeCell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AJ152"/>
  <sheetViews>
    <sheetView showGridLines="0" tabSelected="1" topLeftCell="A30" zoomScale="80" zoomScaleNormal="80" workbookViewId="0">
      <selection activeCell="B36" sqref="B36:E51"/>
    </sheetView>
  </sheetViews>
  <sheetFormatPr baseColWidth="10" defaultColWidth="9.140625" defaultRowHeight="15"/>
  <cols>
    <col min="1" max="1" width="2.7109375" customWidth="1"/>
    <col min="2" max="2" width="68.28515625" customWidth="1"/>
    <col min="3" max="3" width="23" customWidth="1"/>
    <col min="4" max="4" width="22.28515625" customWidth="1"/>
    <col min="5" max="5" width="20.5703125" customWidth="1"/>
    <col min="6" max="6" width="15.85546875" customWidth="1"/>
    <col min="7" max="7" width="16.5703125" customWidth="1"/>
    <col min="8" max="8" width="26.7109375" customWidth="1"/>
    <col min="9" max="9" width="19.7109375" customWidth="1"/>
    <col min="10" max="10" width="28.5703125" customWidth="1"/>
    <col min="11" max="11" width="18.5703125" customWidth="1"/>
    <col min="12" max="12" width="15.28515625" customWidth="1"/>
    <col min="13" max="13" width="20.5703125" customWidth="1"/>
    <col min="14" max="14" width="14.28515625" style="5" customWidth="1"/>
    <col min="15" max="15" width="15.5703125" style="5" customWidth="1"/>
    <col min="16" max="16" width="19.42578125" customWidth="1"/>
    <col min="17" max="17" width="16.140625" customWidth="1"/>
    <col min="18" max="18" width="13.7109375" customWidth="1"/>
    <col min="19" max="19" width="13.42578125" customWidth="1"/>
    <col min="20" max="20" width="74.28515625" customWidth="1"/>
    <col min="21" max="21" width="16" customWidth="1"/>
    <col min="22" max="22" width="0" hidden="1" customWidth="1"/>
    <col min="23" max="23" width="15.5703125" customWidth="1"/>
    <col min="25" max="25" width="2.28515625" customWidth="1"/>
    <col min="26" max="26" width="1.140625" customWidth="1"/>
    <col min="27" max="27" width="3.28515625" customWidth="1"/>
    <col min="28" max="28" width="17" customWidth="1"/>
    <col min="29" max="29" width="15" customWidth="1"/>
    <col min="31" max="31" width="13.5703125" customWidth="1"/>
    <col min="32" max="32" width="16.85546875" customWidth="1"/>
    <col min="34" max="34" width="2" style="5" customWidth="1"/>
    <col min="35" max="35" width="3.28515625" style="5" customWidth="1"/>
    <col min="36" max="36" width="2.28515625" style="5" customWidth="1"/>
    <col min="37" max="37" width="40.7109375" customWidth="1"/>
    <col min="38" max="38" width="15.42578125" customWidth="1"/>
  </cols>
  <sheetData>
    <row r="1" spans="1:13" ht="29.25" customHeight="1">
      <c r="A1" s="6"/>
      <c r="B1" s="6"/>
      <c r="C1" s="6"/>
      <c r="D1" s="6"/>
      <c r="E1" s="6"/>
      <c r="F1" s="6"/>
      <c r="G1" s="6"/>
      <c r="H1" s="6"/>
      <c r="I1" s="6"/>
      <c r="J1" s="6"/>
      <c r="K1" s="6"/>
      <c r="L1" s="6"/>
      <c r="M1" s="6"/>
    </row>
    <row r="2" spans="1:13" ht="15.75" customHeight="1">
      <c r="A2" s="6"/>
      <c r="B2" s="519" t="s">
        <v>46</v>
      </c>
      <c r="C2" s="519"/>
      <c r="D2" s="519"/>
      <c r="E2" s="519"/>
      <c r="F2" s="519"/>
      <c r="G2" s="519"/>
      <c r="H2" s="519"/>
      <c r="I2" s="519"/>
      <c r="J2" s="519"/>
      <c r="K2" s="33"/>
      <c r="L2" s="33"/>
      <c r="M2" s="33"/>
    </row>
    <row r="3" spans="1:13" ht="26.45" customHeight="1">
      <c r="A3" s="6"/>
      <c r="B3" s="6"/>
      <c r="C3" s="6"/>
      <c r="D3" s="6"/>
      <c r="E3" s="6"/>
      <c r="F3" s="6"/>
      <c r="G3" s="6"/>
      <c r="H3" s="6"/>
      <c r="I3" s="6"/>
      <c r="J3" s="6"/>
      <c r="K3" s="6"/>
      <c r="L3" s="6"/>
      <c r="M3" s="6"/>
    </row>
    <row r="4" spans="1:13">
      <c r="A4" s="6"/>
      <c r="B4" s="34" t="s">
        <v>47</v>
      </c>
      <c r="C4" s="520" t="s">
        <v>48</v>
      </c>
      <c r="D4" s="520"/>
      <c r="E4" s="521" t="s">
        <v>49</v>
      </c>
      <c r="F4" s="521"/>
      <c r="G4" s="522" t="s">
        <v>50</v>
      </c>
      <c r="H4" s="522"/>
      <c r="I4" s="522"/>
      <c r="J4" s="522"/>
      <c r="K4" s="6"/>
      <c r="L4" s="6"/>
      <c r="M4" s="6"/>
    </row>
    <row r="5" spans="1:13" ht="3" customHeight="1">
      <c r="A5" s="6"/>
      <c r="B5" s="37"/>
      <c r="C5" s="6"/>
      <c r="D5" s="6"/>
      <c r="E5" s="38"/>
      <c r="F5" s="38"/>
      <c r="G5" s="6"/>
      <c r="H5" s="6"/>
      <c r="I5" s="6"/>
      <c r="J5" s="6"/>
      <c r="K5" s="6"/>
      <c r="L5" s="6"/>
      <c r="M5" s="6"/>
    </row>
    <row r="6" spans="1:13">
      <c r="A6" s="6"/>
      <c r="B6" s="34" t="s">
        <v>51</v>
      </c>
      <c r="C6" s="522" t="s">
        <v>52</v>
      </c>
      <c r="D6" s="522"/>
      <c r="E6" s="521" t="s">
        <v>53</v>
      </c>
      <c r="F6" s="521"/>
      <c r="G6" s="35" t="s">
        <v>54</v>
      </c>
      <c r="H6" s="39" t="s">
        <v>55</v>
      </c>
      <c r="I6" s="523">
        <v>5148186</v>
      </c>
      <c r="J6" s="523"/>
      <c r="K6" s="6"/>
      <c r="L6" s="6"/>
      <c r="M6" s="6"/>
    </row>
    <row r="7" spans="1:13" ht="3" customHeight="1">
      <c r="A7" s="6"/>
      <c r="B7" s="37"/>
      <c r="C7" s="6"/>
      <c r="D7" s="6"/>
      <c r="E7" s="38"/>
      <c r="F7" s="38"/>
      <c r="G7" s="6"/>
      <c r="H7" s="37"/>
      <c r="I7" s="6"/>
      <c r="J7" s="6"/>
      <c r="K7" s="6"/>
      <c r="L7" s="6"/>
      <c r="M7" s="6"/>
    </row>
    <row r="8" spans="1:13">
      <c r="A8" s="6"/>
      <c r="B8" s="34" t="s">
        <v>56</v>
      </c>
      <c r="C8" s="522" t="s">
        <v>57</v>
      </c>
      <c r="D8" s="522"/>
      <c r="E8" s="40"/>
      <c r="F8" s="36" t="s">
        <v>58</v>
      </c>
      <c r="G8" s="35" t="s">
        <v>59</v>
      </c>
      <c r="H8" s="36" t="s">
        <v>60</v>
      </c>
      <c r="I8" s="520" t="s">
        <v>61</v>
      </c>
      <c r="J8" s="520"/>
      <c r="K8" s="6"/>
      <c r="L8" s="6"/>
      <c r="M8" s="6"/>
    </row>
    <row r="9" spans="1:13" ht="3" customHeight="1">
      <c r="A9" s="6"/>
      <c r="B9" s="38"/>
      <c r="C9" s="41">
        <v>39825</v>
      </c>
      <c r="D9" s="6"/>
      <c r="E9" s="38"/>
      <c r="F9" s="38"/>
      <c r="G9" s="6"/>
      <c r="H9" s="6"/>
      <c r="I9" s="6"/>
      <c r="J9" s="6"/>
      <c r="K9" s="6"/>
      <c r="L9" s="6"/>
      <c r="M9" s="6"/>
    </row>
    <row r="10" spans="1:13">
      <c r="A10" s="6"/>
      <c r="B10" s="34" t="s">
        <v>62</v>
      </c>
      <c r="C10" s="525" t="s">
        <v>63</v>
      </c>
      <c r="D10" s="525"/>
      <c r="E10" s="526" t="s">
        <v>64</v>
      </c>
      <c r="F10" s="526"/>
      <c r="G10" s="520" t="s">
        <v>65</v>
      </c>
      <c r="H10" s="520"/>
      <c r="I10" s="520"/>
      <c r="J10" s="520"/>
      <c r="K10" s="6"/>
      <c r="L10" s="6"/>
      <c r="M10" s="6"/>
    </row>
    <row r="11" spans="1:13" ht="5.25" customHeight="1">
      <c r="A11" s="6"/>
      <c r="B11" s="6"/>
      <c r="C11" s="6"/>
      <c r="D11" s="6"/>
      <c r="E11" s="6"/>
      <c r="F11" s="6"/>
      <c r="G11" s="6"/>
      <c r="H11" s="6"/>
      <c r="I11" s="6"/>
      <c r="J11" s="6"/>
      <c r="K11" s="6"/>
      <c r="L11" s="6"/>
      <c r="M11" s="6"/>
    </row>
    <row r="12" spans="1:13" ht="15" customHeight="1">
      <c r="A12" s="6"/>
      <c r="B12" s="34" t="s">
        <v>66</v>
      </c>
      <c r="C12" s="527" t="s">
        <v>67</v>
      </c>
      <c r="D12" s="527"/>
      <c r="E12" s="528" t="s">
        <v>68</v>
      </c>
      <c r="F12" s="528"/>
      <c r="G12" s="522" t="s">
        <v>379</v>
      </c>
      <c r="H12" s="522"/>
      <c r="I12" s="522"/>
      <c r="J12" s="522"/>
      <c r="K12" s="6"/>
      <c r="L12" s="6"/>
      <c r="M12" s="6"/>
    </row>
    <row r="13" spans="1:13" ht="5.25" customHeight="1">
      <c r="A13" s="6"/>
      <c r="B13" s="6"/>
      <c r="C13" s="6"/>
      <c r="D13" s="6"/>
      <c r="E13" s="6"/>
      <c r="F13" s="6"/>
      <c r="G13" s="6"/>
      <c r="H13" s="6"/>
      <c r="I13" s="6"/>
      <c r="J13" s="6"/>
      <c r="K13" s="6"/>
      <c r="L13" s="6"/>
      <c r="M13" s="6"/>
    </row>
    <row r="14" spans="1:13" ht="15.75" customHeight="1">
      <c r="A14" s="6"/>
      <c r="B14" s="519" t="s">
        <v>69</v>
      </c>
      <c r="C14" s="519"/>
      <c r="D14" s="519"/>
      <c r="E14" s="519"/>
      <c r="F14" s="519"/>
      <c r="G14" s="519"/>
      <c r="H14" s="519"/>
      <c r="I14" s="519"/>
      <c r="J14" s="519"/>
      <c r="K14" s="6"/>
      <c r="L14" s="6"/>
      <c r="M14" s="6"/>
    </row>
    <row r="15" spans="1:13" ht="3" customHeight="1">
      <c r="A15" s="6"/>
      <c r="B15" s="6"/>
      <c r="C15" s="6"/>
      <c r="D15" s="6"/>
      <c r="E15" s="6"/>
      <c r="F15" s="6"/>
      <c r="G15" s="6"/>
      <c r="H15" s="6"/>
      <c r="I15" s="6"/>
      <c r="J15" s="6"/>
      <c r="K15" s="6"/>
      <c r="L15" s="6"/>
      <c r="M15" s="6"/>
    </row>
    <row r="16" spans="1:13">
      <c r="A16" s="6"/>
      <c r="B16" s="34" t="s">
        <v>70</v>
      </c>
      <c r="C16" s="35" t="s">
        <v>88</v>
      </c>
      <c r="D16" s="36" t="s">
        <v>72</v>
      </c>
      <c r="E16" s="42" t="s">
        <v>398</v>
      </c>
      <c r="F16" s="43" t="s">
        <v>73</v>
      </c>
      <c r="G16" s="42">
        <v>43100</v>
      </c>
      <c r="H16" s="529" t="s">
        <v>74</v>
      </c>
      <c r="I16" s="529"/>
      <c r="J16" s="42" t="s">
        <v>378</v>
      </c>
      <c r="K16" s="6"/>
      <c r="L16" s="6"/>
      <c r="M16" s="6"/>
    </row>
    <row r="17" spans="1:35" ht="3" customHeight="1">
      <c r="A17" s="6"/>
      <c r="B17" s="6"/>
      <c r="C17" s="6"/>
      <c r="D17" s="6"/>
      <c r="E17" s="6"/>
      <c r="F17" s="6"/>
      <c r="G17" s="6"/>
      <c r="H17" s="6"/>
      <c r="I17" s="6"/>
      <c r="J17" s="6"/>
      <c r="K17" s="6"/>
      <c r="L17" s="6"/>
      <c r="M17" s="6"/>
    </row>
    <row r="18" spans="1:35">
      <c r="A18" s="6"/>
      <c r="B18" s="530" t="s">
        <v>75</v>
      </c>
      <c r="C18" s="530"/>
      <c r="D18" s="522" t="s">
        <v>76</v>
      </c>
      <c r="E18" s="522"/>
      <c r="F18" s="522"/>
      <c r="G18" s="44"/>
      <c r="H18" s="44"/>
      <c r="I18" s="44"/>
      <c r="J18" s="44"/>
      <c r="K18" s="6"/>
      <c r="L18" s="6"/>
      <c r="M18" s="6"/>
    </row>
    <row r="19" spans="1:35" ht="3" customHeight="1">
      <c r="A19" s="6"/>
      <c r="B19" s="6"/>
      <c r="C19" s="6"/>
      <c r="D19" s="6"/>
      <c r="E19" s="6"/>
      <c r="F19" s="6"/>
      <c r="G19" s="6"/>
      <c r="H19" s="6"/>
      <c r="I19" s="6"/>
      <c r="J19" s="6"/>
      <c r="K19" s="6"/>
      <c r="L19" s="6"/>
      <c r="M19" s="6"/>
    </row>
    <row r="20" spans="1:35" ht="5.25" customHeight="1">
      <c r="A20" s="6"/>
      <c r="B20" s="6"/>
      <c r="C20" s="6"/>
      <c r="D20" s="6"/>
      <c r="E20" s="6"/>
      <c r="F20" s="6"/>
      <c r="G20" s="6"/>
      <c r="H20" s="6"/>
      <c r="I20" s="6"/>
      <c r="J20" s="6"/>
      <c r="K20" s="6"/>
      <c r="L20" s="6"/>
      <c r="M20" s="6"/>
    </row>
    <row r="21" spans="1:35" ht="15.75" customHeight="1">
      <c r="A21" s="6"/>
      <c r="B21" s="519" t="s">
        <v>77</v>
      </c>
      <c r="C21" s="519"/>
      <c r="D21" s="519"/>
      <c r="E21" s="519"/>
      <c r="F21" s="519"/>
      <c r="G21" s="519"/>
      <c r="H21" s="519"/>
      <c r="I21" s="519"/>
      <c r="J21" s="519"/>
      <c r="K21" s="6"/>
      <c r="L21" s="6"/>
      <c r="M21" s="6"/>
    </row>
    <row r="22" spans="1:35">
      <c r="A22" s="6"/>
      <c r="B22" s="45" t="s">
        <v>78</v>
      </c>
      <c r="C22" s="6"/>
      <c r="D22" s="6"/>
      <c r="E22" s="46"/>
      <c r="F22" s="46"/>
      <c r="G22" s="6"/>
      <c r="H22" s="6"/>
      <c r="I22" s="46"/>
      <c r="J22" s="46"/>
      <c r="K22" s="6"/>
      <c r="L22" s="6"/>
      <c r="M22" s="6"/>
    </row>
    <row r="23" spans="1:35" ht="3" customHeight="1">
      <c r="A23" s="6"/>
      <c r="B23" s="6"/>
      <c r="C23" s="6"/>
      <c r="D23" s="6"/>
      <c r="E23" s="6"/>
      <c r="F23" s="6"/>
      <c r="G23" s="6"/>
      <c r="H23" s="6"/>
      <c r="I23" s="6"/>
      <c r="J23" s="6"/>
      <c r="K23" s="6"/>
      <c r="L23" s="6"/>
      <c r="M23" s="6"/>
    </row>
    <row r="24" spans="1:35">
      <c r="A24" s="6"/>
      <c r="B24" s="34" t="s">
        <v>79</v>
      </c>
      <c r="C24" s="47"/>
      <c r="D24" s="521" t="s">
        <v>80</v>
      </c>
      <c r="E24" s="521"/>
      <c r="F24" s="48"/>
      <c r="G24" s="521" t="s">
        <v>81</v>
      </c>
      <c r="H24" s="521"/>
      <c r="I24" s="524"/>
      <c r="J24" s="524"/>
      <c r="K24" s="6"/>
      <c r="L24" s="6"/>
      <c r="M24" s="6"/>
      <c r="N24" s="49"/>
    </row>
    <row r="25" spans="1:35" ht="18.75">
      <c r="A25" s="6"/>
      <c r="B25" s="50" t="s">
        <v>79</v>
      </c>
      <c r="C25" s="51"/>
      <c r="D25" s="51"/>
      <c r="E25" s="51"/>
      <c r="F25" s="51"/>
      <c r="G25" s="51"/>
      <c r="H25" s="52"/>
      <c r="I25" s="52"/>
      <c r="J25" s="52" t="s">
        <v>82</v>
      </c>
      <c r="K25" s="52"/>
      <c r="L25" s="51"/>
      <c r="M25" s="51"/>
      <c r="N25" s="53"/>
      <c r="O25" s="54"/>
      <c r="AI25" s="55"/>
    </row>
    <row r="26" spans="1:35">
      <c r="A26" s="6"/>
      <c r="B26" s="533" t="s">
        <v>83</v>
      </c>
      <c r="C26" s="533"/>
      <c r="D26" s="56" t="s">
        <v>84</v>
      </c>
      <c r="E26" s="57"/>
      <c r="F26" s="57"/>
      <c r="G26" s="57"/>
      <c r="H26" s="57"/>
      <c r="I26" s="57"/>
      <c r="J26" s="58"/>
      <c r="K26" s="57"/>
      <c r="L26" s="57"/>
      <c r="M26" s="57"/>
      <c r="N26" s="54"/>
      <c r="O26" s="54"/>
      <c r="AI26" s="55"/>
    </row>
    <row r="27" spans="1:35" ht="18.75">
      <c r="A27" s="6"/>
      <c r="B27" s="59" t="s">
        <v>85</v>
      </c>
      <c r="C27" s="57"/>
      <c r="D27" s="57"/>
      <c r="E27" s="57"/>
      <c r="F27" s="57"/>
      <c r="G27" s="57"/>
      <c r="H27" s="57"/>
      <c r="I27" s="57"/>
      <c r="J27" s="58"/>
      <c r="K27" s="57"/>
      <c r="L27" s="57"/>
      <c r="M27" s="57"/>
      <c r="N27" s="54"/>
      <c r="O27" s="54"/>
      <c r="AI27" s="55"/>
    </row>
    <row r="28" spans="1:35">
      <c r="A28" s="6"/>
      <c r="B28" s="6"/>
      <c r="C28" s="6"/>
      <c r="D28" s="6"/>
      <c r="E28" s="6"/>
      <c r="F28" s="6"/>
      <c r="G28" s="6"/>
      <c r="H28" s="6"/>
      <c r="I28" s="6"/>
      <c r="J28" s="6"/>
      <c r="K28" s="6"/>
      <c r="L28" s="6"/>
      <c r="M28" s="6"/>
    </row>
    <row r="29" spans="1:35">
      <c r="A29" s="6"/>
      <c r="B29" s="534" t="s">
        <v>86</v>
      </c>
      <c r="C29" s="534"/>
      <c r="D29" s="534"/>
      <c r="E29" s="534"/>
      <c r="F29" s="534"/>
      <c r="G29" s="534"/>
      <c r="H29" s="534"/>
      <c r="I29" s="534"/>
      <c r="J29" s="534"/>
      <c r="K29" s="534"/>
      <c r="L29" s="534"/>
      <c r="M29" s="534"/>
      <c r="N29" s="534"/>
      <c r="P29" s="60"/>
      <c r="Q29" s="61"/>
      <c r="R29" s="62">
        <f>+C33</f>
        <v>1994855</v>
      </c>
      <c r="S29" s="60"/>
    </row>
    <row r="30" spans="1:35" ht="66.75" customHeight="1">
      <c r="A30" s="6"/>
      <c r="B30" s="63" t="s">
        <v>87</v>
      </c>
      <c r="C30" s="64" t="s">
        <v>71</v>
      </c>
      <c r="D30" s="64" t="s">
        <v>88</v>
      </c>
      <c r="E30" s="64" t="s">
        <v>89</v>
      </c>
      <c r="F30" s="64" t="s">
        <v>90</v>
      </c>
      <c r="G30" s="64" t="s">
        <v>91</v>
      </c>
      <c r="H30" s="64" t="s">
        <v>92</v>
      </c>
      <c r="I30" s="64" t="s">
        <v>93</v>
      </c>
      <c r="J30" s="64" t="s">
        <v>94</v>
      </c>
      <c r="K30" s="64" t="s">
        <v>95</v>
      </c>
      <c r="L30" s="64" t="s">
        <v>96</v>
      </c>
      <c r="M30" s="64" t="s">
        <v>97</v>
      </c>
      <c r="N30" s="65" t="s">
        <v>98</v>
      </c>
      <c r="O30" s="66" t="s">
        <v>99</v>
      </c>
      <c r="P30" s="60"/>
      <c r="Q30" s="61"/>
      <c r="R30" s="62">
        <f>+D33</f>
        <v>2556011</v>
      </c>
      <c r="S30" s="60"/>
    </row>
    <row r="31" spans="1:35">
      <c r="A31" s="6"/>
      <c r="B31" s="476" t="str">
        <f>CONCATENATE("Presupuesto (en ",'Introducción de datos'!$D$26,")")</f>
        <v>Presupuesto (en $)</v>
      </c>
      <c r="C31" s="67">
        <v>1994855</v>
      </c>
      <c r="D31" s="68">
        <f>2556011-1994855</f>
        <v>561156</v>
      </c>
      <c r="E31" s="68"/>
      <c r="F31" s="68"/>
      <c r="G31" s="68"/>
      <c r="H31" s="68"/>
      <c r="I31" s="69"/>
      <c r="J31" s="69"/>
      <c r="K31" s="69"/>
      <c r="L31" s="69"/>
      <c r="M31" s="69"/>
      <c r="N31" s="69"/>
      <c r="O31" s="535">
        <f>+SUM(C35:N35)</f>
        <v>1</v>
      </c>
      <c r="P31" s="60"/>
      <c r="Q31" s="61"/>
      <c r="R31" s="62">
        <f>+E33</f>
        <v>0</v>
      </c>
      <c r="S31" s="60"/>
    </row>
    <row r="32" spans="1:35">
      <c r="A32" s="6"/>
      <c r="B32" s="477" t="str">
        <f>CONCATENATE("Desembolsos por el Fondo Mundial (en ",$D$26,")")</f>
        <v>Desembolsos por el Fondo Mundial (en $)</v>
      </c>
      <c r="C32" s="67">
        <v>2477274</v>
      </c>
      <c r="D32" s="70">
        <f>2556011-2477274</f>
        <v>78737</v>
      </c>
      <c r="E32" s="70"/>
      <c r="F32" s="71"/>
      <c r="G32" s="71"/>
      <c r="H32" s="71"/>
      <c r="I32" s="69"/>
      <c r="J32" s="69"/>
      <c r="K32" s="69"/>
      <c r="L32" s="69"/>
      <c r="M32" s="69"/>
      <c r="N32" s="69"/>
      <c r="O32" s="535"/>
      <c r="P32" s="60"/>
      <c r="Q32" s="61"/>
      <c r="R32" s="62">
        <f>+F33</f>
        <v>0</v>
      </c>
      <c r="S32" s="60"/>
    </row>
    <row r="33" spans="1:35">
      <c r="A33" s="6"/>
      <c r="B33" s="478" t="s">
        <v>100</v>
      </c>
      <c r="C33" s="72">
        <f t="shared" ref="C33:C34" si="0">+C31</f>
        <v>1994855</v>
      </c>
      <c r="D33" s="73">
        <f>+C31+D31</f>
        <v>2556011</v>
      </c>
      <c r="E33" s="73"/>
      <c r="F33" s="73"/>
      <c r="G33" s="73"/>
      <c r="H33" s="73"/>
      <c r="I33" s="74"/>
      <c r="J33" s="74"/>
      <c r="K33" s="74"/>
      <c r="L33" s="74"/>
      <c r="M33" s="74"/>
      <c r="N33" s="74"/>
      <c r="O33" s="535"/>
      <c r="P33" s="75"/>
      <c r="Q33" s="61"/>
      <c r="R33" s="62">
        <f>+G33</f>
        <v>0</v>
      </c>
      <c r="S33" s="60"/>
    </row>
    <row r="34" spans="1:35">
      <c r="A34" s="6"/>
      <c r="B34" s="479" t="s">
        <v>101</v>
      </c>
      <c r="C34" s="76">
        <f t="shared" si="0"/>
        <v>2477274</v>
      </c>
      <c r="D34" s="77">
        <f>+C32+D32</f>
        <v>2556011</v>
      </c>
      <c r="E34" s="77"/>
      <c r="F34" s="77"/>
      <c r="G34" s="77"/>
      <c r="H34" s="77"/>
      <c r="I34" s="78"/>
      <c r="J34" s="78"/>
      <c r="K34" s="78"/>
      <c r="L34" s="78"/>
      <c r="M34" s="78"/>
      <c r="N34" s="78"/>
      <c r="O34" s="535"/>
      <c r="P34" s="75"/>
      <c r="Q34" s="61"/>
      <c r="R34" s="62">
        <f>+H33</f>
        <v>0</v>
      </c>
      <c r="S34" s="60"/>
    </row>
    <row r="35" spans="1:35">
      <c r="A35" s="6"/>
      <c r="B35" s="6"/>
      <c r="C35" s="79">
        <f>+IF(AND(C30=$C$16,C33&lt;&gt;0),C34/C33,0)</f>
        <v>0</v>
      </c>
      <c r="D35" s="79">
        <f>+IF(AND(D30=$C$16,D33&lt;&gt;0),D34/D33,0)</f>
        <v>1</v>
      </c>
      <c r="E35" s="79"/>
      <c r="F35" s="79">
        <f t="shared" ref="F35:N35" si="1">+IF(AND(F30=$C$16,F33&lt;&gt;0),F34/F33,0)</f>
        <v>0</v>
      </c>
      <c r="G35" s="79">
        <f t="shared" si="1"/>
        <v>0</v>
      </c>
      <c r="H35" s="79">
        <f t="shared" si="1"/>
        <v>0</v>
      </c>
      <c r="I35" s="79">
        <f t="shared" si="1"/>
        <v>0</v>
      </c>
      <c r="J35" s="79">
        <f t="shared" si="1"/>
        <v>0</v>
      </c>
      <c r="K35" s="79">
        <f t="shared" si="1"/>
        <v>0</v>
      </c>
      <c r="L35" s="79">
        <f t="shared" si="1"/>
        <v>0</v>
      </c>
      <c r="M35" s="79">
        <f t="shared" si="1"/>
        <v>0</v>
      </c>
      <c r="N35" s="79">
        <f t="shared" si="1"/>
        <v>0</v>
      </c>
      <c r="O35" s="80"/>
      <c r="P35" s="81"/>
      <c r="Q35" s="82"/>
      <c r="R35" s="62">
        <f>+I33</f>
        <v>0</v>
      </c>
      <c r="S35" s="60"/>
    </row>
    <row r="36" spans="1:35" ht="18.75">
      <c r="A36" s="6"/>
      <c r="B36" s="59" t="s">
        <v>412</v>
      </c>
      <c r="C36" s="6"/>
      <c r="D36" s="6"/>
      <c r="E36" s="83"/>
      <c r="F36" s="6"/>
      <c r="G36" s="84"/>
      <c r="H36" s="6"/>
      <c r="I36" s="6"/>
      <c r="J36" s="6"/>
      <c r="K36" s="6"/>
      <c r="L36" s="6"/>
      <c r="M36" s="6"/>
      <c r="N36" s="85"/>
      <c r="O36" s="85"/>
      <c r="AI36" s="49"/>
    </row>
    <row r="37" spans="1:35" ht="15.75" thickBot="1">
      <c r="A37" s="6"/>
      <c r="B37" s="6"/>
      <c r="C37" s="6"/>
      <c r="D37" s="6"/>
      <c r="E37" s="6"/>
      <c r="F37" s="6"/>
      <c r="G37" s="6"/>
      <c r="H37" s="6"/>
      <c r="I37" s="6"/>
      <c r="J37" s="6"/>
      <c r="K37" s="6"/>
      <c r="L37" s="6"/>
      <c r="M37" s="6"/>
      <c r="N37" s="86"/>
      <c r="O37" s="86"/>
    </row>
    <row r="38" spans="1:35" ht="30" customHeight="1">
      <c r="A38" s="6"/>
      <c r="B38" s="87" t="s">
        <v>413</v>
      </c>
      <c r="C38" s="88" t="str">
        <f>CONCATENATE("Presupuesto acumulado (en ",'Introducción de datos'!$D$26,")")</f>
        <v>Presupuesto acumulado (en $)</v>
      </c>
      <c r="D38" s="89" t="str">
        <f>CONCATENATE("Gastos acumulados (en ",'Introducción de datos'!$D$26,")")</f>
        <v>Gastos acumulados (en $)</v>
      </c>
      <c r="E38" s="89" t="s">
        <v>411</v>
      </c>
      <c r="F38" s="90"/>
      <c r="G38" s="6"/>
      <c r="H38" s="6"/>
      <c r="I38" s="6"/>
      <c r="J38" s="91"/>
      <c r="K38" s="92"/>
      <c r="N38"/>
      <c r="O38"/>
      <c r="AE38" s="49"/>
      <c r="AF38" s="5"/>
    </row>
    <row r="39" spans="1:35" ht="33.75" customHeight="1">
      <c r="A39" s="6"/>
      <c r="B39" s="480" t="s">
        <v>401</v>
      </c>
      <c r="C39" s="93">
        <v>174000</v>
      </c>
      <c r="D39" s="93">
        <v>93327.24</v>
      </c>
      <c r="E39" s="482">
        <f>+D39/C39</f>
        <v>0.53636344827586213</v>
      </c>
      <c r="F39" s="94"/>
      <c r="G39" s="95"/>
      <c r="H39" s="6"/>
      <c r="I39" s="6"/>
      <c r="J39" s="96"/>
      <c r="K39" s="97"/>
      <c r="N39"/>
      <c r="O39"/>
      <c r="AE39" s="49"/>
      <c r="AF39" s="5"/>
    </row>
    <row r="40" spans="1:35" ht="14.25" customHeight="1">
      <c r="A40" s="6"/>
      <c r="B40" s="480" t="s">
        <v>402</v>
      </c>
      <c r="C40" s="93">
        <v>262352</v>
      </c>
      <c r="D40" s="93">
        <v>56021.46</v>
      </c>
      <c r="E40" s="482">
        <f t="shared" ref="E40:E48" si="2">+D40/C40</f>
        <v>0.21353547905104592</v>
      </c>
      <c r="F40" s="94"/>
      <c r="G40" s="95"/>
      <c r="H40" s="6"/>
      <c r="I40" s="6"/>
      <c r="J40" s="6"/>
      <c r="K40" s="97"/>
      <c r="N40"/>
      <c r="O40"/>
      <c r="AE40" s="49"/>
      <c r="AF40" s="5"/>
    </row>
    <row r="41" spans="1:35" ht="14.25" customHeight="1">
      <c r="A41" s="6"/>
      <c r="B41" s="480" t="s">
        <v>403</v>
      </c>
      <c r="C41" s="93">
        <v>751673</v>
      </c>
      <c r="D41" s="93">
        <v>401326</v>
      </c>
      <c r="E41" s="482">
        <f t="shared" si="2"/>
        <v>0.5339103572963243</v>
      </c>
      <c r="F41" s="94"/>
      <c r="G41" s="95"/>
      <c r="H41" s="6"/>
      <c r="I41" s="6"/>
      <c r="J41" s="6"/>
      <c r="K41" s="97"/>
      <c r="N41"/>
      <c r="O41"/>
      <c r="AE41" s="49"/>
      <c r="AF41" s="5"/>
    </row>
    <row r="42" spans="1:35" ht="14.25" customHeight="1">
      <c r="A42" s="6"/>
      <c r="B42" s="480" t="s">
        <v>404</v>
      </c>
      <c r="C42" s="93">
        <v>55585</v>
      </c>
      <c r="D42" s="93">
        <v>38733</v>
      </c>
      <c r="E42" s="482">
        <f t="shared" si="2"/>
        <v>0.69682468291805344</v>
      </c>
      <c r="F42" s="94"/>
      <c r="G42" s="95"/>
      <c r="H42" s="6"/>
      <c r="I42" s="6"/>
      <c r="J42" s="6"/>
      <c r="K42" s="97"/>
      <c r="N42"/>
      <c r="O42"/>
      <c r="AE42" s="49"/>
      <c r="AF42" s="5"/>
    </row>
    <row r="43" spans="1:35" ht="14.25" customHeight="1">
      <c r="A43" s="6"/>
      <c r="B43" s="480" t="s">
        <v>405</v>
      </c>
      <c r="C43" s="93">
        <v>159223</v>
      </c>
      <c r="D43" s="93">
        <v>77784</v>
      </c>
      <c r="E43" s="482">
        <f t="shared" si="2"/>
        <v>0.48852238684109706</v>
      </c>
      <c r="F43" s="94"/>
      <c r="G43" s="95"/>
      <c r="H43" s="6"/>
      <c r="I43" s="6"/>
      <c r="J43" s="6"/>
      <c r="K43" s="97"/>
      <c r="N43"/>
      <c r="O43"/>
      <c r="AE43" s="49"/>
      <c r="AF43" s="5"/>
    </row>
    <row r="44" spans="1:35" ht="14.25" customHeight="1">
      <c r="A44" s="6"/>
      <c r="B44" s="480" t="s">
        <v>406</v>
      </c>
      <c r="C44" s="93">
        <v>140085</v>
      </c>
      <c r="D44" s="93">
        <v>65272</v>
      </c>
      <c r="E44" s="482">
        <f t="shared" si="2"/>
        <v>0.46594567583966878</v>
      </c>
      <c r="F44" s="94"/>
      <c r="G44" s="95"/>
      <c r="H44" s="6"/>
      <c r="I44" s="6"/>
      <c r="J44" s="6"/>
      <c r="K44" s="97"/>
      <c r="N44"/>
      <c r="O44"/>
      <c r="AE44" s="49"/>
      <c r="AF44" s="5"/>
    </row>
    <row r="45" spans="1:35" ht="14.25" customHeight="1">
      <c r="A45" s="6"/>
      <c r="B45" s="480" t="s">
        <v>407</v>
      </c>
      <c r="C45" s="93">
        <v>215750</v>
      </c>
      <c r="D45" s="93">
        <v>4956.3500000000004</v>
      </c>
      <c r="E45" s="482">
        <f t="shared" si="2"/>
        <v>2.2972653534183082E-2</v>
      </c>
      <c r="F45" s="94"/>
      <c r="G45" s="95"/>
      <c r="H45" s="6"/>
      <c r="I45" s="6"/>
      <c r="J45" s="6"/>
      <c r="K45" s="97"/>
      <c r="N45"/>
      <c r="O45"/>
      <c r="AE45" s="49"/>
      <c r="AF45" s="5"/>
    </row>
    <row r="46" spans="1:35" ht="14.25" customHeight="1">
      <c r="A46" s="6"/>
      <c r="B46" s="480" t="s">
        <v>408</v>
      </c>
      <c r="C46" s="93">
        <v>157402</v>
      </c>
      <c r="D46" s="93">
        <v>62607</v>
      </c>
      <c r="E46" s="482">
        <f t="shared" si="2"/>
        <v>0.39775225219501659</v>
      </c>
      <c r="F46" s="94"/>
      <c r="G46" s="95"/>
      <c r="H46" s="6"/>
      <c r="I46" s="6"/>
      <c r="J46" s="6"/>
      <c r="K46" s="97"/>
      <c r="N46"/>
      <c r="O46"/>
      <c r="AE46" s="49"/>
      <c r="AF46" s="5"/>
    </row>
    <row r="47" spans="1:35" ht="14.25" customHeight="1">
      <c r="A47" s="6"/>
      <c r="B47" s="480" t="s">
        <v>409</v>
      </c>
      <c r="C47" s="93">
        <v>29753</v>
      </c>
      <c r="D47" s="93">
        <v>19169.919999999998</v>
      </c>
      <c r="E47" s="482">
        <f t="shared" si="2"/>
        <v>0.64430208718448556</v>
      </c>
      <c r="F47" s="94"/>
      <c r="G47" s="95"/>
      <c r="H47" s="6"/>
      <c r="I47" s="6"/>
      <c r="J47" s="6"/>
      <c r="K47" s="97"/>
      <c r="N47"/>
      <c r="O47"/>
      <c r="AE47" s="49"/>
      <c r="AF47" s="5"/>
    </row>
    <row r="48" spans="1:35" ht="14.25" customHeight="1">
      <c r="A48" s="6"/>
      <c r="B48" s="480" t="s">
        <v>410</v>
      </c>
      <c r="C48" s="93">
        <v>610188</v>
      </c>
      <c r="D48" s="93">
        <v>537299</v>
      </c>
      <c r="E48" s="482">
        <f t="shared" si="2"/>
        <v>0.88054665119602482</v>
      </c>
      <c r="F48" s="94"/>
      <c r="G48" s="95"/>
      <c r="H48" s="6"/>
      <c r="I48" s="6"/>
      <c r="J48" s="6"/>
      <c r="K48" s="97"/>
      <c r="N48"/>
      <c r="O48"/>
      <c r="AE48" s="49"/>
      <c r="AF48" s="5"/>
    </row>
    <row r="49" spans="1:35">
      <c r="A49" s="6"/>
      <c r="B49" s="480"/>
      <c r="C49" s="93"/>
      <c r="D49" s="93"/>
      <c r="E49" s="93"/>
      <c r="F49" s="99"/>
      <c r="G49" s="98"/>
      <c r="H49" s="98"/>
      <c r="I49" s="98"/>
      <c r="J49" s="98"/>
      <c r="K49" s="49"/>
      <c r="N49"/>
      <c r="O49"/>
      <c r="AE49" s="5"/>
      <c r="AF49" s="5"/>
    </row>
    <row r="50" spans="1:35" ht="15.75" thickBot="1">
      <c r="A50" s="6"/>
      <c r="B50" s="100"/>
      <c r="C50" s="93"/>
      <c r="D50" s="93"/>
      <c r="E50" s="93"/>
      <c r="F50" s="98"/>
      <c r="G50" s="98"/>
      <c r="H50" s="98"/>
      <c r="I50" s="98"/>
      <c r="J50" s="98"/>
      <c r="K50" s="49"/>
      <c r="N50"/>
      <c r="O50"/>
      <c r="AE50" s="5"/>
      <c r="AF50" s="5"/>
    </row>
    <row r="51" spans="1:35" ht="15.75" thickBot="1">
      <c r="A51" s="6"/>
      <c r="B51" s="101" t="s">
        <v>102</v>
      </c>
      <c r="C51" s="102">
        <f>SUM(C39:C49)</f>
        <v>2556011</v>
      </c>
      <c r="D51" s="481">
        <f>SUM(D39:D49)</f>
        <v>1356495.97</v>
      </c>
      <c r="E51" s="482">
        <f t="shared" ref="E51" si="3">+D51/C51</f>
        <v>0.53070818944049925</v>
      </c>
      <c r="F51" s="536" t="str">
        <f ca="1">+IF((ROUND(C51,0)=ROUND(OFFSET(B33,0,RIGHT('Introducción de datos'!$C$16,LEN('Introducción de datos'!$C$16)-1),1,1),0)),"OK: Datos corresponden","Atención: Datos no corresponden")</f>
        <v>OK: Datos corresponden</v>
      </c>
      <c r="G51" s="536"/>
      <c r="H51" s="536"/>
      <c r="I51" s="536"/>
      <c r="J51" s="103"/>
      <c r="K51" s="103"/>
      <c r="L51" s="103"/>
      <c r="M51" s="81"/>
      <c r="N51" s="82"/>
      <c r="O51" s="62"/>
      <c r="P51" s="60"/>
      <c r="AE51" s="5"/>
      <c r="AF51" s="5"/>
    </row>
    <row r="52" spans="1:35">
      <c r="A52" s="6"/>
      <c r="B52" s="6"/>
      <c r="C52" s="103"/>
      <c r="D52" s="103"/>
      <c r="E52" s="104"/>
      <c r="F52" s="103"/>
      <c r="G52" s="103"/>
      <c r="H52" s="103"/>
      <c r="I52" s="103"/>
      <c r="J52" s="103"/>
      <c r="K52" s="103"/>
      <c r="L52" s="103"/>
      <c r="M52" s="103"/>
      <c r="N52" s="103"/>
      <c r="O52" s="103"/>
      <c r="P52" s="81"/>
      <c r="Q52" s="82"/>
      <c r="R52" s="62"/>
      <c r="S52" s="60"/>
    </row>
    <row r="53" spans="1:35" ht="18.75">
      <c r="A53" s="6"/>
      <c r="B53" s="59" t="s">
        <v>103</v>
      </c>
      <c r="C53" s="6"/>
      <c r="D53" s="6"/>
      <c r="E53" s="6"/>
      <c r="F53" s="6"/>
      <c r="G53" s="6"/>
      <c r="H53" s="6"/>
      <c r="I53" s="6"/>
      <c r="J53" s="6"/>
      <c r="K53" s="6"/>
      <c r="L53" s="6"/>
      <c r="M53" s="6"/>
      <c r="P53" s="60"/>
      <c r="Q53" s="61"/>
      <c r="R53" s="62">
        <f>+J33</f>
        <v>0</v>
      </c>
      <c r="S53" s="60"/>
    </row>
    <row r="54" spans="1:35">
      <c r="A54" s="6"/>
      <c r="B54" s="6"/>
      <c r="C54" s="95"/>
      <c r="D54" s="6"/>
      <c r="E54" s="6"/>
      <c r="F54" s="6"/>
      <c r="G54" s="6"/>
      <c r="H54" s="6"/>
      <c r="I54" s="6"/>
      <c r="J54" s="6"/>
      <c r="K54" s="6"/>
      <c r="L54" s="6"/>
      <c r="M54" s="6"/>
      <c r="P54" s="60"/>
      <c r="Q54" s="61"/>
      <c r="R54" s="62">
        <f>+K33</f>
        <v>0</v>
      </c>
      <c r="S54" s="60"/>
    </row>
    <row r="55" spans="1:35" ht="35.25" customHeight="1">
      <c r="A55" s="6"/>
      <c r="B55" s="105"/>
      <c r="C55" s="106" t="s">
        <v>104</v>
      </c>
      <c r="D55" s="106" t="s">
        <v>105</v>
      </c>
      <c r="E55" s="107" t="str">
        <f>CONCATENATE("Total gastado y desembolso (en ",D26,")")</f>
        <v>Total gastado y desembolso (en $)</v>
      </c>
      <c r="F55" s="6"/>
      <c r="G55" s="108"/>
      <c r="H55" s="90"/>
      <c r="I55" s="109"/>
      <c r="J55" s="109"/>
      <c r="K55" s="109"/>
      <c r="L55" s="109"/>
      <c r="M55" s="110"/>
      <c r="N55" s="110"/>
      <c r="O55" s="60"/>
      <c r="P55" s="61"/>
      <c r="Q55" s="62">
        <f>+M33</f>
        <v>0</v>
      </c>
      <c r="R55" s="60"/>
      <c r="AH55" s="49"/>
    </row>
    <row r="56" spans="1:35">
      <c r="A56" s="6"/>
      <c r="B56" s="475" t="s">
        <v>106</v>
      </c>
      <c r="C56" s="93">
        <v>2477274</v>
      </c>
      <c r="D56" s="470">
        <f>+D32</f>
        <v>78737</v>
      </c>
      <c r="E56" s="111">
        <f>SUM(C56:D56)</f>
        <v>2556011</v>
      </c>
      <c r="F56" s="6"/>
      <c r="G56" s="112"/>
      <c r="H56" s="113"/>
      <c r="I56" s="114"/>
      <c r="J56" s="115"/>
      <c r="K56" s="115"/>
      <c r="L56" s="116"/>
      <c r="M56" s="116"/>
      <c r="N56" s="116"/>
      <c r="O56" s="60"/>
      <c r="P56" s="60"/>
      <c r="Q56" s="60"/>
      <c r="R56" s="60"/>
      <c r="AH56" s="49"/>
    </row>
    <row r="57" spans="1:35" ht="30">
      <c r="A57" s="6"/>
      <c r="B57" s="475" t="s">
        <v>399</v>
      </c>
      <c r="C57" s="93"/>
      <c r="D57" s="470">
        <v>18429.509999999998</v>
      </c>
      <c r="E57" s="111">
        <f t="shared" ref="E57:E58" si="4">SUM(C57:D57)</f>
        <v>18429.509999999998</v>
      </c>
      <c r="F57" s="6"/>
      <c r="G57" s="112"/>
      <c r="H57" s="113"/>
      <c r="I57" s="114"/>
      <c r="J57" s="115"/>
      <c r="K57" s="115"/>
      <c r="L57" s="116"/>
      <c r="M57" s="116"/>
      <c r="N57" s="116"/>
      <c r="O57" s="60"/>
      <c r="P57" s="60"/>
      <c r="Q57" s="60"/>
      <c r="R57" s="60"/>
      <c r="AH57" s="49"/>
    </row>
    <row r="58" spans="1:35">
      <c r="A58" s="6"/>
      <c r="B58" s="475" t="s">
        <v>107</v>
      </c>
      <c r="C58" s="93">
        <v>33165.99</v>
      </c>
      <c r="D58" s="470">
        <f>1356558.9-33165.99</f>
        <v>1323392.9099999999</v>
      </c>
      <c r="E58" s="111">
        <f t="shared" si="4"/>
        <v>1356558.9</v>
      </c>
      <c r="F58" s="95"/>
      <c r="G58" s="117"/>
      <c r="H58" s="113"/>
      <c r="I58" s="114"/>
      <c r="J58" s="115"/>
      <c r="K58" s="115"/>
      <c r="L58" s="116"/>
      <c r="M58" s="118"/>
      <c r="N58" s="118"/>
      <c r="O58" s="60"/>
      <c r="P58" s="60"/>
      <c r="Q58" s="60"/>
      <c r="R58" s="60"/>
      <c r="AH58" s="49"/>
    </row>
    <row r="59" spans="1:35">
      <c r="A59" s="6"/>
      <c r="B59" s="475" t="s">
        <v>108</v>
      </c>
      <c r="C59" s="93">
        <v>1716064.92</v>
      </c>
      <c r="D59" s="471">
        <v>318790</v>
      </c>
      <c r="E59" s="472">
        <f>+D59</f>
        <v>318790</v>
      </c>
      <c r="F59" s="6"/>
      <c r="G59" s="112"/>
      <c r="H59" s="113"/>
      <c r="I59" s="114"/>
      <c r="J59" s="115"/>
      <c r="K59" s="115"/>
      <c r="L59" s="116"/>
      <c r="M59" s="116"/>
      <c r="N59" s="116"/>
      <c r="O59"/>
      <c r="AH59" s="49"/>
    </row>
    <row r="60" spans="1:35">
      <c r="A60" s="6"/>
      <c r="B60" s="119" t="s">
        <v>416</v>
      </c>
      <c r="C60" s="93">
        <f>+C56-C58</f>
        <v>2444108.0099999998</v>
      </c>
      <c r="D60" s="473">
        <f>+C60+D56-D58+D57</f>
        <v>1217881.6099999999</v>
      </c>
      <c r="E60" s="472">
        <f>+E56+E57-E58</f>
        <v>1217881.6099999999</v>
      </c>
      <c r="F60" s="120"/>
      <c r="G60" s="537"/>
      <c r="H60" s="537"/>
      <c r="I60" s="121"/>
      <c r="J60" s="121"/>
      <c r="K60" s="121"/>
      <c r="L60" s="116"/>
      <c r="M60" s="118"/>
      <c r="N60" s="118"/>
      <c r="O60"/>
      <c r="AH60" s="49"/>
    </row>
    <row r="61" spans="1:35" ht="15.75" customHeight="1">
      <c r="A61" s="6"/>
      <c r="B61" s="6"/>
      <c r="C61" s="6"/>
      <c r="D61" s="6"/>
      <c r="E61" s="122"/>
      <c r="F61" s="123"/>
      <c r="G61" s="6"/>
      <c r="H61" s="6"/>
      <c r="I61" s="6"/>
      <c r="J61" s="6"/>
      <c r="K61" s="6"/>
      <c r="L61" s="6"/>
      <c r="M61" s="6"/>
      <c r="AI61" s="49"/>
    </row>
    <row r="62" spans="1:35">
      <c r="A62" s="6"/>
      <c r="B62" s="6"/>
      <c r="C62" s="6"/>
      <c r="D62" s="122"/>
      <c r="E62" s="124"/>
      <c r="F62" s="6"/>
      <c r="G62" s="6"/>
      <c r="H62" s="6"/>
      <c r="I62" s="6"/>
      <c r="J62" s="6"/>
      <c r="K62" s="6"/>
      <c r="L62" s="6"/>
      <c r="M62" s="6"/>
    </row>
    <row r="63" spans="1:35" ht="18.75">
      <c r="A63" s="6"/>
      <c r="B63" s="59" t="s">
        <v>109</v>
      </c>
      <c r="C63" s="6"/>
      <c r="D63" s="6"/>
      <c r="E63" s="125"/>
      <c r="F63" s="6"/>
      <c r="G63" s="6"/>
      <c r="H63" s="6"/>
      <c r="I63" s="6"/>
      <c r="J63" s="6"/>
      <c r="K63" s="6"/>
      <c r="L63" s="6"/>
      <c r="M63" s="6"/>
    </row>
    <row r="64" spans="1:35">
      <c r="A64" s="6"/>
      <c r="B64" s="6"/>
      <c r="C64" s="6"/>
      <c r="D64" s="6"/>
      <c r="E64" s="6"/>
      <c r="F64" s="6"/>
      <c r="G64" s="6"/>
      <c r="H64" s="6"/>
      <c r="I64" s="6"/>
      <c r="J64" s="6"/>
      <c r="K64" s="6"/>
      <c r="L64" s="6"/>
      <c r="M64" s="6"/>
    </row>
    <row r="65" spans="1:30" ht="15" customHeight="1">
      <c r="A65" s="6"/>
      <c r="B65" s="538" t="s">
        <v>110</v>
      </c>
      <c r="C65" s="538"/>
      <c r="D65" s="538"/>
      <c r="E65" s="6"/>
      <c r="F65" s="6"/>
      <c r="G65" s="6"/>
      <c r="H65" s="6"/>
      <c r="I65" s="6"/>
      <c r="J65" s="6"/>
      <c r="K65" s="6"/>
      <c r="L65" s="6"/>
      <c r="M65" s="5"/>
      <c r="O65"/>
    </row>
    <row r="66" spans="1:30">
      <c r="A66" s="6"/>
      <c r="B66" s="126"/>
      <c r="C66" s="127" t="s">
        <v>111</v>
      </c>
      <c r="D66" s="128" t="s">
        <v>112</v>
      </c>
      <c r="E66" s="6"/>
      <c r="F66" s="6"/>
      <c r="G66" s="6"/>
      <c r="H66" s="6"/>
      <c r="I66" s="6"/>
      <c r="J66" s="6"/>
      <c r="K66" s="6"/>
      <c r="L66" s="6"/>
      <c r="M66" s="5"/>
      <c r="O66"/>
    </row>
    <row r="67" spans="1:30" ht="29.25" customHeight="1">
      <c r="A67" s="6"/>
      <c r="B67" s="474" t="s">
        <v>113</v>
      </c>
      <c r="C67" s="129">
        <v>60</v>
      </c>
      <c r="D67" s="130">
        <v>60</v>
      </c>
      <c r="E67" s="6"/>
      <c r="F67" s="6"/>
      <c r="G67" s="6"/>
      <c r="H67" s="6"/>
      <c r="I67" s="6"/>
      <c r="J67" s="6"/>
      <c r="K67" s="6"/>
      <c r="L67" s="6"/>
      <c r="M67" s="5"/>
      <c r="O67"/>
    </row>
    <row r="68" spans="1:30">
      <c r="A68" s="6"/>
      <c r="B68" s="131" t="s">
        <v>114</v>
      </c>
      <c r="C68" s="129"/>
      <c r="D68" s="130"/>
      <c r="E68" s="6"/>
      <c r="F68" s="6"/>
      <c r="G68" s="6"/>
      <c r="H68" s="113"/>
      <c r="I68" s="113"/>
      <c r="J68" s="6"/>
      <c r="K68" s="6"/>
      <c r="L68" s="6"/>
      <c r="M68" s="5"/>
      <c r="O68"/>
    </row>
    <row r="69" spans="1:30">
      <c r="A69" s="6"/>
      <c r="B69" s="132" t="s">
        <v>115</v>
      </c>
      <c r="C69" s="133"/>
      <c r="D69" s="134"/>
      <c r="E69" s="6"/>
      <c r="F69" s="6"/>
      <c r="G69" s="6"/>
      <c r="H69" s="113"/>
      <c r="I69" s="113"/>
      <c r="J69" s="6"/>
      <c r="K69" s="6"/>
      <c r="L69" s="6"/>
      <c r="M69" s="5"/>
      <c r="O69"/>
    </row>
    <row r="70" spans="1:30">
      <c r="A70" s="6"/>
      <c r="B70" s="6"/>
      <c r="C70" s="6"/>
      <c r="D70" s="6"/>
      <c r="E70" s="6"/>
      <c r="F70" s="6"/>
      <c r="G70" s="6"/>
      <c r="H70" s="6"/>
      <c r="I70" s="6"/>
      <c r="J70" s="6"/>
      <c r="K70" s="6"/>
      <c r="L70" s="6"/>
      <c r="M70" s="6"/>
    </row>
    <row r="71" spans="1:30">
      <c r="A71" s="6"/>
      <c r="B71" s="6"/>
      <c r="C71" s="6"/>
      <c r="D71" s="6"/>
      <c r="E71" s="6"/>
      <c r="F71" s="6"/>
      <c r="G71" s="6"/>
      <c r="H71" s="6"/>
      <c r="I71" s="6"/>
      <c r="J71" s="6"/>
      <c r="K71" s="6"/>
      <c r="L71" s="135"/>
      <c r="M71" s="6"/>
      <c r="AC71" s="10"/>
      <c r="AD71" s="10"/>
    </row>
    <row r="72" spans="1:30" ht="18.75">
      <c r="A72" s="6"/>
      <c r="B72" s="136" t="s">
        <v>116</v>
      </c>
      <c r="C72" s="137"/>
      <c r="D72" s="137"/>
      <c r="E72" s="137"/>
      <c r="F72" s="137"/>
      <c r="G72" s="137"/>
      <c r="H72" s="138" t="s">
        <v>117</v>
      </c>
      <c r="I72" s="137"/>
      <c r="J72" s="139"/>
      <c r="K72" s="139"/>
      <c r="L72" s="140"/>
      <c r="M72" s="141"/>
      <c r="N72" s="142"/>
      <c r="O72" s="142"/>
      <c r="P72" s="142"/>
      <c r="S72" s="55"/>
      <c r="AC72" s="10"/>
      <c r="AD72" s="10"/>
    </row>
    <row r="73" spans="1:30" ht="18.75">
      <c r="A73" s="6"/>
      <c r="B73" s="143"/>
      <c r="C73" s="144"/>
      <c r="D73" s="144"/>
      <c r="E73" s="144"/>
      <c r="F73" s="144"/>
      <c r="G73" s="144"/>
      <c r="H73" s="144"/>
      <c r="I73" s="144"/>
      <c r="J73" s="144"/>
      <c r="K73" s="145"/>
      <c r="L73" s="145"/>
      <c r="M73" s="144"/>
      <c r="N73" s="142"/>
      <c r="O73" s="142"/>
      <c r="P73" s="142"/>
      <c r="S73" s="55"/>
      <c r="AC73" s="10"/>
      <c r="AD73" s="10"/>
    </row>
    <row r="74" spans="1:30" ht="18.75">
      <c r="A74" s="6"/>
      <c r="B74" s="146" t="s">
        <v>118</v>
      </c>
      <c r="C74" s="147"/>
      <c r="D74" s="147"/>
      <c r="E74" s="147"/>
      <c r="F74" s="144"/>
      <c r="G74" s="144"/>
      <c r="H74" s="144"/>
      <c r="I74" s="144"/>
      <c r="J74" s="144"/>
      <c r="K74" s="145"/>
      <c r="L74" s="145"/>
      <c r="M74" s="144"/>
      <c r="N74" s="142"/>
      <c r="O74" s="142"/>
      <c r="P74" s="142"/>
      <c r="S74" s="55"/>
      <c r="AC74" s="10"/>
      <c r="AD74" s="10"/>
    </row>
    <row r="75" spans="1:30">
      <c r="A75" s="6"/>
      <c r="B75" s="148"/>
      <c r="C75" s="149"/>
      <c r="D75" s="149"/>
      <c r="E75" s="149"/>
      <c r="F75" s="149"/>
      <c r="G75" s="149"/>
      <c r="H75" s="148"/>
      <c r="I75" s="149"/>
      <c r="J75" s="148"/>
      <c r="K75" s="148"/>
      <c r="L75" s="148"/>
      <c r="M75" s="148"/>
      <c r="N75" s="49"/>
      <c r="O75" s="10"/>
      <c r="P75" s="10"/>
      <c r="Q75" s="10"/>
      <c r="R75" s="10"/>
      <c r="S75" s="10"/>
      <c r="AD75" s="10"/>
    </row>
    <row r="76" spans="1:30" ht="69.75" customHeight="1">
      <c r="A76" s="6"/>
      <c r="B76" s="539"/>
      <c r="C76" s="539"/>
      <c r="D76" s="150" t="s">
        <v>119</v>
      </c>
      <c r="E76" s="151" t="s">
        <v>120</v>
      </c>
      <c r="F76" s="151" t="s">
        <v>121</v>
      </c>
      <c r="G76" s="152" t="s">
        <v>102</v>
      </c>
      <c r="H76" s="153"/>
      <c r="I76" s="154"/>
      <c r="J76" s="98"/>
      <c r="K76" s="148"/>
      <c r="L76" s="148"/>
      <c r="M76" s="148"/>
      <c r="N76" s="49"/>
      <c r="O76" s="10"/>
      <c r="P76" s="10"/>
      <c r="Q76" s="10"/>
      <c r="R76" s="10"/>
      <c r="S76" s="10"/>
    </row>
    <row r="77" spans="1:30">
      <c r="A77" s="6"/>
      <c r="B77" s="540" t="s">
        <v>122</v>
      </c>
      <c r="C77" s="540"/>
      <c r="D77" s="156">
        <v>3</v>
      </c>
      <c r="E77" s="156">
        <v>0</v>
      </c>
      <c r="F77" s="156">
        <v>0</v>
      </c>
      <c r="G77" s="157">
        <f t="shared" ref="G77:G78" si="5">SUM(D77:F77)</f>
        <v>3</v>
      </c>
      <c r="H77" s="99"/>
      <c r="I77" s="158"/>
      <c r="J77" s="158"/>
      <c r="K77" s="148"/>
      <c r="L77" s="148"/>
      <c r="M77" s="148"/>
      <c r="N77" s="49"/>
      <c r="O77" s="10"/>
      <c r="P77" s="10"/>
      <c r="Q77" s="10"/>
      <c r="R77" s="10"/>
      <c r="S77" s="10"/>
    </row>
    <row r="78" spans="1:30" ht="15.75" customHeight="1">
      <c r="A78" s="6"/>
      <c r="B78" s="541" t="s">
        <v>123</v>
      </c>
      <c r="C78" s="541"/>
      <c r="D78" s="160">
        <v>13</v>
      </c>
      <c r="E78" s="160">
        <v>0</v>
      </c>
      <c r="F78" s="160">
        <v>0</v>
      </c>
      <c r="G78" s="161">
        <f t="shared" si="5"/>
        <v>13</v>
      </c>
      <c r="H78" s="99"/>
      <c r="I78" s="98"/>
      <c r="J78" s="98"/>
      <c r="K78" s="148"/>
      <c r="L78" s="148"/>
      <c r="M78" s="148"/>
      <c r="N78" s="10"/>
      <c r="O78" s="10"/>
      <c r="P78" s="10"/>
      <c r="Q78" s="10"/>
      <c r="R78" s="10"/>
      <c r="S78" s="10"/>
    </row>
    <row r="79" spans="1:30">
      <c r="A79" s="6"/>
      <c r="B79" s="148"/>
      <c r="C79" s="148"/>
      <c r="D79" s="148" t="s">
        <v>124</v>
      </c>
      <c r="E79" s="148"/>
      <c r="F79" s="148"/>
      <c r="G79" s="148"/>
      <c r="H79" s="148"/>
      <c r="I79" s="148"/>
      <c r="J79" s="148"/>
      <c r="K79" s="148"/>
      <c r="L79" s="148"/>
      <c r="M79" s="148"/>
      <c r="N79" s="10"/>
      <c r="O79" s="10"/>
      <c r="P79" s="10"/>
      <c r="Q79" s="10"/>
      <c r="R79" s="10"/>
      <c r="S79" s="10"/>
    </row>
    <row r="80" spans="1:30">
      <c r="A80" s="6"/>
      <c r="B80" s="148"/>
      <c r="C80" s="148"/>
      <c r="D80" s="148"/>
      <c r="E80" s="148"/>
      <c r="F80" s="148"/>
      <c r="G80" s="148"/>
      <c r="H80" s="148"/>
      <c r="I80" s="148"/>
      <c r="J80" s="148"/>
      <c r="K80" s="148"/>
      <c r="L80" s="148"/>
      <c r="M80" s="148"/>
      <c r="N80" s="10"/>
      <c r="O80" s="10"/>
      <c r="P80" s="10"/>
      <c r="S80" s="10"/>
    </row>
    <row r="81" spans="1:36" ht="18.75">
      <c r="A81" s="6"/>
      <c r="B81" s="146" t="s">
        <v>125</v>
      </c>
      <c r="C81" s="162"/>
      <c r="D81" s="162"/>
      <c r="E81" s="148"/>
      <c r="F81" s="148"/>
      <c r="G81" s="148"/>
      <c r="H81" s="148"/>
      <c r="I81" s="148"/>
      <c r="J81" s="148"/>
      <c r="K81" s="148"/>
      <c r="L81" s="148"/>
      <c r="M81" s="148"/>
      <c r="N81" s="10"/>
      <c r="O81" s="10"/>
      <c r="P81" s="10"/>
      <c r="S81" s="10"/>
    </row>
    <row r="82" spans="1:36">
      <c r="A82" s="6"/>
      <c r="B82" s="148"/>
      <c r="C82" s="148"/>
      <c r="D82" s="148"/>
      <c r="E82" s="148"/>
      <c r="F82" s="148"/>
      <c r="G82" s="148"/>
      <c r="H82" s="148"/>
      <c r="I82" s="148"/>
      <c r="J82" s="148"/>
      <c r="K82" s="148"/>
      <c r="L82" s="148"/>
      <c r="M82" s="148"/>
      <c r="N82" s="10"/>
      <c r="O82" s="10"/>
      <c r="P82" s="10"/>
      <c r="S82" s="10"/>
    </row>
    <row r="83" spans="1:36">
      <c r="A83" s="6"/>
      <c r="B83" s="163"/>
      <c r="C83" s="164" t="s">
        <v>126</v>
      </c>
      <c r="D83" s="164" t="s">
        <v>127</v>
      </c>
      <c r="E83" s="165" t="s">
        <v>128</v>
      </c>
      <c r="F83" s="98"/>
      <c r="G83" s="98"/>
      <c r="H83" s="98"/>
      <c r="I83" s="154"/>
      <c r="J83" s="148"/>
      <c r="K83" s="148"/>
      <c r="L83" s="148"/>
      <c r="M83" s="148"/>
      <c r="N83" s="10"/>
      <c r="O83" s="10"/>
      <c r="P83" s="10"/>
      <c r="S83" s="10"/>
    </row>
    <row r="84" spans="1:36">
      <c r="A84" s="6"/>
      <c r="B84" s="159" t="s">
        <v>129</v>
      </c>
      <c r="C84" s="166">
        <v>0</v>
      </c>
      <c r="D84" s="166">
        <v>0</v>
      </c>
      <c r="E84" s="167">
        <f>+C84-D84</f>
        <v>0</v>
      </c>
      <c r="F84" s="168"/>
      <c r="G84" s="169"/>
      <c r="H84" s="98"/>
      <c r="I84" s="158"/>
      <c r="J84" s="148"/>
      <c r="K84" s="148"/>
      <c r="L84" s="148"/>
      <c r="M84" s="148"/>
      <c r="N84" s="10"/>
      <c r="O84" s="10"/>
      <c r="P84" s="10"/>
      <c r="S84" s="10"/>
    </row>
    <row r="85" spans="1:36">
      <c r="A85" s="6"/>
      <c r="B85" s="148"/>
      <c r="C85" s="148"/>
      <c r="D85" s="148"/>
      <c r="E85" s="148"/>
      <c r="F85" s="148"/>
      <c r="G85" s="148"/>
      <c r="H85" s="148"/>
      <c r="I85" s="148"/>
      <c r="J85" s="148"/>
      <c r="K85" s="148"/>
      <c r="L85" s="148"/>
      <c r="M85" s="148"/>
      <c r="N85" s="10"/>
      <c r="O85" s="10"/>
      <c r="P85" s="10"/>
      <c r="S85" s="10"/>
    </row>
    <row r="86" spans="1:36" ht="18.75">
      <c r="A86" s="6"/>
      <c r="B86" s="146" t="s">
        <v>130</v>
      </c>
      <c r="C86" s="162"/>
      <c r="D86" s="148"/>
      <c r="E86" s="148"/>
      <c r="F86" s="148"/>
      <c r="G86" s="148"/>
      <c r="H86" s="148"/>
      <c r="I86" s="148"/>
      <c r="J86" s="148"/>
      <c r="K86" s="148"/>
      <c r="L86" s="148"/>
      <c r="M86" s="148"/>
      <c r="N86" s="10"/>
      <c r="O86" s="10"/>
      <c r="P86" s="10"/>
      <c r="S86" s="10"/>
    </row>
    <row r="87" spans="1:36">
      <c r="A87" s="6"/>
      <c r="B87" s="148"/>
      <c r="C87" s="148"/>
      <c r="D87" s="148"/>
      <c r="E87" s="148"/>
      <c r="F87" s="148"/>
      <c r="G87" s="148"/>
      <c r="H87" s="148"/>
      <c r="I87" s="148"/>
      <c r="J87" s="148"/>
      <c r="K87" s="148"/>
      <c r="L87" s="148"/>
      <c r="M87" s="148"/>
      <c r="N87" s="10"/>
      <c r="O87" s="10"/>
      <c r="P87" s="10"/>
      <c r="S87" s="10"/>
    </row>
    <row r="88" spans="1:36" ht="30">
      <c r="A88" s="6"/>
      <c r="B88" s="163"/>
      <c r="C88" s="164" t="s">
        <v>131</v>
      </c>
      <c r="D88" s="164" t="s">
        <v>132</v>
      </c>
      <c r="E88" s="164" t="s">
        <v>133</v>
      </c>
      <c r="F88" s="164" t="s">
        <v>134</v>
      </c>
      <c r="G88" s="170" t="s">
        <v>135</v>
      </c>
      <c r="H88" s="171"/>
      <c r="I88" s="154"/>
      <c r="J88" s="148"/>
      <c r="K88" s="148"/>
      <c r="L88" s="148"/>
      <c r="M88" s="148"/>
      <c r="N88" s="10"/>
      <c r="O88" s="10"/>
      <c r="P88" s="10"/>
      <c r="S88" s="10"/>
    </row>
    <row r="89" spans="1:36">
      <c r="A89" s="6"/>
      <c r="B89" s="159" t="s">
        <v>136</v>
      </c>
      <c r="C89" s="166" t="s">
        <v>137</v>
      </c>
      <c r="D89" s="166" t="s">
        <v>137</v>
      </c>
      <c r="E89" s="166" t="s">
        <v>137</v>
      </c>
      <c r="F89" s="166" t="s">
        <v>137</v>
      </c>
      <c r="G89" s="172" t="s">
        <v>137</v>
      </c>
      <c r="H89" s="173"/>
      <c r="I89" s="99"/>
      <c r="J89" s="148"/>
      <c r="K89" s="148"/>
      <c r="L89" s="148"/>
      <c r="M89" s="148"/>
      <c r="N89" s="10"/>
      <c r="O89" s="10"/>
      <c r="P89" s="10"/>
      <c r="S89" s="10"/>
    </row>
    <row r="90" spans="1:36">
      <c r="A90" s="6"/>
      <c r="B90" s="148"/>
      <c r="C90" s="148"/>
      <c r="D90" s="148"/>
      <c r="E90" s="148"/>
      <c r="F90" s="148"/>
      <c r="G90" s="148"/>
      <c r="H90" s="148"/>
      <c r="J90" s="148"/>
      <c r="K90" s="148"/>
      <c r="L90" s="148"/>
      <c r="M90" s="148"/>
      <c r="N90" s="10"/>
      <c r="O90" s="10"/>
      <c r="P90" s="10"/>
      <c r="S90" s="10"/>
    </row>
    <row r="91" spans="1:36" ht="18.75">
      <c r="A91" s="6"/>
      <c r="B91" s="146" t="s">
        <v>138</v>
      </c>
      <c r="C91" s="162"/>
      <c r="D91" s="162"/>
      <c r="E91" s="148"/>
      <c r="F91" s="148"/>
      <c r="G91" s="148"/>
      <c r="H91" s="148"/>
      <c r="I91" s="148"/>
      <c r="J91" s="148"/>
      <c r="K91" s="148"/>
      <c r="L91" s="148"/>
      <c r="M91" s="148"/>
      <c r="N91" s="10"/>
      <c r="O91" s="10"/>
      <c r="P91" s="10"/>
      <c r="S91" s="10"/>
    </row>
    <row r="92" spans="1:36">
      <c r="A92" s="6"/>
      <c r="B92" s="148"/>
      <c r="C92" s="148"/>
      <c r="D92" s="148"/>
      <c r="E92" s="148"/>
      <c r="F92" s="148"/>
      <c r="G92" s="148"/>
      <c r="H92" s="148"/>
      <c r="I92" s="148"/>
      <c r="J92" s="148"/>
      <c r="K92" s="148"/>
      <c r="L92" s="148"/>
      <c r="M92" s="148"/>
      <c r="N92" s="10"/>
      <c r="O92" s="10"/>
      <c r="P92" s="10"/>
      <c r="S92" s="10"/>
    </row>
    <row r="93" spans="1:36">
      <c r="A93" s="6"/>
      <c r="B93" s="163"/>
      <c r="C93" s="174" t="s">
        <v>139</v>
      </c>
      <c r="D93" s="174" t="s">
        <v>140</v>
      </c>
      <c r="E93" s="175" t="s">
        <v>141</v>
      </c>
      <c r="F93" s="148"/>
      <c r="G93" s="148"/>
      <c r="H93" s="148"/>
      <c r="I93" s="148"/>
      <c r="J93" s="10"/>
      <c r="K93" s="10"/>
      <c r="L93" s="10"/>
      <c r="N93"/>
      <c r="O93" s="10"/>
      <c r="AG93" s="5"/>
      <c r="AJ93"/>
    </row>
    <row r="94" spans="1:36">
      <c r="A94" s="6"/>
      <c r="B94" s="155" t="s">
        <v>142</v>
      </c>
      <c r="C94" s="156" t="s">
        <v>137</v>
      </c>
      <c r="D94" s="176" t="s">
        <v>137</v>
      </c>
      <c r="E94" s="177" t="s">
        <v>137</v>
      </c>
      <c r="F94" s="148"/>
      <c r="G94" s="148"/>
      <c r="H94" s="148"/>
      <c r="I94" s="148"/>
      <c r="J94" s="10"/>
      <c r="K94" s="10"/>
      <c r="L94" s="10"/>
      <c r="N94"/>
      <c r="O94" s="10"/>
      <c r="AG94" s="5"/>
      <c r="AJ94"/>
    </row>
    <row r="95" spans="1:36">
      <c r="A95" s="6"/>
      <c r="B95" s="159" t="s">
        <v>143</v>
      </c>
      <c r="C95" s="160" t="s">
        <v>137</v>
      </c>
      <c r="D95" s="178" t="s">
        <v>137</v>
      </c>
      <c r="E95" s="177" t="s">
        <v>137</v>
      </c>
      <c r="F95" s="148"/>
      <c r="G95" s="148"/>
      <c r="H95" s="148"/>
      <c r="I95" s="148"/>
      <c r="J95" s="10"/>
      <c r="K95" s="10"/>
      <c r="L95" s="10"/>
      <c r="N95"/>
      <c r="O95" s="10"/>
      <c r="AG95" s="5"/>
      <c r="AJ95"/>
    </row>
    <row r="96" spans="1:36">
      <c r="A96" s="6"/>
      <c r="B96" s="148"/>
      <c r="C96" s="148"/>
      <c r="D96" s="148"/>
      <c r="E96" s="148"/>
      <c r="F96" s="148"/>
      <c r="G96" s="148"/>
      <c r="H96" s="148"/>
      <c r="I96" s="148"/>
      <c r="J96" s="148"/>
      <c r="K96" s="148"/>
      <c r="L96" s="148"/>
      <c r="M96" s="148"/>
      <c r="N96" s="10"/>
      <c r="O96" s="10"/>
      <c r="P96" s="10"/>
      <c r="S96" s="10"/>
    </row>
    <row r="97" spans="1:19" ht="18.75">
      <c r="A97" s="6"/>
      <c r="B97" s="146" t="s">
        <v>144</v>
      </c>
      <c r="C97" s="162"/>
      <c r="D97" s="162"/>
      <c r="E97" s="162"/>
      <c r="F97" s="162"/>
      <c r="G97" s="162"/>
      <c r="H97" s="148"/>
      <c r="I97" s="148"/>
      <c r="J97" s="148"/>
      <c r="K97" s="148"/>
      <c r="L97" s="148"/>
      <c r="M97" s="148"/>
      <c r="N97" s="10"/>
      <c r="O97" s="10"/>
      <c r="P97" s="10"/>
      <c r="S97" s="10"/>
    </row>
    <row r="98" spans="1:19">
      <c r="A98" s="6"/>
      <c r="B98" s="148"/>
      <c r="C98" s="148"/>
      <c r="D98" s="148"/>
      <c r="E98" s="148"/>
      <c r="F98" s="148"/>
      <c r="G98" s="148"/>
      <c r="H98" s="148"/>
      <c r="I98" s="98"/>
      <c r="J98" s="98"/>
      <c r="K98" s="98"/>
      <c r="L98" s="98"/>
      <c r="M98" s="98"/>
      <c r="N98" s="49"/>
      <c r="O98" s="49"/>
      <c r="P98" s="49"/>
      <c r="S98" s="10"/>
    </row>
    <row r="99" spans="1:19">
      <c r="A99" s="6"/>
      <c r="B99" s="179"/>
      <c r="C99" s="180" t="s">
        <v>71</v>
      </c>
      <c r="D99" s="180" t="s">
        <v>88</v>
      </c>
      <c r="E99" s="180" t="s">
        <v>89</v>
      </c>
      <c r="F99" s="180" t="s">
        <v>90</v>
      </c>
      <c r="G99" s="180" t="s">
        <v>91</v>
      </c>
      <c r="H99" s="180" t="s">
        <v>92</v>
      </c>
      <c r="I99" s="180" t="s">
        <v>93</v>
      </c>
      <c r="J99" s="180" t="s">
        <v>94</v>
      </c>
      <c r="K99" s="180" t="s">
        <v>95</v>
      </c>
      <c r="L99" s="180" t="s">
        <v>96</v>
      </c>
      <c r="M99" s="180" t="s">
        <v>97</v>
      </c>
      <c r="N99" s="181" t="s">
        <v>98</v>
      </c>
      <c r="O99" s="49"/>
      <c r="P99" s="49"/>
      <c r="S99" s="10"/>
    </row>
    <row r="100" spans="1:19" ht="15" customHeight="1">
      <c r="A100" s="6"/>
      <c r="B100" s="182" t="s">
        <v>145</v>
      </c>
      <c r="C100" s="183">
        <v>1300554</v>
      </c>
      <c r="D100" s="183">
        <v>0</v>
      </c>
      <c r="E100" s="183"/>
      <c r="F100" s="183"/>
      <c r="G100" s="183"/>
      <c r="H100" s="184"/>
      <c r="I100" s="184"/>
      <c r="J100" s="184"/>
      <c r="K100" s="184"/>
      <c r="L100" s="184"/>
      <c r="M100" s="184"/>
      <c r="N100" s="184"/>
      <c r="O100" s="49"/>
      <c r="P100" s="49"/>
      <c r="S100" s="10"/>
    </row>
    <row r="101" spans="1:19" ht="15" customHeight="1">
      <c r="A101" s="6"/>
      <c r="B101" s="182" t="s">
        <v>146</v>
      </c>
      <c r="C101" s="183">
        <f>522085.14+164537.86+6869.45</f>
        <v>693492.45</v>
      </c>
      <c r="D101" s="183">
        <v>70597.47</v>
      </c>
      <c r="E101" s="183"/>
      <c r="F101" s="183"/>
      <c r="G101" s="183"/>
      <c r="H101" s="184"/>
      <c r="I101" s="184"/>
      <c r="J101" s="184"/>
      <c r="K101" s="184"/>
      <c r="L101" s="184"/>
      <c r="M101" s="184"/>
      <c r="N101" s="184"/>
      <c r="O101" s="49"/>
      <c r="P101" s="49"/>
      <c r="S101" s="10"/>
    </row>
    <row r="102" spans="1:19" ht="15" customHeight="1">
      <c r="A102" s="6"/>
      <c r="B102" s="182" t="s">
        <v>147</v>
      </c>
      <c r="C102" s="183">
        <v>0</v>
      </c>
      <c r="D102" s="183">
        <v>944260</v>
      </c>
      <c r="E102" s="183"/>
      <c r="F102" s="183"/>
      <c r="G102" s="183"/>
      <c r="H102" s="183"/>
      <c r="I102" s="184"/>
      <c r="J102" s="184"/>
      <c r="K102" s="184"/>
      <c r="L102" s="184"/>
      <c r="M102" s="184"/>
      <c r="N102" s="184"/>
      <c r="O102" s="49"/>
      <c r="P102" s="49"/>
      <c r="S102" s="10"/>
    </row>
    <row r="103" spans="1:19" ht="15" customHeight="1">
      <c r="A103" s="6"/>
      <c r="B103" s="185" t="s">
        <v>148</v>
      </c>
      <c r="C103" s="186">
        <f t="shared" ref="C103:C105" si="6">+C100</f>
        <v>1300554</v>
      </c>
      <c r="D103" s="186">
        <f>+C103+D100</f>
        <v>1300554</v>
      </c>
      <c r="E103" s="186">
        <f>+D103+E100</f>
        <v>1300554</v>
      </c>
      <c r="F103" s="186">
        <f>+E103+F100</f>
        <v>1300554</v>
      </c>
      <c r="G103" s="186">
        <f>+F103+G100</f>
        <v>1300554</v>
      </c>
      <c r="H103" s="186">
        <f>+G103+H100</f>
        <v>1300554</v>
      </c>
      <c r="I103" s="187"/>
      <c r="J103" s="187"/>
      <c r="K103" s="187"/>
      <c r="L103" s="187"/>
      <c r="M103" s="187"/>
      <c r="N103" s="187"/>
      <c r="O103" s="49"/>
      <c r="P103" s="49"/>
      <c r="S103" s="10"/>
    </row>
    <row r="104" spans="1:19" ht="15" customHeight="1">
      <c r="A104" s="6"/>
      <c r="B104" s="185" t="s">
        <v>149</v>
      </c>
      <c r="C104" s="186">
        <f t="shared" si="6"/>
        <v>693492.45</v>
      </c>
      <c r="D104" s="186">
        <f>+D101</f>
        <v>70597.47</v>
      </c>
      <c r="E104" s="186">
        <v>0</v>
      </c>
      <c r="F104" s="186">
        <v>0</v>
      </c>
      <c r="G104" s="186">
        <f>+F101+G101-G102</f>
        <v>0</v>
      </c>
      <c r="H104" s="186">
        <f>+G104-H102</f>
        <v>0</v>
      </c>
      <c r="I104" s="188"/>
      <c r="J104" s="188"/>
      <c r="K104" s="188"/>
      <c r="L104" s="188"/>
      <c r="M104" s="188"/>
      <c r="N104" s="188"/>
      <c r="O104" s="49"/>
      <c r="P104" s="49"/>
      <c r="S104" s="10"/>
    </row>
    <row r="105" spans="1:19">
      <c r="A105" s="6"/>
      <c r="B105" s="189" t="s">
        <v>150</v>
      </c>
      <c r="C105" s="186">
        <f t="shared" si="6"/>
        <v>0</v>
      </c>
      <c r="D105" s="186">
        <f t="shared" ref="D105" si="7">+C105+D102</f>
        <v>944260</v>
      </c>
      <c r="E105" s="186">
        <f>+D105+E102</f>
        <v>944260</v>
      </c>
      <c r="F105" s="186">
        <f>+E105+F102</f>
        <v>944260</v>
      </c>
      <c r="G105" s="186">
        <f>+F105+G102</f>
        <v>944260</v>
      </c>
      <c r="H105" s="186">
        <f>+G105+H102</f>
        <v>944260</v>
      </c>
      <c r="I105" s="188"/>
      <c r="J105" s="188"/>
      <c r="K105" s="188"/>
      <c r="L105" s="188"/>
      <c r="M105" s="188"/>
      <c r="N105" s="188"/>
      <c r="O105" s="49"/>
      <c r="P105" s="49"/>
      <c r="S105" s="10"/>
    </row>
    <row r="106" spans="1:19">
      <c r="A106" s="6"/>
      <c r="B106" s="6"/>
      <c r="C106" s="148"/>
      <c r="D106" s="148"/>
      <c r="E106" s="148"/>
      <c r="F106" s="148" t="s">
        <v>151</v>
      </c>
      <c r="G106" s="148"/>
      <c r="H106" s="148"/>
      <c r="I106" s="98"/>
      <c r="J106" s="190"/>
      <c r="K106" s="191"/>
      <c r="L106" s="98"/>
      <c r="M106" s="192"/>
      <c r="N106" s="49"/>
      <c r="O106" s="49"/>
      <c r="P106" s="49"/>
      <c r="S106" s="10"/>
    </row>
    <row r="107" spans="1:19">
      <c r="A107" s="6"/>
      <c r="B107" s="193" t="s">
        <v>152</v>
      </c>
      <c r="C107" s="148"/>
      <c r="D107" s="148"/>
      <c r="E107" s="148"/>
      <c r="F107" s="148"/>
      <c r="G107" s="148"/>
      <c r="H107" s="148"/>
      <c r="I107" s="98"/>
      <c r="J107" s="190"/>
      <c r="K107" s="191"/>
      <c r="L107" s="98"/>
      <c r="M107" s="192"/>
      <c r="N107" s="49"/>
      <c r="O107" s="49"/>
      <c r="P107" s="49"/>
      <c r="S107" s="10"/>
    </row>
    <row r="108" spans="1:19">
      <c r="A108" s="6"/>
      <c r="C108" s="148"/>
      <c r="D108" s="148"/>
      <c r="E108" s="148"/>
      <c r="F108" s="148"/>
      <c r="G108" s="148"/>
      <c r="H108" s="148"/>
      <c r="I108" s="98"/>
      <c r="J108" s="190"/>
      <c r="K108" s="192"/>
      <c r="L108" s="98"/>
      <c r="M108" s="192"/>
      <c r="N108" s="49"/>
      <c r="O108" s="49"/>
      <c r="P108" s="49"/>
      <c r="S108" s="10"/>
    </row>
    <row r="109" spans="1:19">
      <c r="A109" s="6"/>
      <c r="B109" s="6"/>
      <c r="C109" s="6"/>
      <c r="D109" s="6"/>
      <c r="E109" s="6"/>
      <c r="F109" s="6"/>
      <c r="G109" s="6"/>
      <c r="H109" s="6"/>
      <c r="I109" s="98"/>
      <c r="J109" s="98"/>
      <c r="K109" s="98"/>
      <c r="L109" s="98"/>
      <c r="M109" s="98"/>
      <c r="N109" s="49"/>
      <c r="O109" s="49"/>
      <c r="P109" s="49"/>
    </row>
    <row r="110" spans="1:19" ht="18.75">
      <c r="A110" s="6"/>
      <c r="B110" s="146" t="s">
        <v>153</v>
      </c>
      <c r="C110" s="194"/>
      <c r="D110" s="194"/>
      <c r="E110" s="194"/>
      <c r="F110" s="6"/>
      <c r="G110" s="6"/>
      <c r="H110" s="6"/>
      <c r="I110" s="98"/>
      <c r="J110" s="98"/>
      <c r="K110" s="98"/>
      <c r="L110" s="98"/>
      <c r="M110" s="98"/>
      <c r="N110" s="49"/>
      <c r="O110" s="49"/>
      <c r="P110" s="49"/>
    </row>
    <row r="111" spans="1:19">
      <c r="A111" s="6"/>
      <c r="B111" s="6"/>
      <c r="C111" s="98"/>
      <c r="D111" s="98"/>
      <c r="E111" s="98"/>
      <c r="F111" s="98"/>
      <c r="G111" s="148"/>
      <c r="H111" s="148"/>
      <c r="I111" s="148"/>
      <c r="J111" s="98"/>
      <c r="K111" s="148"/>
      <c r="L111" s="98"/>
      <c r="M111" s="98"/>
      <c r="N111" s="49"/>
      <c r="O111" s="49"/>
      <c r="P111" s="49"/>
      <c r="Q111" s="10"/>
      <c r="S111" s="49"/>
    </row>
    <row r="112" spans="1:19" ht="135" customHeight="1">
      <c r="A112" s="6"/>
      <c r="B112" s="195" t="s">
        <v>154</v>
      </c>
      <c r="C112" s="196" t="s">
        <v>155</v>
      </c>
      <c r="D112" s="197" t="s">
        <v>156</v>
      </c>
      <c r="E112" s="197" t="s">
        <v>157</v>
      </c>
      <c r="F112" s="198" t="s">
        <v>158</v>
      </c>
      <c r="G112" s="198" t="s">
        <v>159</v>
      </c>
      <c r="H112" s="197" t="s">
        <v>160</v>
      </c>
      <c r="I112" s="197" t="s">
        <v>161</v>
      </c>
      <c r="J112" s="197" t="s">
        <v>162</v>
      </c>
      <c r="K112" s="199" t="s">
        <v>163</v>
      </c>
      <c r="L112" s="148"/>
      <c r="M112" s="49"/>
      <c r="N112" s="49"/>
      <c r="O112" s="49"/>
      <c r="P112" s="10"/>
      <c r="R112" s="49"/>
    </row>
    <row r="113" spans="1:21" ht="49.5" customHeight="1">
      <c r="A113" s="6"/>
      <c r="B113" s="542" t="s">
        <v>164</v>
      </c>
      <c r="C113" s="200" t="s">
        <v>165</v>
      </c>
      <c r="D113" s="201">
        <v>1</v>
      </c>
      <c r="E113" s="202">
        <v>30</v>
      </c>
      <c r="F113" s="201">
        <v>3734</v>
      </c>
      <c r="G113" s="465">
        <f>E113*F113</f>
        <v>112020</v>
      </c>
      <c r="H113" s="201">
        <v>684570</v>
      </c>
      <c r="I113" s="203">
        <f>H113/G113</f>
        <v>6.1111408677021961</v>
      </c>
      <c r="J113" s="201">
        <v>3</v>
      </c>
      <c r="K113" s="203">
        <f>I113-J113</f>
        <v>3.1111408677021961</v>
      </c>
      <c r="L113" s="148"/>
      <c r="M113" s="49"/>
      <c r="N113" s="49"/>
      <c r="O113" s="49"/>
      <c r="P113" s="10"/>
      <c r="R113" s="49"/>
    </row>
    <row r="114" spans="1:21">
      <c r="A114" s="6"/>
      <c r="B114" s="542"/>
      <c r="C114" s="204"/>
      <c r="D114" s="205"/>
      <c r="E114" s="206"/>
      <c r="F114" s="207"/>
      <c r="G114" s="208"/>
      <c r="H114" s="207"/>
      <c r="I114" s="209"/>
      <c r="J114" s="201"/>
      <c r="K114" s="210"/>
      <c r="L114" s="148"/>
      <c r="M114" s="49"/>
      <c r="N114" s="49"/>
      <c r="O114" s="49"/>
      <c r="P114" s="10"/>
    </row>
    <row r="115" spans="1:21">
      <c r="A115" s="6"/>
      <c r="B115" s="6"/>
      <c r="C115" s="6"/>
      <c r="D115" s="6"/>
      <c r="E115" s="6"/>
      <c r="F115" s="6"/>
      <c r="G115" s="148"/>
      <c r="H115" s="148"/>
      <c r="I115" s="148"/>
      <c r="J115" s="6"/>
      <c r="K115" s="6"/>
      <c r="L115" s="148"/>
      <c r="M115" s="148"/>
      <c r="N115" s="49"/>
      <c r="O115" s="49"/>
      <c r="P115" s="49"/>
      <c r="Q115" s="10"/>
      <c r="S115" s="49"/>
    </row>
    <row r="116" spans="1:21">
      <c r="A116" s="6"/>
      <c r="B116" s="6"/>
      <c r="C116" s="6"/>
      <c r="D116" s="6"/>
      <c r="E116" s="6"/>
      <c r="F116" s="6"/>
      <c r="G116" s="6"/>
      <c r="H116" s="6"/>
      <c r="I116" s="148"/>
      <c r="J116" s="144"/>
      <c r="K116" s="144"/>
      <c r="L116" s="6"/>
      <c r="M116" s="6"/>
    </row>
    <row r="117" spans="1:21" ht="18.75">
      <c r="A117" s="6"/>
      <c r="B117" s="211" t="s">
        <v>166</v>
      </c>
      <c r="C117" s="212"/>
      <c r="D117" s="212"/>
      <c r="E117" s="213"/>
      <c r="F117" s="213"/>
      <c r="G117" s="213"/>
      <c r="H117" s="214"/>
      <c r="I117" s="215"/>
      <c r="J117" s="216"/>
      <c r="K117" s="217" t="s">
        <v>167</v>
      </c>
      <c r="L117" s="213"/>
      <c r="M117" s="218"/>
      <c r="N117" s="219"/>
      <c r="O117" s="219"/>
      <c r="P117" s="220"/>
      <c r="Q117" s="5"/>
    </row>
    <row r="118" spans="1:21">
      <c r="A118" s="6"/>
      <c r="B118" s="6"/>
      <c r="C118" s="6"/>
      <c r="D118" s="6"/>
      <c r="E118" s="6"/>
      <c r="F118" s="6"/>
      <c r="G118" s="6"/>
      <c r="H118" s="6"/>
      <c r="I118" s="6"/>
      <c r="J118" s="6"/>
      <c r="K118" s="6"/>
      <c r="L118" s="6"/>
      <c r="M118" s="6"/>
      <c r="N118"/>
      <c r="O118"/>
      <c r="P118" s="5"/>
      <c r="Q118" s="5"/>
    </row>
    <row r="119" spans="1:21" ht="42.6" customHeight="1">
      <c r="A119" s="6"/>
      <c r="B119" s="543" t="s">
        <v>168</v>
      </c>
      <c r="C119" s="543"/>
      <c r="D119" s="543"/>
      <c r="E119" s="221" t="s">
        <v>169</v>
      </c>
      <c r="F119" s="222" t="s">
        <v>170</v>
      </c>
      <c r="G119" s="223"/>
      <c r="H119" s="224" t="s">
        <v>71</v>
      </c>
      <c r="I119" s="224" t="s">
        <v>88</v>
      </c>
      <c r="J119" s="224" t="s">
        <v>89</v>
      </c>
      <c r="K119" s="224" t="s">
        <v>90</v>
      </c>
      <c r="L119" s="224" t="s">
        <v>91</v>
      </c>
      <c r="M119" s="224" t="s">
        <v>92</v>
      </c>
      <c r="N119" s="224" t="s">
        <v>93</v>
      </c>
      <c r="O119" s="224" t="s">
        <v>94</v>
      </c>
      <c r="P119" s="224" t="s">
        <v>95</v>
      </c>
      <c r="Q119" s="224" t="s">
        <v>96</v>
      </c>
      <c r="R119" s="224" t="s">
        <v>97</v>
      </c>
      <c r="S119" s="225" t="s">
        <v>98</v>
      </c>
      <c r="T119" s="225" t="s">
        <v>171</v>
      </c>
    </row>
    <row r="120" spans="1:21">
      <c r="A120" s="6"/>
      <c r="B120" s="226"/>
      <c r="C120" s="227"/>
      <c r="D120" s="227"/>
      <c r="E120" s="228"/>
      <c r="F120" s="229"/>
      <c r="G120" s="230"/>
      <c r="H120" s="231"/>
      <c r="I120" s="231"/>
      <c r="J120" s="231"/>
      <c r="K120" s="231"/>
      <c r="L120" s="231"/>
      <c r="M120" s="231"/>
      <c r="N120" s="231"/>
      <c r="O120" s="231"/>
      <c r="P120" s="231"/>
      <c r="Q120" s="231"/>
      <c r="R120" s="231"/>
      <c r="S120" s="232"/>
      <c r="T120" s="232"/>
    </row>
    <row r="121" spans="1:21" ht="86.1" customHeight="1">
      <c r="A121" s="531" t="s">
        <v>172</v>
      </c>
      <c r="B121" s="532" t="s">
        <v>173</v>
      </c>
      <c r="C121" s="532"/>
      <c r="D121" s="532"/>
      <c r="E121" s="544" t="s">
        <v>174</v>
      </c>
      <c r="F121" s="545" t="s">
        <v>175</v>
      </c>
      <c r="G121" s="233" t="s">
        <v>176</v>
      </c>
      <c r="H121" s="234">
        <v>10799</v>
      </c>
      <c r="I121" s="235">
        <v>10799</v>
      </c>
      <c r="J121" s="236"/>
      <c r="K121" s="237"/>
      <c r="L121" s="234"/>
      <c r="M121" s="234"/>
      <c r="N121"/>
      <c r="O121" s="238"/>
      <c r="P121" s="238"/>
      <c r="Q121" s="238"/>
      <c r="R121" s="238"/>
      <c r="S121" s="239"/>
      <c r="T121" s="546" t="s">
        <v>177</v>
      </c>
      <c r="U121" t="s">
        <v>178</v>
      </c>
    </row>
    <row r="122" spans="1:21" ht="103.15" customHeight="1">
      <c r="A122" s="531"/>
      <c r="B122" s="532"/>
      <c r="C122" s="532"/>
      <c r="D122" s="532"/>
      <c r="E122" s="544"/>
      <c r="F122" s="545"/>
      <c r="G122" s="233" t="s">
        <v>179</v>
      </c>
      <c r="H122" s="234">
        <v>9076</v>
      </c>
      <c r="I122" s="235">
        <v>9208</v>
      </c>
      <c r="J122" s="236"/>
      <c r="K122" s="237"/>
      <c r="L122" s="234"/>
      <c r="M122" s="234"/>
      <c r="N122"/>
      <c r="O122" s="238"/>
      <c r="P122" s="238"/>
      <c r="Q122" s="238"/>
      <c r="R122" s="238"/>
      <c r="S122" s="239"/>
      <c r="T122" s="546"/>
    </row>
    <row r="123" spans="1:21" ht="133.69999999999999" customHeight="1">
      <c r="A123" s="531"/>
      <c r="B123" s="532" t="s">
        <v>180</v>
      </c>
      <c r="C123" s="532"/>
      <c r="D123" s="532"/>
      <c r="E123" s="544" t="s">
        <v>174</v>
      </c>
      <c r="F123" s="545" t="s">
        <v>175</v>
      </c>
      <c r="G123" s="233" t="s">
        <v>176</v>
      </c>
      <c r="H123" s="234">
        <v>14618</v>
      </c>
      <c r="I123" s="235">
        <v>14618</v>
      </c>
      <c r="J123" s="236"/>
      <c r="K123" s="237"/>
      <c r="L123" s="234"/>
      <c r="M123" s="240"/>
      <c r="N123"/>
      <c r="O123" s="238"/>
      <c r="P123" s="238"/>
      <c r="Q123" s="238"/>
      <c r="R123" s="238"/>
      <c r="S123" s="239"/>
      <c r="T123" s="547" t="s">
        <v>181</v>
      </c>
    </row>
    <row r="124" spans="1:21" ht="152.65" customHeight="1">
      <c r="A124" s="531"/>
      <c r="B124" s="532"/>
      <c r="C124" s="532"/>
      <c r="D124" s="532"/>
      <c r="E124" s="544"/>
      <c r="F124" s="545"/>
      <c r="G124" s="233" t="s">
        <v>179</v>
      </c>
      <c r="H124" s="234">
        <v>4234</v>
      </c>
      <c r="I124" s="235">
        <v>15863</v>
      </c>
      <c r="J124" s="236"/>
      <c r="K124" s="237"/>
      <c r="L124" s="234"/>
      <c r="M124" s="240"/>
      <c r="N124"/>
      <c r="O124" s="238"/>
      <c r="P124" s="238"/>
      <c r="Q124" s="238"/>
      <c r="R124" s="238"/>
      <c r="S124" s="239"/>
      <c r="T124" s="547"/>
    </row>
    <row r="125" spans="1:21" ht="85.5" customHeight="1">
      <c r="A125" s="6"/>
      <c r="B125" s="548" t="s">
        <v>182</v>
      </c>
      <c r="C125" s="548"/>
      <c r="D125" s="548"/>
      <c r="E125" s="544" t="s">
        <v>183</v>
      </c>
      <c r="F125" s="545" t="s">
        <v>175</v>
      </c>
      <c r="G125" s="241" t="s">
        <v>176</v>
      </c>
      <c r="H125" s="234">
        <v>7264</v>
      </c>
      <c r="I125" s="463">
        <v>7264</v>
      </c>
      <c r="J125" s="236"/>
      <c r="K125" s="243"/>
      <c r="L125" s="240"/>
      <c r="M125" s="240"/>
      <c r="N125"/>
      <c r="O125" s="242"/>
      <c r="P125" s="242"/>
      <c r="Q125" s="242"/>
      <c r="R125" s="242"/>
      <c r="S125" s="244"/>
      <c r="T125" s="547" t="s">
        <v>184</v>
      </c>
    </row>
    <row r="126" spans="1:21" ht="148.5" customHeight="1">
      <c r="A126" s="6"/>
      <c r="B126" s="548"/>
      <c r="C126" s="548"/>
      <c r="D126" s="548"/>
      <c r="E126" s="544"/>
      <c r="F126" s="545"/>
      <c r="G126" s="241" t="s">
        <v>179</v>
      </c>
      <c r="H126" s="234">
        <v>3242</v>
      </c>
      <c r="I126" s="463">
        <v>7148</v>
      </c>
      <c r="J126" s="236"/>
      <c r="K126" s="243"/>
      <c r="L126" s="240"/>
      <c r="M126" s="240"/>
      <c r="N126"/>
      <c r="O126" s="242"/>
      <c r="P126" s="242"/>
      <c r="Q126" s="242"/>
      <c r="R126" s="242"/>
      <c r="S126" s="244"/>
      <c r="T126" s="547"/>
    </row>
    <row r="127" spans="1:21" ht="102.4" customHeight="1">
      <c r="A127" s="6"/>
      <c r="B127" s="532" t="s">
        <v>185</v>
      </c>
      <c r="C127" s="532"/>
      <c r="D127" s="532"/>
      <c r="E127" s="544" t="s">
        <v>183</v>
      </c>
      <c r="F127" s="545" t="s">
        <v>175</v>
      </c>
      <c r="G127" s="233" t="s">
        <v>176</v>
      </c>
      <c r="H127" s="234">
        <v>1126</v>
      </c>
      <c r="I127" s="464">
        <v>1126</v>
      </c>
      <c r="J127" s="236"/>
      <c r="K127" s="243"/>
      <c r="L127" s="234"/>
      <c r="M127" s="240"/>
      <c r="N127"/>
      <c r="O127" s="238"/>
      <c r="P127" s="238"/>
      <c r="Q127" s="238"/>
      <c r="R127" s="238"/>
      <c r="S127" s="239"/>
      <c r="T127" s="547" t="s">
        <v>186</v>
      </c>
    </row>
    <row r="128" spans="1:21" ht="141.75" customHeight="1">
      <c r="A128" s="6"/>
      <c r="B128" s="532"/>
      <c r="C128" s="532"/>
      <c r="D128" s="532"/>
      <c r="E128" s="544"/>
      <c r="F128" s="545"/>
      <c r="G128" s="233" t="s">
        <v>179</v>
      </c>
      <c r="H128" s="234">
        <v>399</v>
      </c>
      <c r="I128" s="463">
        <v>824</v>
      </c>
      <c r="J128" s="236"/>
      <c r="K128" s="243"/>
      <c r="L128" s="234"/>
      <c r="M128" s="240"/>
      <c r="N128"/>
      <c r="O128" s="238"/>
      <c r="P128" s="238"/>
      <c r="Q128" s="238"/>
      <c r="R128" s="238"/>
      <c r="S128" s="239"/>
      <c r="T128" s="547"/>
    </row>
    <row r="129" spans="1:21" ht="42" customHeight="1">
      <c r="A129" s="6"/>
      <c r="B129" s="548" t="s">
        <v>187</v>
      </c>
      <c r="C129" s="548"/>
      <c r="D129" s="548"/>
      <c r="E129" s="549">
        <v>2.9</v>
      </c>
      <c r="F129" s="550" t="s">
        <v>175</v>
      </c>
      <c r="G129" s="241" t="s">
        <v>176</v>
      </c>
      <c r="H129" s="234">
        <v>522</v>
      </c>
      <c r="I129" s="235">
        <v>522</v>
      </c>
      <c r="J129" s="235"/>
      <c r="K129" s="235"/>
      <c r="L129" s="235"/>
      <c r="M129" s="235"/>
      <c r="N129"/>
      <c r="O129" s="238"/>
      <c r="P129" s="238"/>
      <c r="Q129" s="238"/>
      <c r="R129" s="238"/>
      <c r="S129" s="239"/>
      <c r="T129" s="551" t="s">
        <v>188</v>
      </c>
    </row>
    <row r="130" spans="1:21" ht="50.25" customHeight="1">
      <c r="A130" s="6"/>
      <c r="B130" s="548"/>
      <c r="C130" s="548"/>
      <c r="D130" s="548"/>
      <c r="E130" s="549"/>
      <c r="F130" s="550"/>
      <c r="G130" s="233" t="s">
        <v>179</v>
      </c>
      <c r="H130" s="234">
        <v>497</v>
      </c>
      <c r="I130" s="235">
        <v>497</v>
      </c>
      <c r="J130" s="235"/>
      <c r="K130" s="235"/>
      <c r="L130" s="235"/>
      <c r="M130" s="235"/>
      <c r="N130"/>
      <c r="O130" s="238"/>
      <c r="P130" s="238"/>
      <c r="Q130" s="238"/>
      <c r="R130" s="238"/>
      <c r="S130" s="239"/>
      <c r="T130" s="551"/>
    </row>
    <row r="131" spans="1:21" ht="45.75" customHeight="1">
      <c r="A131" s="6"/>
      <c r="B131" s="548" t="s">
        <v>189</v>
      </c>
      <c r="C131" s="548"/>
      <c r="D131" s="548"/>
      <c r="E131" s="544">
        <v>2.8</v>
      </c>
      <c r="F131" s="545" t="s">
        <v>175</v>
      </c>
      <c r="G131" s="241" t="s">
        <v>176</v>
      </c>
      <c r="H131" s="234">
        <v>22852</v>
      </c>
      <c r="I131" s="463">
        <v>22852</v>
      </c>
      <c r="J131" s="236"/>
      <c r="K131" s="243"/>
      <c r="L131" s="240"/>
      <c r="M131" s="234"/>
      <c r="N131"/>
      <c r="O131" s="242"/>
      <c r="P131" s="242"/>
      <c r="Q131" s="242"/>
      <c r="R131" s="242"/>
      <c r="S131" s="244"/>
      <c r="T131" s="552" t="s">
        <v>190</v>
      </c>
      <c r="U131" s="5"/>
    </row>
    <row r="132" spans="1:21" ht="40.5" customHeight="1">
      <c r="A132" s="6"/>
      <c r="B132" s="548"/>
      <c r="C132" s="548"/>
      <c r="D132" s="548"/>
      <c r="E132" s="544"/>
      <c r="F132" s="545"/>
      <c r="G132" s="246" t="s">
        <v>179</v>
      </c>
      <c r="H132" s="247"/>
      <c r="I132" s="463">
        <v>17855</v>
      </c>
      <c r="J132" s="236"/>
      <c r="K132" s="243"/>
      <c r="L132" s="248"/>
      <c r="M132" s="234"/>
      <c r="N132" s="234"/>
      <c r="O132" s="248"/>
      <c r="P132" s="248"/>
      <c r="Q132" s="248"/>
      <c r="R132" s="248"/>
      <c r="S132" s="249"/>
      <c r="T132" s="552"/>
      <c r="U132" s="5"/>
    </row>
    <row r="133" spans="1:21" ht="69.2" customHeight="1">
      <c r="A133" s="6"/>
      <c r="B133" s="6"/>
      <c r="C133" s="6"/>
      <c r="D133" s="6"/>
      <c r="E133" s="6"/>
      <c r="F133" s="6"/>
      <c r="G133" s="6"/>
      <c r="H133" s="6"/>
      <c r="I133" s="6"/>
      <c r="J133" s="6"/>
      <c r="K133" s="6"/>
      <c r="L133" s="6"/>
      <c r="M133" s="6"/>
      <c r="N133"/>
      <c r="O133"/>
      <c r="P133" s="5"/>
      <c r="Q133" s="5"/>
    </row>
    <row r="134" spans="1:21" ht="40.700000000000003" customHeight="1">
      <c r="B134" s="553" t="s">
        <v>191</v>
      </c>
      <c r="C134" s="553"/>
      <c r="D134" s="553"/>
      <c r="E134" s="553"/>
      <c r="F134" s="553"/>
      <c r="G134" s="553"/>
      <c r="H134" s="553"/>
      <c r="I134" s="553"/>
      <c r="J134" s="553"/>
      <c r="K134" s="553"/>
      <c r="L134" s="553"/>
      <c r="M134" s="553"/>
      <c r="N134" s="553"/>
      <c r="O134" s="553"/>
      <c r="P134" s="553"/>
      <c r="Q134" s="553"/>
      <c r="R134" s="553"/>
      <c r="S134" s="553"/>
      <c r="T134" s="553"/>
    </row>
    <row r="135" spans="1:21" ht="20.45" customHeight="1">
      <c r="A135" s="6"/>
      <c r="B135" s="548" t="s">
        <v>192</v>
      </c>
      <c r="C135" s="548"/>
      <c r="D135" s="548"/>
      <c r="E135" s="544" t="s">
        <v>193</v>
      </c>
      <c r="F135" s="545" t="s">
        <v>175</v>
      </c>
      <c r="G135" s="241" t="s">
        <v>176</v>
      </c>
      <c r="H135" s="250">
        <v>0.13200000000000001</v>
      </c>
      <c r="I135" s="250">
        <v>0.13200000000000001</v>
      </c>
      <c r="J135" s="251"/>
      <c r="K135" s="252"/>
      <c r="L135" s="242"/>
      <c r="M135" s="253"/>
      <c r="N135"/>
      <c r="O135" s="242"/>
      <c r="P135" s="242"/>
      <c r="Q135" s="242"/>
      <c r="R135" s="242"/>
      <c r="S135" s="244"/>
      <c r="T135" s="254" t="s">
        <v>194</v>
      </c>
    </row>
    <row r="136" spans="1:21" ht="23.1" customHeight="1">
      <c r="A136" s="6"/>
      <c r="B136" s="548"/>
      <c r="C136" s="548"/>
      <c r="D136" s="548"/>
      <c r="E136" s="544"/>
      <c r="F136" s="545"/>
      <c r="G136" s="241" t="s">
        <v>179</v>
      </c>
      <c r="H136" s="255"/>
      <c r="I136" s="467">
        <v>7.6499999999999999E-2</v>
      </c>
      <c r="J136" s="256"/>
      <c r="K136" s="252"/>
      <c r="L136" s="242"/>
      <c r="M136" s="253"/>
      <c r="N136"/>
      <c r="O136" s="242"/>
      <c r="P136" s="242"/>
      <c r="Q136" s="242"/>
      <c r="R136" s="242"/>
      <c r="S136" s="244"/>
      <c r="T136" s="552" t="s">
        <v>195</v>
      </c>
    </row>
    <row r="137" spans="1:21" ht="17.649999999999999" customHeight="1">
      <c r="A137" s="6"/>
      <c r="B137" s="548" t="s">
        <v>196</v>
      </c>
      <c r="C137" s="548"/>
      <c r="D137" s="548"/>
      <c r="E137" s="544" t="s">
        <v>193</v>
      </c>
      <c r="F137" s="545" t="s">
        <v>175</v>
      </c>
      <c r="G137" s="233" t="s">
        <v>176</v>
      </c>
      <c r="H137" s="257">
        <v>1.6E-2</v>
      </c>
      <c r="I137" s="257">
        <v>1.6E-2</v>
      </c>
      <c r="J137" s="258"/>
      <c r="K137" s="259"/>
      <c r="L137" s="238"/>
      <c r="M137" s="260"/>
      <c r="N137"/>
      <c r="O137" s="238"/>
      <c r="P137" s="238"/>
      <c r="Q137" s="238"/>
      <c r="R137" s="238"/>
      <c r="S137" s="239"/>
      <c r="T137" s="552"/>
    </row>
    <row r="138" spans="1:21" ht="23.65" customHeight="1">
      <c r="A138" s="6"/>
      <c r="B138" s="548"/>
      <c r="C138" s="548"/>
      <c r="D138" s="548"/>
      <c r="E138" s="544"/>
      <c r="F138" s="545"/>
      <c r="G138" s="233" t="s">
        <v>179</v>
      </c>
      <c r="H138" s="255"/>
      <c r="I138" s="257">
        <v>3.6999999999999998E-2</v>
      </c>
      <c r="J138" s="258"/>
      <c r="K138" s="259"/>
      <c r="L138" s="238"/>
      <c r="M138" s="260"/>
      <c r="N138"/>
      <c r="O138" s="238"/>
      <c r="P138" s="238"/>
      <c r="Q138" s="238"/>
      <c r="R138" s="238"/>
      <c r="S138" s="239"/>
      <c r="T138" s="552"/>
    </row>
    <row r="139" spans="1:21" ht="27.2" customHeight="1">
      <c r="A139" s="6"/>
      <c r="B139" s="548" t="s">
        <v>197</v>
      </c>
      <c r="C139" s="548"/>
      <c r="D139" s="548"/>
      <c r="E139" s="544" t="s">
        <v>193</v>
      </c>
      <c r="F139" s="545" t="s">
        <v>175</v>
      </c>
      <c r="G139" s="241" t="s">
        <v>176</v>
      </c>
      <c r="H139" s="261">
        <v>0.16</v>
      </c>
      <c r="I139" s="261">
        <v>0.16</v>
      </c>
      <c r="J139" s="236"/>
      <c r="K139" s="252"/>
      <c r="L139" s="242"/>
      <c r="M139" s="242"/>
      <c r="N139"/>
      <c r="O139" s="242"/>
      <c r="P139" s="242"/>
      <c r="Q139" s="242"/>
      <c r="R139" s="242"/>
      <c r="S139" s="244"/>
      <c r="T139" s="552"/>
    </row>
    <row r="140" spans="1:21" ht="25.15" customHeight="1">
      <c r="A140" s="6"/>
      <c r="B140" s="548"/>
      <c r="C140" s="548"/>
      <c r="D140" s="548"/>
      <c r="E140" s="544"/>
      <c r="F140" s="545"/>
      <c r="G140" s="241" t="s">
        <v>179</v>
      </c>
      <c r="H140" s="255"/>
      <c r="I140" s="466">
        <v>7.3999999999999996E-2</v>
      </c>
      <c r="J140" s="236"/>
      <c r="K140" s="252"/>
      <c r="L140" s="242"/>
      <c r="M140" s="242"/>
      <c r="N140"/>
      <c r="O140" s="242"/>
      <c r="P140" s="242"/>
      <c r="Q140" s="242"/>
      <c r="R140" s="242"/>
      <c r="S140" s="244"/>
      <c r="T140" s="552"/>
    </row>
    <row r="141" spans="1:21" ht="29.85" customHeight="1">
      <c r="A141" s="6"/>
      <c r="B141" s="548" t="s">
        <v>198</v>
      </c>
      <c r="C141" s="548"/>
      <c r="D141" s="548"/>
      <c r="E141" s="544" t="s">
        <v>199</v>
      </c>
      <c r="F141" s="545" t="s">
        <v>175</v>
      </c>
      <c r="G141" s="233" t="s">
        <v>176</v>
      </c>
      <c r="H141" s="261">
        <v>0.7</v>
      </c>
      <c r="I141" s="261">
        <v>0.7</v>
      </c>
      <c r="J141" s="236"/>
      <c r="K141" s="237"/>
      <c r="L141" s="238"/>
      <c r="M141" s="262"/>
      <c r="N141"/>
      <c r="O141" s="238"/>
      <c r="P141" s="238"/>
      <c r="Q141" s="238"/>
      <c r="R141" s="238"/>
      <c r="S141" s="239"/>
      <c r="T141" s="554" t="s">
        <v>200</v>
      </c>
    </row>
    <row r="142" spans="1:21" ht="26.45" customHeight="1">
      <c r="A142" s="6"/>
      <c r="B142" s="548"/>
      <c r="C142" s="548"/>
      <c r="D142" s="548"/>
      <c r="E142" s="544" t="s">
        <v>199</v>
      </c>
      <c r="F142" s="545"/>
      <c r="G142" s="233" t="s">
        <v>179</v>
      </c>
      <c r="H142" s="261">
        <v>0.55000000000000004</v>
      </c>
      <c r="I142" s="261">
        <v>0.57999999999999996</v>
      </c>
      <c r="J142" s="236"/>
      <c r="K142" s="237"/>
      <c r="L142" s="238"/>
      <c r="M142" s="234"/>
      <c r="N142"/>
      <c r="O142" s="238"/>
      <c r="P142" s="238"/>
      <c r="Q142" s="238"/>
      <c r="R142" s="238"/>
      <c r="S142" s="239"/>
      <c r="T142" s="554"/>
    </row>
    <row r="143" spans="1:21" ht="39" customHeight="1">
      <c r="A143" s="6"/>
      <c r="B143" s="548" t="s">
        <v>201</v>
      </c>
      <c r="C143" s="548"/>
      <c r="D143" s="548"/>
      <c r="E143" s="544" t="s">
        <v>202</v>
      </c>
      <c r="F143" s="545" t="s">
        <v>175</v>
      </c>
      <c r="G143" s="233" t="s">
        <v>176</v>
      </c>
      <c r="H143" s="261">
        <v>0.44</v>
      </c>
      <c r="I143" s="261">
        <v>0.44</v>
      </c>
      <c r="J143" s="236"/>
      <c r="K143" s="237"/>
      <c r="L143" s="238"/>
      <c r="M143" s="260"/>
      <c r="N143"/>
      <c r="O143" s="238"/>
      <c r="P143" s="238"/>
      <c r="Q143" s="238"/>
      <c r="R143" s="238"/>
      <c r="S143" s="239"/>
      <c r="T143" s="245" t="s">
        <v>203</v>
      </c>
    </row>
    <row r="144" spans="1:21" ht="42" customHeight="1">
      <c r="A144" s="6"/>
      <c r="B144" s="548"/>
      <c r="C144" s="548"/>
      <c r="D144" s="548"/>
      <c r="E144" s="544"/>
      <c r="F144" s="545"/>
      <c r="G144" s="233" t="s">
        <v>179</v>
      </c>
      <c r="H144" s="261">
        <v>0.86</v>
      </c>
      <c r="I144" s="261">
        <v>0.85</v>
      </c>
      <c r="J144" s="236"/>
      <c r="K144" s="237"/>
      <c r="L144" s="238"/>
      <c r="M144" s="260"/>
      <c r="N144"/>
      <c r="O144" s="238"/>
      <c r="P144" s="238"/>
      <c r="Q144" s="238"/>
      <c r="R144" s="238"/>
      <c r="S144" s="239"/>
      <c r="T144" s="245" t="s">
        <v>204</v>
      </c>
    </row>
    <row r="145" spans="1:20" ht="39.200000000000003" customHeight="1">
      <c r="A145" s="6"/>
      <c r="B145" s="548" t="s">
        <v>205</v>
      </c>
      <c r="C145" s="548"/>
      <c r="D145" s="548"/>
      <c r="E145" s="544" t="s">
        <v>202</v>
      </c>
      <c r="F145" s="545" t="s">
        <v>175</v>
      </c>
      <c r="G145" s="241" t="s">
        <v>176</v>
      </c>
      <c r="H145" s="261">
        <v>0.96</v>
      </c>
      <c r="I145" s="261">
        <v>0.96</v>
      </c>
      <c r="J145" s="236"/>
      <c r="K145" s="263"/>
      <c r="L145" s="242"/>
      <c r="M145" s="253"/>
      <c r="N145"/>
      <c r="O145" s="242"/>
      <c r="P145" s="242"/>
      <c r="Q145" s="242"/>
      <c r="R145" s="242"/>
      <c r="S145" s="244"/>
      <c r="T145" s="254"/>
    </row>
    <row r="146" spans="1:20" ht="31.9" customHeight="1">
      <c r="A146" s="6"/>
      <c r="B146" s="548"/>
      <c r="C146" s="548"/>
      <c r="D146" s="548"/>
      <c r="E146" s="544"/>
      <c r="F146" s="545"/>
      <c r="G146" s="233" t="s">
        <v>179</v>
      </c>
      <c r="H146" s="261">
        <v>0.97</v>
      </c>
      <c r="I146" s="253" t="s">
        <v>394</v>
      </c>
      <c r="J146" s="236"/>
      <c r="K146" s="264"/>
      <c r="L146" s="248"/>
      <c r="M146" s="265"/>
      <c r="N146"/>
      <c r="O146" s="248"/>
      <c r="P146" s="248"/>
      <c r="Q146" s="248"/>
      <c r="R146" s="248"/>
      <c r="S146" s="249"/>
      <c r="T146" s="254"/>
    </row>
    <row r="147" spans="1:20" ht="54" customHeight="1">
      <c r="B147" s="548" t="s">
        <v>206</v>
      </c>
      <c r="C147" s="548"/>
      <c r="D147" s="548"/>
      <c r="E147" s="544" t="s">
        <v>202</v>
      </c>
      <c r="F147" s="545" t="s">
        <v>175</v>
      </c>
      <c r="G147" s="241" t="s">
        <v>176</v>
      </c>
      <c r="H147" s="261">
        <v>0.85</v>
      </c>
      <c r="I147" s="261">
        <v>0.85</v>
      </c>
      <c r="J147" s="236"/>
      <c r="K147" s="263"/>
      <c r="L147" s="242"/>
      <c r="M147" s="253"/>
      <c r="N147"/>
      <c r="O147" s="242"/>
      <c r="P147" s="242"/>
      <c r="Q147" s="242"/>
      <c r="R147" s="242"/>
      <c r="S147" s="244"/>
      <c r="T147" s="555" t="s">
        <v>207</v>
      </c>
    </row>
    <row r="148" spans="1:20" ht="42.75" customHeight="1">
      <c r="B148" s="548"/>
      <c r="C148" s="548"/>
      <c r="D148" s="548"/>
      <c r="E148" s="544"/>
      <c r="F148" s="545"/>
      <c r="G148" s="233" t="s">
        <v>179</v>
      </c>
      <c r="H148" s="250">
        <v>0.76900000000000002</v>
      </c>
      <c r="I148" s="250">
        <v>0.877</v>
      </c>
      <c r="J148" s="236"/>
      <c r="K148" s="264"/>
      <c r="L148" s="248"/>
      <c r="M148" s="265"/>
      <c r="N148"/>
      <c r="O148" s="248"/>
      <c r="P148" s="248"/>
      <c r="Q148" s="248"/>
      <c r="R148" s="248"/>
      <c r="S148" s="249"/>
      <c r="T148" s="555"/>
    </row>
    <row r="152" spans="1:20">
      <c r="J152" t="s">
        <v>208</v>
      </c>
    </row>
  </sheetData>
  <sheetProtection selectLockedCells="1" selectUnlockedCells="1"/>
  <mergeCells count="84">
    <mergeCell ref="F141:F142"/>
    <mergeCell ref="T141:T142"/>
    <mergeCell ref="T147:T148"/>
    <mergeCell ref="B145:D146"/>
    <mergeCell ref="E145:E146"/>
    <mergeCell ref="F145:F146"/>
    <mergeCell ref="B147:D148"/>
    <mergeCell ref="E147:E148"/>
    <mergeCell ref="F147:F148"/>
    <mergeCell ref="B143:D144"/>
    <mergeCell ref="E143:E144"/>
    <mergeCell ref="F143:F144"/>
    <mergeCell ref="B141:D142"/>
    <mergeCell ref="E141:E142"/>
    <mergeCell ref="B134:T134"/>
    <mergeCell ref="B135:D136"/>
    <mergeCell ref="E135:E136"/>
    <mergeCell ref="F135:F136"/>
    <mergeCell ref="T136:T140"/>
    <mergeCell ref="B137:D138"/>
    <mergeCell ref="E137:E138"/>
    <mergeCell ref="F137:F138"/>
    <mergeCell ref="B139:D140"/>
    <mergeCell ref="E139:E140"/>
    <mergeCell ref="F139:F140"/>
    <mergeCell ref="B129:D130"/>
    <mergeCell ref="E129:E130"/>
    <mergeCell ref="F129:F130"/>
    <mergeCell ref="T129:T130"/>
    <mergeCell ref="B131:D132"/>
    <mergeCell ref="E131:E132"/>
    <mergeCell ref="F131:F132"/>
    <mergeCell ref="T131:T132"/>
    <mergeCell ref="B125:D126"/>
    <mergeCell ref="E125:E126"/>
    <mergeCell ref="F125:F126"/>
    <mergeCell ref="T125:T126"/>
    <mergeCell ref="B127:D128"/>
    <mergeCell ref="E127:E128"/>
    <mergeCell ref="F127:F128"/>
    <mergeCell ref="T127:T128"/>
    <mergeCell ref="T121:T122"/>
    <mergeCell ref="B123:D124"/>
    <mergeCell ref="E123:E124"/>
    <mergeCell ref="F123:F124"/>
    <mergeCell ref="T123:T124"/>
    <mergeCell ref="A121:A124"/>
    <mergeCell ref="B121:D122"/>
    <mergeCell ref="B26:C26"/>
    <mergeCell ref="B29:N29"/>
    <mergeCell ref="O31:O34"/>
    <mergeCell ref="F51:I51"/>
    <mergeCell ref="G60:H60"/>
    <mergeCell ref="B65:D65"/>
    <mergeCell ref="B76:C76"/>
    <mergeCell ref="B77:C77"/>
    <mergeCell ref="B78:C78"/>
    <mergeCell ref="B113:B114"/>
    <mergeCell ref="B119:D119"/>
    <mergeCell ref="E121:E122"/>
    <mergeCell ref="F121:F122"/>
    <mergeCell ref="D24:E24"/>
    <mergeCell ref="G24:H24"/>
    <mergeCell ref="I24:J24"/>
    <mergeCell ref="C8:D8"/>
    <mergeCell ref="I8:J8"/>
    <mergeCell ref="C10:D10"/>
    <mergeCell ref="E10:F10"/>
    <mergeCell ref="G10:J10"/>
    <mergeCell ref="C12:D12"/>
    <mergeCell ref="E12:F12"/>
    <mergeCell ref="G12:J12"/>
    <mergeCell ref="B14:J14"/>
    <mergeCell ref="H16:I16"/>
    <mergeCell ref="B18:C18"/>
    <mergeCell ref="D18:F18"/>
    <mergeCell ref="B21:J21"/>
    <mergeCell ref="B2:J2"/>
    <mergeCell ref="C4:D4"/>
    <mergeCell ref="E4:F4"/>
    <mergeCell ref="G4:J4"/>
    <mergeCell ref="C6:D6"/>
    <mergeCell ref="E6:F6"/>
    <mergeCell ref="I6:J6"/>
  </mergeCells>
  <conditionalFormatting sqref="C30:N30 C99:N99">
    <cfRule type="cellIs" dxfId="36" priority="1" stopIfTrue="1" operator="equal">
      <formula>$C$16</formula>
    </cfRule>
  </conditionalFormatting>
  <conditionalFormatting sqref="C12:D12">
    <cfRule type="cellIs" dxfId="35" priority="2" stopIfTrue="1" operator="equal">
      <formula>"C"</formula>
    </cfRule>
    <cfRule type="cellIs" dxfId="34" priority="3" stopIfTrue="1" operator="equal">
      <formula>"B2"</formula>
    </cfRule>
    <cfRule type="cellIs" dxfId="33" priority="4" stopIfTrue="1" operator="equal">
      <formula>"B1"</formula>
    </cfRule>
  </conditionalFormatting>
  <conditionalFormatting sqref="H119:T120">
    <cfRule type="cellIs" dxfId="32" priority="5" stopIfTrue="1" operator="equal">
      <formula>$C$16</formula>
    </cfRule>
  </conditionalFormatting>
  <conditionalFormatting sqref="F51:I51">
    <cfRule type="expression" dxfId="31" priority="6" stopIfTrue="1">
      <formula>LEFT($F$51,2)="OK"</formula>
    </cfRule>
  </conditionalFormatting>
  <dataValidations count="9">
    <dataValidation type="list" allowBlank="1" showErrorMessage="1" sqref="G6" xr:uid="{00000000-0002-0000-0200-000000000000}">
      <formula1>Component</formula1>
      <formula2>0</formula2>
    </dataValidation>
    <dataValidation type="list" allowBlank="1" showErrorMessage="1" sqref="C16" xr:uid="{00000000-0002-0000-0200-000001000000}">
      <formula1>PERIOD</formula1>
      <formula2>0</formula2>
    </dataValidation>
    <dataValidation type="list" allowBlank="1" showErrorMessage="1" sqref="G10:J10" xr:uid="{00000000-0002-0000-0200-000002000000}">
      <formula1>LFA</formula1>
      <formula2>0</formula2>
    </dataValidation>
    <dataValidation type="list" allowBlank="1" showErrorMessage="1" sqref="C12:D12" xr:uid="{00000000-0002-0000-0200-000003000000}">
      <formula1>Rating</formula1>
      <formula2>0</formula2>
    </dataValidation>
    <dataValidation type="list" allowBlank="1" showErrorMessage="1" sqref="I8:J8" xr:uid="{00000000-0002-0000-0200-000004000000}">
      <formula1>Phase</formula1>
      <formula2>0</formula2>
    </dataValidation>
    <dataValidation type="list" allowBlank="1" showErrorMessage="1" sqref="G8" xr:uid="{00000000-0002-0000-0200-000005000000}">
      <formula1>Round</formula1>
      <formula2>0</formula2>
    </dataValidation>
    <dataValidation type="list" allowBlank="1" showErrorMessage="1" sqref="D26" xr:uid="{00000000-0002-0000-0200-000006000000}">
      <formula1>Currency</formula1>
      <formula2>0</formula2>
    </dataValidation>
    <dataValidation type="list" allowBlank="1" showErrorMessage="1" sqref="C4:D4" xr:uid="{00000000-0002-0000-0200-000007000000}">
      <formula1>Ciudades</formula1>
      <formula2>0</formula2>
    </dataValidation>
    <dataValidation type="list" allowBlank="1" showErrorMessage="1" sqref="B113 C114" xr:uid="{00000000-0002-0000-0200-000008000000}">
      <formula1>NA()</formula1>
      <formula2>0</formula2>
    </dataValidation>
  </dataValidations>
  <pageMargins left="0.70833333333333337" right="0.70833333333333337" top="0.74791666666666667" bottom="0.74861111111111112" header="0.51180555555555551" footer="0.31527777777777777"/>
  <pageSetup paperSize="9" firstPageNumber="0" fitToHeight="8" orientation="landscape" horizontalDpi="300" verticalDpi="300" r:id="rId1"/>
  <headerFooter alignWithMargins="0">
    <oddFooter>&amp;L&amp;F&amp;C&amp;A&amp;R&amp;D</oddFooter>
  </headerFooter>
  <rowBreaks count="1" manualBreakCount="1">
    <brk id="5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X13"/>
  <sheetViews>
    <sheetView showGridLines="0" topLeftCell="B1" zoomScale="90" zoomScaleNormal="90" zoomScaleSheetLayoutView="100" workbookViewId="0">
      <selection activeCell="I9" sqref="I9:J9"/>
    </sheetView>
  </sheetViews>
  <sheetFormatPr baseColWidth="10" defaultRowHeight="15"/>
  <cols>
    <col min="1" max="1" width="21.140625" style="6" customWidth="1"/>
    <col min="2" max="2" width="12.5703125" style="6" customWidth="1"/>
    <col min="3" max="3" width="20.5703125" style="6" customWidth="1"/>
    <col min="4" max="4" width="19.28515625" style="6" customWidth="1"/>
    <col min="5" max="5" width="11.7109375" style="6" customWidth="1"/>
    <col min="6" max="6" width="18.7109375" style="6" customWidth="1"/>
    <col min="7" max="7" width="11.7109375" style="6" customWidth="1"/>
    <col min="8" max="8" width="18.42578125" style="6" customWidth="1"/>
    <col min="9" max="9" width="9.42578125" style="6" customWidth="1"/>
    <col min="10" max="10" width="13" style="6" customWidth="1"/>
    <col min="11" max="11" width="11.42578125" style="6"/>
    <col min="12" max="12" width="8.140625" style="6" customWidth="1"/>
    <col min="13" max="13" width="9.7109375" style="6" customWidth="1"/>
    <col min="14" max="14" width="8.5703125" style="6" customWidth="1"/>
    <col min="15" max="15" width="7.140625" style="6" customWidth="1"/>
    <col min="16" max="16384" width="11.42578125" style="6"/>
  </cols>
  <sheetData>
    <row r="1" spans="1:24" ht="21" customHeight="1">
      <c r="A1" s="148"/>
      <c r="B1" s="148"/>
      <c r="C1" s="148"/>
      <c r="D1" s="148"/>
      <c r="E1" s="148"/>
      <c r="F1" s="148"/>
      <c r="G1" s="40"/>
      <c r="H1" s="148"/>
      <c r="I1" s="148"/>
      <c r="J1" s="148"/>
    </row>
    <row r="2" spans="1:24" ht="25.5" customHeight="1"/>
    <row r="3" spans="1:24" ht="36">
      <c r="B3" s="556" t="str">
        <f>+"Tablero de mando: "&amp;" "&amp;+'Introducción de datos'!C4&amp;" - "&amp;+'Introducción de datos'!G6</f>
        <v>Tablero de mando:  El Salvador - VIH / SIDA</v>
      </c>
      <c r="C3" s="556"/>
      <c r="D3" s="556"/>
      <c r="E3" s="556"/>
      <c r="F3" s="556"/>
      <c r="G3" s="556"/>
      <c r="H3" s="556"/>
      <c r="I3" s="556"/>
      <c r="J3" s="556"/>
      <c r="K3" s="266"/>
      <c r="L3" s="266"/>
      <c r="M3" s="266"/>
      <c r="N3" s="194"/>
      <c r="O3" s="194"/>
      <c r="P3" s="194"/>
      <c r="Q3" s="194"/>
      <c r="R3" s="194"/>
      <c r="S3" s="194"/>
      <c r="T3" s="194"/>
    </row>
    <row r="4" spans="1:24" ht="15" customHeight="1">
      <c r="L4" s="194"/>
      <c r="M4" s="194"/>
      <c r="N4" s="194"/>
      <c r="O4" s="194"/>
      <c r="P4" s="194"/>
      <c r="Q4" s="194"/>
      <c r="R4" s="194"/>
      <c r="S4" s="194"/>
      <c r="T4" s="194"/>
    </row>
    <row r="5" spans="1:24">
      <c r="L5" s="194"/>
      <c r="M5" s="194"/>
      <c r="N5" s="194"/>
      <c r="O5" s="194"/>
      <c r="P5" s="194"/>
      <c r="Q5" s="194"/>
      <c r="R5" s="194"/>
      <c r="S5" s="194"/>
      <c r="T5" s="194"/>
    </row>
    <row r="6" spans="1:24" ht="32.25" customHeight="1">
      <c r="A6" s="267" t="s">
        <v>47</v>
      </c>
      <c r="B6" s="557" t="str">
        <f>+'Introducción de datos'!C4</f>
        <v>El Salvador</v>
      </c>
      <c r="C6" s="557"/>
      <c r="D6" s="558" t="s">
        <v>49</v>
      </c>
      <c r="E6" s="558"/>
      <c r="F6" s="559" t="str">
        <f>+'Introducción de datos'!G4</f>
        <v>INNOVANDO SERVICIOS, REDUCIENDO RIESGOS, RENOVANDO VIDAS EN EL SALVADOR</v>
      </c>
      <c r="G6" s="559"/>
      <c r="H6" s="559"/>
      <c r="I6" s="559"/>
      <c r="J6" s="559"/>
      <c r="K6" s="268"/>
      <c r="L6" s="269"/>
      <c r="M6" s="268"/>
      <c r="N6" s="268"/>
      <c r="O6" s="268"/>
      <c r="P6" s="270"/>
      <c r="Q6" s="271"/>
      <c r="R6" s="271"/>
      <c r="S6" s="271"/>
      <c r="T6" s="271"/>
      <c r="U6" s="271"/>
    </row>
    <row r="7" spans="1:24" ht="8.25" customHeight="1">
      <c r="B7" s="272"/>
      <c r="C7" s="273"/>
      <c r="D7" s="273"/>
      <c r="E7" s="274"/>
      <c r="F7" s="274"/>
      <c r="G7" s="275"/>
      <c r="H7" s="275"/>
      <c r="K7" s="268"/>
      <c r="L7" s="268"/>
      <c r="M7" s="268"/>
      <c r="N7" s="268"/>
      <c r="O7" s="268"/>
      <c r="P7" s="270"/>
      <c r="Q7" s="271"/>
      <c r="R7" s="271"/>
      <c r="S7" s="271"/>
      <c r="T7" s="271"/>
      <c r="U7" s="271"/>
    </row>
    <row r="8" spans="1:24" ht="3.75" customHeight="1">
      <c r="C8" s="276"/>
      <c r="D8" s="276"/>
      <c r="E8" s="276"/>
      <c r="F8" s="276"/>
      <c r="G8" s="276"/>
      <c r="H8" s="276"/>
      <c r="I8" s="276"/>
      <c r="J8" s="276"/>
      <c r="K8" s="268"/>
      <c r="L8" s="268"/>
      <c r="M8" s="268"/>
      <c r="N8" s="268"/>
      <c r="O8" s="277"/>
      <c r="P8" s="270"/>
      <c r="Q8" s="277"/>
      <c r="R8" s="278"/>
      <c r="S8" s="271"/>
      <c r="T8" s="271"/>
      <c r="U8" s="271"/>
    </row>
    <row r="9" spans="1:24" ht="25.5" customHeight="1">
      <c r="A9" s="279" t="s">
        <v>53</v>
      </c>
      <c r="B9" s="280" t="str">
        <f>+'Introducción de datos'!G6</f>
        <v>VIH / SIDA</v>
      </c>
      <c r="C9" s="281" t="s">
        <v>51</v>
      </c>
      <c r="D9" s="282" t="str">
        <f>+'Introducción de datos'!C6</f>
        <v>SLV - H - MINSAL</v>
      </c>
      <c r="E9" s="560" t="s">
        <v>209</v>
      </c>
      <c r="F9" s="560"/>
      <c r="G9" s="283" t="str">
        <f>+'Introducción de datos'!C10</f>
        <v>01 de enero del 2017</v>
      </c>
      <c r="H9" s="279" t="s">
        <v>210</v>
      </c>
      <c r="I9" s="561">
        <f>+'Introducción de datos'!I6</f>
        <v>5148186</v>
      </c>
      <c r="J9" s="561"/>
      <c r="K9" s="268"/>
      <c r="L9" s="268"/>
      <c r="M9" s="268"/>
      <c r="N9" s="268"/>
      <c r="O9" s="277"/>
      <c r="P9" s="270"/>
      <c r="Q9" s="277"/>
      <c r="R9" s="278"/>
      <c r="S9" s="271"/>
      <c r="T9" s="284"/>
      <c r="U9" s="284"/>
      <c r="V9" s="276"/>
      <c r="W9" s="276"/>
      <c r="X9" s="276"/>
    </row>
    <row r="10" spans="1:24" ht="25.5" customHeight="1">
      <c r="A10" s="279" t="s">
        <v>58</v>
      </c>
      <c r="B10" s="285" t="str">
        <f>IF(ISBLANK('Introducción de datos'!G8),"",'Introducción de datos'!G8)</f>
        <v>SSF/NMF</v>
      </c>
      <c r="C10" s="281" t="s">
        <v>60</v>
      </c>
      <c r="D10" s="286" t="str">
        <f>+'Introducción de datos'!I8</f>
        <v>Fase 2</v>
      </c>
      <c r="E10" s="560" t="s">
        <v>211</v>
      </c>
      <c r="F10" s="560"/>
      <c r="G10" s="562" t="str">
        <f>+'Introducción de datos'!C8</f>
        <v xml:space="preserve">Ministerio de Salud </v>
      </c>
      <c r="H10" s="562"/>
      <c r="I10" s="562"/>
      <c r="J10" s="562"/>
      <c r="K10" s="288"/>
      <c r="L10" s="288"/>
      <c r="M10" s="268"/>
      <c r="N10" s="288"/>
      <c r="O10" s="277"/>
      <c r="P10" s="270"/>
      <c r="Q10" s="284"/>
      <c r="R10" s="278"/>
      <c r="S10" s="271"/>
      <c r="T10" s="284"/>
      <c r="U10" s="284"/>
    </row>
    <row r="11" spans="1:24" ht="25.5" customHeight="1">
      <c r="A11" s="279" t="s">
        <v>212</v>
      </c>
      <c r="B11" s="287" t="str">
        <f>+'Introducción de datos'!C16</f>
        <v>P2</v>
      </c>
      <c r="C11" s="281" t="s">
        <v>213</v>
      </c>
      <c r="D11" s="289" t="str">
        <f>+'Introducción de datos'!E16</f>
        <v>1 de julio de 2017</v>
      </c>
      <c r="E11" s="560" t="s">
        <v>214</v>
      </c>
      <c r="F11" s="560"/>
      <c r="G11" s="289">
        <f>+'Introducción de datos'!G16</f>
        <v>43100</v>
      </c>
      <c r="H11" s="279" t="s">
        <v>215</v>
      </c>
      <c r="I11" s="564" t="str">
        <f>+'Introducción de datos'!C12</f>
        <v>B2</v>
      </c>
      <c r="J11" s="564"/>
      <c r="K11" s="290"/>
      <c r="L11" s="288"/>
      <c r="M11" s="268"/>
      <c r="N11" s="288"/>
      <c r="O11" s="288"/>
      <c r="P11" s="270"/>
      <c r="Q11" s="284"/>
      <c r="R11" s="278"/>
      <c r="S11" s="271"/>
      <c r="T11" s="291"/>
      <c r="U11" s="284"/>
    </row>
    <row r="12" spans="1:24" ht="25.5" customHeight="1">
      <c r="A12" s="279" t="s">
        <v>64</v>
      </c>
      <c r="B12" s="562" t="str">
        <f>+'Introducción de datos'!G10</f>
        <v>JACOBS</v>
      </c>
      <c r="C12" s="562"/>
      <c r="D12" s="562"/>
      <c r="E12" s="560" t="s">
        <v>68</v>
      </c>
      <c r="F12" s="560"/>
      <c r="G12" s="562" t="str">
        <f>+'Introducción de datos'!G12</f>
        <v>JAIME BRIZ DE FELIPE</v>
      </c>
      <c r="H12" s="562"/>
      <c r="I12" s="562"/>
      <c r="J12" s="562"/>
      <c r="K12" s="288"/>
      <c r="L12" s="288"/>
      <c r="M12" s="268"/>
      <c r="N12" s="288"/>
      <c r="O12" s="271"/>
      <c r="P12" s="270"/>
      <c r="Q12" s="284"/>
      <c r="R12" s="278"/>
      <c r="S12" s="271"/>
      <c r="T12" s="284"/>
      <c r="U12" s="292"/>
      <c r="V12" s="284"/>
      <c r="W12" s="291"/>
      <c r="X12" s="284"/>
    </row>
    <row r="13" spans="1:24" ht="25.5" customHeight="1">
      <c r="A13" s="279" t="s">
        <v>75</v>
      </c>
      <c r="B13" s="562" t="str">
        <f>+'Introducción de datos'!D18</f>
        <v>UAFM/FE/MINSAL.</v>
      </c>
      <c r="C13" s="562"/>
      <c r="D13" s="562"/>
      <c r="E13" s="560" t="s">
        <v>216</v>
      </c>
      <c r="F13" s="560"/>
      <c r="G13" s="563" t="str">
        <f>+'Introducción de datos'!J16</f>
        <v>07 de mayo 18</v>
      </c>
      <c r="H13" s="563"/>
      <c r="I13" s="563"/>
      <c r="J13" s="563"/>
      <c r="K13" s="271"/>
      <c r="L13" s="293"/>
      <c r="M13" s="293"/>
      <c r="N13" s="293"/>
      <c r="O13" s="271"/>
      <c r="P13" s="293"/>
      <c r="Q13" s="293"/>
      <c r="R13" s="278"/>
      <c r="S13" s="271"/>
      <c r="T13" s="293"/>
      <c r="U13" s="294"/>
    </row>
  </sheetData>
  <sheetProtection password="CFC9" sheet="1"/>
  <mergeCells count="16">
    <mergeCell ref="B13:D13"/>
    <mergeCell ref="E13:F13"/>
    <mergeCell ref="G13:J13"/>
    <mergeCell ref="E10:F10"/>
    <mergeCell ref="G10:J10"/>
    <mergeCell ref="E11:F11"/>
    <mergeCell ref="I11:J11"/>
    <mergeCell ref="B12:D12"/>
    <mergeCell ref="E12:F12"/>
    <mergeCell ref="G12:J12"/>
    <mergeCell ref="B3:J3"/>
    <mergeCell ref="B6:C6"/>
    <mergeCell ref="D6:E6"/>
    <mergeCell ref="F6:J6"/>
    <mergeCell ref="E9:F9"/>
    <mergeCell ref="I9:J9"/>
  </mergeCells>
  <conditionalFormatting sqref="I11:J11">
    <cfRule type="cellIs" dxfId="30" priority="1" stopIfTrue="1" operator="equal">
      <formula>"C"</formula>
    </cfRule>
    <cfRule type="cellIs" dxfId="29" priority="2" stopIfTrue="1" operator="equal">
      <formula>"B2"</formula>
    </cfRule>
    <cfRule type="cellIs" dxfId="28" priority="3" stopIfTrue="1" operator="equal">
      <formula>"B1"</formula>
    </cfRule>
  </conditionalFormatting>
  <dataValidations count="1">
    <dataValidation type="list" allowBlank="1" showErrorMessage="1" sqref="G7" xr:uid="{00000000-0002-0000-0300-000000000000}">
      <formula1>$K$8:$K$9</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7"/>
  </sheetPr>
  <dimension ref="A1:O33"/>
  <sheetViews>
    <sheetView showGridLines="0" topLeftCell="A16" zoomScale="120" zoomScaleNormal="120" workbookViewId="0">
      <selection activeCell="N23" sqref="N23"/>
    </sheetView>
  </sheetViews>
  <sheetFormatPr baseColWidth="10" defaultColWidth="9.140625" defaultRowHeight="15"/>
  <cols>
    <col min="1" max="1" width="3.5703125" customWidth="1"/>
    <col min="2" max="2" width="11.28515625" customWidth="1"/>
    <col min="3" max="3" width="5.140625" customWidth="1"/>
    <col min="4" max="4" width="12.42578125" customWidth="1"/>
    <col min="6" max="6" width="28" customWidth="1"/>
    <col min="7" max="7" width="3.85546875" customWidth="1"/>
    <col min="8" max="8" width="10.42578125" customWidth="1"/>
    <col min="9" max="9" width="14.7109375" customWidth="1"/>
    <col min="10" max="10" width="12" customWidth="1"/>
    <col min="11" max="11" width="11.7109375" customWidth="1"/>
    <col min="12" max="12" width="3.7109375" customWidth="1"/>
  </cols>
  <sheetData>
    <row r="1" spans="2:15" ht="30.75" customHeight="1">
      <c r="B1" s="6"/>
      <c r="C1" s="6"/>
      <c r="D1" s="6"/>
      <c r="E1" s="6"/>
      <c r="F1" s="6"/>
      <c r="G1" s="6"/>
      <c r="H1" s="6"/>
      <c r="I1" s="6"/>
      <c r="J1" s="6"/>
      <c r="K1" s="6"/>
    </row>
    <row r="2" spans="2:15" ht="27.75" customHeight="1">
      <c r="B2" s="519" t="str">
        <f>+"Cuadro de mando:  "&amp;"  "&amp;+'Introducción de datos'!C4&amp;" - "&amp;'Introducción de datos'!G6</f>
        <v>Cuadro de mando:    El Salvador - VIH / SIDA</v>
      </c>
      <c r="C2" s="519"/>
      <c r="D2" s="519"/>
      <c r="E2" s="519"/>
      <c r="F2" s="519"/>
      <c r="G2" s="519"/>
      <c r="H2" s="519"/>
      <c r="I2" s="519"/>
      <c r="J2" s="519"/>
      <c r="K2" s="519"/>
      <c r="L2" s="295"/>
      <c r="M2" s="295"/>
      <c r="N2" s="295"/>
      <c r="O2" s="295"/>
    </row>
    <row r="3" spans="2:15">
      <c r="B3" s="296" t="str">
        <f>+'Introducción de datos'!G8</f>
        <v>SSF/NMF</v>
      </c>
      <c r="C3" s="565" t="str">
        <f>+'Introducción de datos'!I8</f>
        <v>Fase 2</v>
      </c>
      <c r="D3" s="565"/>
      <c r="E3" s="566"/>
      <c r="F3" s="566"/>
      <c r="G3" s="566"/>
      <c r="H3" s="566"/>
      <c r="I3" s="567" t="str">
        <f>+'Introducción de datos'!B16</f>
        <v>Periodo:</v>
      </c>
      <c r="J3" s="567"/>
      <c r="K3" s="298" t="str">
        <f>+'Introducción de datos'!C16</f>
        <v>P2</v>
      </c>
      <c r="L3" s="299"/>
    </row>
    <row r="4" spans="2:15">
      <c r="B4" s="296" t="str">
        <f>+'Introducción de datos'!B12</f>
        <v>Ultima calificación:</v>
      </c>
      <c r="C4" s="568" t="str">
        <f>+'Introducción de datos'!C12</f>
        <v>B2</v>
      </c>
      <c r="D4" s="568"/>
      <c r="E4" s="566" t="str">
        <f>+'Introducción de datos'!C8</f>
        <v xml:space="preserve">Ministerio de Salud </v>
      </c>
      <c r="F4" s="566"/>
      <c r="G4" s="566"/>
      <c r="H4" s="566"/>
      <c r="I4" s="567" t="str">
        <f>+'Introducción de datos'!D16</f>
        <v>Desde:</v>
      </c>
      <c r="J4" s="567"/>
      <c r="K4" s="300" t="str">
        <f>+'Introducción de datos'!E16</f>
        <v>1 de julio de 2017</v>
      </c>
    </row>
    <row r="5" spans="2:15" ht="18.75" customHeight="1">
      <c r="B5" s="296"/>
      <c r="C5" s="296"/>
      <c r="D5" s="569" t="str">
        <f>+'Introducción de datos'!G4</f>
        <v>INNOVANDO SERVICIOS, REDUCIENDO RIESGOS, RENOVANDO VIDAS EN EL SALVADOR</v>
      </c>
      <c r="E5" s="569"/>
      <c r="F5" s="569"/>
      <c r="G5" s="569"/>
      <c r="H5" s="569"/>
      <c r="I5" s="569"/>
      <c r="J5" s="296" t="str">
        <f>+'Introducción de datos'!F16</f>
        <v>Hasta:</v>
      </c>
      <c r="K5" s="300">
        <f>+'Introducción de datos'!G16</f>
        <v>43100</v>
      </c>
    </row>
    <row r="6" spans="2:15" ht="18.75">
      <c r="B6" s="301"/>
      <c r="C6" s="296"/>
      <c r="D6" s="302"/>
      <c r="E6" s="570" t="s">
        <v>217</v>
      </c>
      <c r="F6" s="570"/>
      <c r="G6" s="570"/>
      <c r="H6" s="570"/>
      <c r="I6" s="6"/>
      <c r="J6" s="6"/>
      <c r="K6" s="6"/>
    </row>
    <row r="7" spans="2:15" ht="10.5" customHeight="1">
      <c r="B7" s="303"/>
      <c r="C7" s="297"/>
      <c r="D7" s="302"/>
      <c r="E7" s="304"/>
      <c r="F7" s="304"/>
      <c r="G7" s="305"/>
      <c r="H7" s="305"/>
      <c r="I7" s="306"/>
      <c r="J7" s="306"/>
      <c r="K7" s="307"/>
    </row>
    <row r="8" spans="2:15">
      <c r="B8" s="308" t="str">
        <f>+'Introducción de datos'!B27&amp;" - en ("&amp;'Introducción de datos'!D26&amp;")         "&amp;+I3&amp;" "&amp;+K3</f>
        <v>F1: Presupuesto y desembolsos del Fondo Mundial - en ($)         Periodo: P2</v>
      </c>
      <c r="C8" s="309"/>
      <c r="D8" s="148"/>
      <c r="E8" s="148"/>
      <c r="F8" s="148"/>
      <c r="H8" s="308" t="str">
        <f>+'Introducción de datos'!B53&amp;" - en ("&amp;'Introducción de datos'!D26&amp;")         "&amp;+I3&amp;" "&amp;+K3</f>
        <v>F3: Desembolsos y gastos - en ($)         Periodo: P2</v>
      </c>
      <c r="I8" s="6"/>
      <c r="J8" s="6"/>
      <c r="K8" s="6"/>
    </row>
    <row r="9" spans="2:15" ht="45.75" customHeight="1">
      <c r="B9" s="310" t="s">
        <v>218</v>
      </c>
      <c r="C9" s="571" t="s">
        <v>400</v>
      </c>
      <c r="D9" s="571"/>
      <c r="E9" s="571"/>
      <c r="F9" s="571"/>
      <c r="H9" s="311" t="s">
        <v>218</v>
      </c>
      <c r="I9" s="572" t="s">
        <v>415</v>
      </c>
      <c r="J9" s="572"/>
      <c r="K9" s="572"/>
    </row>
    <row r="10" spans="2:15">
      <c r="B10" s="148"/>
      <c r="C10" s="148"/>
      <c r="D10" s="148"/>
      <c r="E10" s="148"/>
      <c r="F10" s="148"/>
      <c r="G10" s="6"/>
      <c r="H10" s="6"/>
      <c r="I10" s="6"/>
      <c r="J10" s="6"/>
      <c r="K10" s="6"/>
    </row>
    <row r="11" spans="2:15">
      <c r="B11" s="148"/>
      <c r="C11" s="148"/>
      <c r="D11" s="148"/>
      <c r="E11" s="148"/>
      <c r="F11" s="148"/>
      <c r="G11" s="6"/>
      <c r="H11" s="6"/>
      <c r="I11" s="6"/>
      <c r="J11" s="6"/>
      <c r="K11" s="6"/>
    </row>
    <row r="12" spans="2:15">
      <c r="B12" s="148"/>
      <c r="C12" s="148"/>
      <c r="D12" s="148"/>
      <c r="E12" s="148"/>
      <c r="F12" s="148"/>
      <c r="G12" s="6"/>
      <c r="H12" s="6"/>
      <c r="I12" s="6"/>
      <c r="J12" s="6"/>
      <c r="K12" s="6"/>
    </row>
    <row r="13" spans="2:15">
      <c r="B13" s="148"/>
      <c r="C13" s="148"/>
      <c r="D13" s="148"/>
      <c r="E13" s="148"/>
      <c r="F13" s="148"/>
      <c r="G13" s="6"/>
      <c r="H13" s="6"/>
      <c r="I13" s="6"/>
      <c r="J13" s="6"/>
      <c r="K13" s="6"/>
    </row>
    <row r="14" spans="2:15">
      <c r="B14" s="148"/>
      <c r="C14" s="148"/>
      <c r="D14" s="148"/>
      <c r="E14" s="148"/>
      <c r="F14" s="148"/>
      <c r="G14" s="6"/>
      <c r="H14" s="6"/>
      <c r="I14" s="6"/>
      <c r="J14" s="6"/>
      <c r="K14" s="6"/>
    </row>
    <row r="15" spans="2:15">
      <c r="B15" s="148"/>
      <c r="C15" s="148"/>
      <c r="D15" s="148"/>
      <c r="E15" s="148"/>
      <c r="F15" s="148"/>
      <c r="G15" s="6"/>
      <c r="H15" s="6"/>
      <c r="I15" s="6"/>
      <c r="J15" s="6"/>
      <c r="K15" s="6"/>
      <c r="M15" s="312" t="s">
        <v>219</v>
      </c>
    </row>
    <row r="16" spans="2:15">
      <c r="B16" s="148"/>
      <c r="C16" s="148"/>
      <c r="D16" s="148"/>
      <c r="E16" s="148"/>
      <c r="F16" s="148"/>
      <c r="G16" s="6"/>
      <c r="H16" s="6"/>
      <c r="I16" s="6"/>
      <c r="J16" s="6"/>
      <c r="K16" s="6"/>
      <c r="M16" s="312" t="s">
        <v>220</v>
      </c>
    </row>
    <row r="17" spans="1:11">
      <c r="B17" s="148"/>
      <c r="C17" s="148"/>
      <c r="D17" s="148"/>
      <c r="E17" s="148"/>
      <c r="F17" s="148"/>
      <c r="G17" s="6"/>
      <c r="H17" s="6"/>
      <c r="I17" s="6"/>
      <c r="J17" s="6"/>
      <c r="K17" s="6"/>
    </row>
    <row r="18" spans="1:11">
      <c r="B18" s="148"/>
      <c r="C18" s="148"/>
      <c r="D18" s="148"/>
      <c r="E18" s="148"/>
      <c r="F18" s="148"/>
      <c r="G18" s="6"/>
      <c r="H18" s="6"/>
      <c r="I18" s="6"/>
      <c r="J18" s="6"/>
      <c r="K18" s="6"/>
    </row>
    <row r="19" spans="1:11">
      <c r="B19" s="148"/>
      <c r="C19" s="148"/>
      <c r="D19" s="148"/>
      <c r="E19" s="148"/>
      <c r="F19" s="148"/>
      <c r="G19" s="6"/>
      <c r="H19" s="6"/>
      <c r="I19" s="6"/>
      <c r="J19" s="6"/>
      <c r="K19" s="6"/>
    </row>
    <row r="20" spans="1:11">
      <c r="B20" s="148"/>
      <c r="C20" s="148"/>
      <c r="D20" s="148"/>
      <c r="E20" s="148"/>
      <c r="F20" s="148"/>
      <c r="G20" s="6"/>
      <c r="H20" s="6"/>
      <c r="I20" s="6"/>
      <c r="J20" s="6"/>
      <c r="K20" s="6"/>
    </row>
    <row r="21" spans="1:11" ht="24" customHeight="1">
      <c r="A21" s="10"/>
      <c r="B21" s="10"/>
      <c r="C21" s="10"/>
      <c r="D21" s="10"/>
      <c r="E21" s="10"/>
      <c r="F21" s="10"/>
      <c r="G21" s="10"/>
      <c r="H21" s="10"/>
      <c r="I21" s="10"/>
      <c r="J21" s="10"/>
      <c r="K21" s="10"/>
    </row>
    <row r="22" spans="1:11" ht="23.25" customHeight="1">
      <c r="B22" s="313" t="str">
        <f>+'Introducción de datos'!B36&amp;" - en ("&amp;'Introducción de datos'!D26&amp;")  "&amp;+I3&amp;" "&amp;+K3</f>
        <v>F2: Presupuesto y gastos reales por Módulo de la subvención - en ($)  Periodo: P2</v>
      </c>
      <c r="C22" s="148"/>
      <c r="D22" s="148"/>
      <c r="E22" s="148"/>
      <c r="F22" s="148"/>
      <c r="H22" s="313" t="str">
        <f>+'Introducción de datos'!B63&amp;"   "&amp;+I3&amp;" "&amp;+K3</f>
        <v>F4: Último ciclo de información y desembolso del RP   Periodo: P2</v>
      </c>
      <c r="J22" s="6"/>
      <c r="K22" s="6"/>
    </row>
    <row r="23" spans="1:11" ht="45.75" customHeight="1">
      <c r="B23" s="311" t="s">
        <v>221</v>
      </c>
      <c r="C23" s="572" t="s">
        <v>414</v>
      </c>
      <c r="D23" s="572"/>
      <c r="E23" s="572"/>
      <c r="F23" s="572"/>
      <c r="G23" s="314"/>
      <c r="H23" s="311" t="s">
        <v>218</v>
      </c>
      <c r="I23" s="572" t="s">
        <v>222</v>
      </c>
      <c r="J23" s="572"/>
      <c r="K23" s="572"/>
    </row>
    <row r="24" spans="1:11">
      <c r="B24" s="315"/>
      <c r="C24" s="315"/>
      <c r="D24" s="315"/>
      <c r="E24" s="315"/>
      <c r="F24" s="315"/>
      <c r="G24" s="315"/>
      <c r="H24" s="316"/>
      <c r="I24" s="316"/>
      <c r="J24" s="315"/>
      <c r="K24" s="315"/>
    </row>
    <row r="25" spans="1:11" ht="29.25" customHeight="1">
      <c r="B25" s="6"/>
      <c r="C25" s="6"/>
      <c r="D25" s="6"/>
      <c r="E25" s="6"/>
      <c r="F25" s="6"/>
      <c r="G25" s="317"/>
      <c r="H25" s="573" t="s">
        <v>223</v>
      </c>
      <c r="I25" s="573"/>
      <c r="J25" s="573"/>
      <c r="K25" s="573"/>
    </row>
    <row r="26" spans="1:11" ht="24.75">
      <c r="B26" s="6"/>
      <c r="C26" s="6"/>
      <c r="D26" s="6"/>
      <c r="E26" s="6"/>
      <c r="F26" s="6"/>
      <c r="G26" s="44"/>
      <c r="H26" s="574"/>
      <c r="I26" s="574"/>
      <c r="J26" s="318" t="s">
        <v>111</v>
      </c>
      <c r="K26" s="319" t="s">
        <v>112</v>
      </c>
    </row>
    <row r="27" spans="1:11" ht="29.25" customHeight="1">
      <c r="B27" s="6"/>
      <c r="C27" s="6"/>
      <c r="D27" s="6"/>
      <c r="E27" s="6"/>
      <c r="F27" s="6"/>
      <c r="G27" s="320"/>
      <c r="H27" s="575" t="str">
        <f>'Introducción de datos'!B67</f>
        <v>Días tardados en presentar el informe de progreso actualizado y solicitud de desembolso al ALF</v>
      </c>
      <c r="I27" s="575"/>
      <c r="J27" s="321">
        <f>+'Introducción de datos'!C67</f>
        <v>60</v>
      </c>
      <c r="K27" s="322">
        <f>+'Introducción de datos'!D67</f>
        <v>60</v>
      </c>
    </row>
    <row r="28" spans="1:11" ht="21" customHeight="1">
      <c r="B28" s="6"/>
      <c r="C28" s="6"/>
      <c r="D28" s="6"/>
      <c r="E28" s="6"/>
      <c r="F28" s="6"/>
      <c r="G28" s="320"/>
      <c r="H28" s="575" t="str">
        <f>'Introducción de datos'!B68</f>
        <v>Días que el desembolso ha tardado en llegar al RP</v>
      </c>
      <c r="I28" s="575"/>
      <c r="J28" s="321">
        <f>+'Introducción de datos'!C68</f>
        <v>0</v>
      </c>
      <c r="K28" s="322">
        <f>+'Introducción de datos'!D68</f>
        <v>0</v>
      </c>
    </row>
    <row r="29" spans="1:11" ht="21" customHeight="1">
      <c r="B29" s="6"/>
      <c r="C29" s="6"/>
      <c r="D29" s="6"/>
      <c r="E29" s="6"/>
      <c r="F29" s="6"/>
      <c r="G29" s="320"/>
      <c r="H29" s="576" t="str">
        <f>'Introducción de datos'!B69</f>
        <v xml:space="preserve">Días que el desembolso ha tardado en llegar a los subreceptores </v>
      </c>
      <c r="I29" s="576"/>
      <c r="J29" s="323">
        <f>+'Introducción de datos'!C69</f>
        <v>0</v>
      </c>
      <c r="K29" s="324">
        <f>+'Introducción de datos'!D69</f>
        <v>0</v>
      </c>
    </row>
    <row r="30" spans="1:11">
      <c r="B30" s="6"/>
      <c r="C30" s="6"/>
      <c r="D30" s="6"/>
      <c r="E30" s="6"/>
      <c r="F30" s="6"/>
      <c r="G30" s="6"/>
      <c r="H30" s="6"/>
      <c r="I30" s="6"/>
      <c r="J30" s="6"/>
      <c r="K30" s="6"/>
    </row>
    <row r="31" spans="1:11">
      <c r="B31" s="6"/>
      <c r="C31" s="98"/>
      <c r="D31" s="325"/>
      <c r="E31" s="6"/>
      <c r="F31" s="6"/>
      <c r="G31" s="6"/>
      <c r="H31" s="6"/>
      <c r="I31" s="6"/>
      <c r="J31" s="6"/>
      <c r="K31" s="6"/>
    </row>
    <row r="32" spans="1:11">
      <c r="B32" s="6"/>
      <c r="C32" s="288" t="s">
        <v>100</v>
      </c>
      <c r="D32" s="325"/>
      <c r="E32" s="6"/>
      <c r="F32" s="6"/>
      <c r="G32" s="6"/>
      <c r="H32" s="6"/>
      <c r="I32" s="6"/>
      <c r="J32" s="6"/>
      <c r="K32" s="6"/>
    </row>
    <row r="33" spans="3:3">
      <c r="C33" s="312" t="s">
        <v>150</v>
      </c>
    </row>
  </sheetData>
  <sheetProtection password="CF09" sheet="1"/>
  <mergeCells count="18">
    <mergeCell ref="H25:K25"/>
    <mergeCell ref="H26:I26"/>
    <mergeCell ref="H27:I27"/>
    <mergeCell ref="H28:I28"/>
    <mergeCell ref="H29:I29"/>
    <mergeCell ref="D5:I5"/>
    <mergeCell ref="E6:H6"/>
    <mergeCell ref="C9:F9"/>
    <mergeCell ref="I9:K9"/>
    <mergeCell ref="C23:F23"/>
    <mergeCell ref="I23:K23"/>
    <mergeCell ref="B2:K2"/>
    <mergeCell ref="C3:D3"/>
    <mergeCell ref="E3:H3"/>
    <mergeCell ref="I3:J3"/>
    <mergeCell ref="C4:D4"/>
    <mergeCell ref="E4:H4"/>
    <mergeCell ref="I4:J4"/>
  </mergeCells>
  <conditionalFormatting sqref="K27:K29">
    <cfRule type="cellIs" dxfId="27" priority="1" stopIfTrue="1" operator="equal">
      <formula>0</formula>
    </cfRule>
  </conditionalFormatting>
  <conditionalFormatting sqref="C4:D4">
    <cfRule type="cellIs" dxfId="26" priority="2" stopIfTrue="1" operator="equal">
      <formula>"C"</formula>
    </cfRule>
    <cfRule type="cellIs" dxfId="25" priority="3" stopIfTrue="1" operator="equal">
      <formula>"B2"</formula>
    </cfRule>
    <cfRule type="cellIs" dxfId="24" priority="4" stopIfTrue="1" operator="equal">
      <formula>"B1"</formula>
    </cfRule>
  </conditionalFormatting>
  <pageMargins left="0.70833333333333337" right="0.70833333333333337" top="0.74791666666666667" bottom="0.74861111111111112" header="0.51180555555555551" footer="0.31527777777777777"/>
  <pageSetup paperSize="9" scale="97" firstPageNumber="0" orientation="landscape" horizontalDpi="300" verticalDpi="300" r:id="rId1"/>
  <headerFooter alignWithMargins="0">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A1:P37"/>
  <sheetViews>
    <sheetView showGridLines="0" topLeftCell="A10" workbookViewId="0">
      <selection activeCell="G40" sqref="G40"/>
    </sheetView>
  </sheetViews>
  <sheetFormatPr baseColWidth="10" defaultColWidth="9.140625" defaultRowHeight="15"/>
  <cols>
    <col min="1" max="1" width="3.28515625" customWidth="1"/>
    <col min="2" max="2" width="14.28515625" customWidth="1"/>
    <col min="3" max="3" width="12.42578125" customWidth="1"/>
    <col min="4" max="4" width="13.140625" customWidth="1"/>
    <col min="6" max="6" width="15" customWidth="1"/>
    <col min="7" max="7" width="18.7109375" customWidth="1"/>
    <col min="8" max="8" width="11.28515625" customWidth="1"/>
    <col min="9" max="9" width="48.5703125" customWidth="1"/>
    <col min="10" max="10" width="13.7109375" customWidth="1"/>
    <col min="11" max="11" width="13.5703125" customWidth="1"/>
    <col min="12" max="12" width="14.140625" customWidth="1"/>
  </cols>
  <sheetData>
    <row r="1" spans="1:16" ht="28.5" customHeight="1">
      <c r="C1" s="326"/>
      <c r="E1" s="326"/>
    </row>
    <row r="2" spans="1:16" ht="27.75" customHeight="1">
      <c r="B2" s="577" t="str">
        <f>+"Cuadro de mando:  "&amp;"  "&amp;+'Introducción de datos'!C4&amp;" - "&amp;'Introducción de datos'!G6</f>
        <v>Cuadro de mando:    El Salvador - VIH / SIDA</v>
      </c>
      <c r="C2" s="577"/>
      <c r="D2" s="577"/>
      <c r="E2" s="577"/>
      <c r="F2" s="577"/>
      <c r="G2" s="577"/>
      <c r="H2" s="577"/>
      <c r="I2" s="577"/>
      <c r="J2" s="577"/>
      <c r="K2" s="577"/>
      <c r="L2" s="577"/>
      <c r="M2" s="327"/>
      <c r="N2" s="327"/>
      <c r="O2" s="327"/>
      <c r="P2" s="327"/>
    </row>
    <row r="3" spans="1:16">
      <c r="B3" s="328" t="str">
        <f>+'Introducción de datos'!G8</f>
        <v>SSF/NMF</v>
      </c>
      <c r="C3" s="578" t="str">
        <f>+'Introducción de datos'!I8</f>
        <v>Fase 2</v>
      </c>
      <c r="D3" s="578"/>
      <c r="E3" s="579"/>
      <c r="F3" s="579"/>
      <c r="G3" s="579"/>
      <c r="H3" s="579"/>
      <c r="I3" s="579"/>
      <c r="J3" s="580" t="str">
        <f>+'Introducción de datos'!B16</f>
        <v>Periodo:</v>
      </c>
      <c r="K3" s="580"/>
      <c r="L3" s="298" t="str">
        <f>+'Introducción de datos'!C16</f>
        <v>P2</v>
      </c>
    </row>
    <row r="4" spans="1:16">
      <c r="B4" s="328" t="str">
        <f>+'Introducción de datos'!B12</f>
        <v>Ultima calificación:</v>
      </c>
      <c r="C4" s="568" t="str">
        <f>+'Introducción de datos'!C12</f>
        <v>B2</v>
      </c>
      <c r="D4" s="568"/>
      <c r="E4" s="579" t="str">
        <f>+'Introducción de datos'!C8</f>
        <v xml:space="preserve">Ministerio de Salud </v>
      </c>
      <c r="F4" s="579"/>
      <c r="G4" s="579"/>
      <c r="H4" s="579"/>
      <c r="I4" s="579"/>
      <c r="J4" s="580" t="str">
        <f>+'Introducción de datos'!D16</f>
        <v>Desde:</v>
      </c>
      <c r="K4" s="580"/>
      <c r="L4" s="300" t="str">
        <f>+'Introducción de datos'!E16</f>
        <v>1 de julio de 2017</v>
      </c>
    </row>
    <row r="5" spans="1:16" ht="18.75" customHeight="1">
      <c r="B5" s="328"/>
      <c r="C5" s="328"/>
      <c r="D5" s="579" t="str">
        <f>+'Introducción de datos'!G4</f>
        <v>INNOVANDO SERVICIOS, REDUCIENDO RIESGOS, RENOVANDO VIDAS EN EL SALVADOR</v>
      </c>
      <c r="E5" s="579"/>
      <c r="F5" s="579"/>
      <c r="G5" s="579"/>
      <c r="H5" s="579"/>
      <c r="I5" s="579"/>
      <c r="J5" s="579"/>
      <c r="K5" s="328" t="str">
        <f>+'Introducción de datos'!F16</f>
        <v>Hasta:</v>
      </c>
      <c r="L5" s="300">
        <f>+'Introducción de datos'!G16</f>
        <v>43100</v>
      </c>
    </row>
    <row r="6" spans="1:16" ht="18.75">
      <c r="B6" s="329"/>
      <c r="C6" s="328"/>
      <c r="D6" s="302"/>
      <c r="E6" s="582" t="s">
        <v>20</v>
      </c>
      <c r="F6" s="582"/>
      <c r="G6" s="582"/>
      <c r="H6" s="582"/>
      <c r="I6" s="582"/>
    </row>
    <row r="7" spans="1:16">
      <c r="B7" s="330" t="str">
        <f>+'Introducción de datos'!B74&amp;"     "&amp;+J3&amp;" "&amp;+L3</f>
        <v>M1: Estado de las condiciones precedentes y acciones con fecha límite     Periodo: P2</v>
      </c>
      <c r="C7" s="331"/>
      <c r="H7" s="330" t="str">
        <f>+'Introducción de datos'!B81&amp;"         "&amp;+J3&amp;"  "&amp;+L3</f>
        <v>M2: Estado de los principales puestos directivos del RP         Periodo:  P2</v>
      </c>
    </row>
    <row r="8" spans="1:16" ht="66" customHeight="1">
      <c r="B8" s="332" t="s">
        <v>218</v>
      </c>
      <c r="C8" s="583" t="s">
        <v>391</v>
      </c>
      <c r="D8" s="583"/>
      <c r="E8" s="583"/>
      <c r="F8" s="583"/>
      <c r="G8" s="333"/>
      <c r="H8" s="332" t="s">
        <v>218</v>
      </c>
      <c r="I8" s="583" t="s">
        <v>224</v>
      </c>
      <c r="J8" s="583"/>
      <c r="K8" s="583"/>
      <c r="L8" s="583"/>
    </row>
    <row r="9" spans="1:16">
      <c r="B9" s="10"/>
      <c r="C9" s="10"/>
      <c r="D9" s="10"/>
      <c r="E9" s="10"/>
      <c r="F9" s="10"/>
      <c r="G9" s="10"/>
      <c r="H9" s="10"/>
    </row>
    <row r="10" spans="1:16">
      <c r="A10" s="334"/>
      <c r="B10" s="10"/>
      <c r="C10" s="10"/>
      <c r="D10" s="584"/>
      <c r="E10" s="495"/>
      <c r="F10" s="495"/>
      <c r="G10" s="12"/>
      <c r="H10" s="10"/>
      <c r="N10" s="336"/>
      <c r="O10" s="336"/>
      <c r="P10" s="337"/>
    </row>
    <row r="11" spans="1:16">
      <c r="B11" s="10"/>
      <c r="C11" s="335"/>
      <c r="D11" s="584"/>
      <c r="E11" s="335"/>
      <c r="F11" s="335"/>
      <c r="G11" s="335"/>
      <c r="H11" s="335"/>
      <c r="N11" s="10"/>
      <c r="O11" s="10"/>
    </row>
    <row r="12" spans="1:16">
      <c r="B12" s="335"/>
      <c r="C12" s="338"/>
      <c r="D12" s="339"/>
      <c r="E12" s="339"/>
      <c r="F12" s="339"/>
      <c r="G12" s="339"/>
      <c r="H12" s="340"/>
    </row>
    <row r="13" spans="1:16">
      <c r="B13" s="335"/>
      <c r="C13" s="338"/>
      <c r="D13" s="339"/>
      <c r="E13" s="339"/>
      <c r="F13" s="339"/>
      <c r="G13" s="339"/>
      <c r="H13" s="340"/>
    </row>
    <row r="15" spans="1:16" ht="55.15" customHeight="1">
      <c r="B15" s="330" t="str">
        <f>+'Introducción de datos'!B86&amp;"            "&amp;+J3&amp;" "&amp;+L3</f>
        <v>M3: Acuerdos contractuales (gestores de compra de bienes y servicios)             Periodo: P2</v>
      </c>
    </row>
    <row r="16" spans="1:16" ht="32.1" customHeight="1">
      <c r="G16" s="333"/>
    </row>
    <row r="17" spans="2:13" ht="20.85" customHeight="1">
      <c r="B17" s="332" t="s">
        <v>218</v>
      </c>
      <c r="C17" s="585" t="s">
        <v>225</v>
      </c>
      <c r="D17" s="585"/>
      <c r="E17" s="585"/>
      <c r="F17" s="585"/>
      <c r="H17" s="341"/>
    </row>
    <row r="18" spans="2:13" ht="18.600000000000001" customHeight="1">
      <c r="H18" s="330" t="str">
        <f>+'Introducción de datos'!B91&amp;"                "&amp;+J3&amp;" "&amp;+L3</f>
        <v>M4: Número de informes completos recibidos a tiempo                Periodo: P2</v>
      </c>
      <c r="M18" s="299"/>
    </row>
    <row r="19" spans="2:13" ht="15.75" customHeight="1">
      <c r="H19" s="332" t="s">
        <v>218</v>
      </c>
      <c r="I19" s="585" t="s">
        <v>225</v>
      </c>
      <c r="J19" s="585"/>
      <c r="K19" s="585"/>
      <c r="L19" s="585"/>
    </row>
    <row r="25" spans="2:13" ht="22.5" customHeight="1"/>
    <row r="26" spans="2:13">
      <c r="H26" s="330" t="str">
        <f>+'Introducción de datos'!B110&amp;"    "&amp;+J3&amp;"  "&amp;+L3</f>
        <v>M6: Diferencia entre existencias actuales y existencias de seguridad    Periodo:  P2</v>
      </c>
    </row>
    <row r="27" spans="2:13" ht="57.75" customHeight="1">
      <c r="B27" s="330" t="str">
        <f>+'Introducción de datos'!B97</f>
        <v>M5: Presupuesto y compra de productos y equipo sanitario, medicamentos y productos farmacéuticos</v>
      </c>
      <c r="G27" s="333"/>
    </row>
    <row r="28" spans="2:13" ht="111.75" customHeight="1">
      <c r="B28" s="332" t="s">
        <v>218</v>
      </c>
      <c r="C28" s="583" t="s">
        <v>396</v>
      </c>
      <c r="D28" s="583"/>
      <c r="E28" s="583"/>
      <c r="F28" s="583"/>
    </row>
    <row r="29" spans="2:13" ht="96" customHeight="1">
      <c r="F29" s="342"/>
      <c r="G29" s="342"/>
      <c r="H29" s="332" t="s">
        <v>218</v>
      </c>
      <c r="I29" s="586" t="s">
        <v>395</v>
      </c>
      <c r="J29" s="586"/>
      <c r="K29" s="586"/>
      <c r="L29" s="586"/>
    </row>
    <row r="30" spans="2:13" ht="44.1" customHeight="1">
      <c r="F30" s="342"/>
      <c r="G30" s="342"/>
      <c r="H30" s="343" t="s">
        <v>154</v>
      </c>
      <c r="I30" s="344" t="s">
        <v>155</v>
      </c>
      <c r="J30" s="345" t="s">
        <v>226</v>
      </c>
      <c r="K30" s="346" t="s">
        <v>227</v>
      </c>
      <c r="L30" s="347" t="s">
        <v>228</v>
      </c>
    </row>
    <row r="31" spans="2:13">
      <c r="F31" s="342"/>
      <c r="G31" s="342"/>
      <c r="H31" s="587" t="str">
        <f>+'Introducción de datos'!B113</f>
        <v>VIH/SIDA</v>
      </c>
      <c r="I31" s="348" t="str">
        <f>+'Introducción de datos'!C113</f>
        <v>Efavirenz 600 mg/Emtricitabina 200 mg/tenofovir 300 mg</v>
      </c>
      <c r="J31" s="349">
        <f>+'Introducción de datos'!I113</f>
        <v>6.1111408677021961</v>
      </c>
      <c r="K31" s="350">
        <f>+'Introducción de datos'!J113</f>
        <v>3</v>
      </c>
      <c r="L31" s="351">
        <f>+'Introducción de datos'!K113</f>
        <v>3.1111408677021961</v>
      </c>
    </row>
    <row r="32" spans="2:13">
      <c r="F32" s="342"/>
      <c r="G32" s="342"/>
      <c r="H32" s="587"/>
      <c r="I32" s="348"/>
      <c r="J32" s="349"/>
      <c r="K32" s="350"/>
      <c r="L32" s="352"/>
    </row>
    <row r="33" spans="2:12">
      <c r="F33" s="342"/>
      <c r="G33" s="342"/>
      <c r="H33" s="587"/>
      <c r="I33" s="348"/>
      <c r="J33" s="349"/>
      <c r="K33" s="350"/>
      <c r="L33" s="352"/>
    </row>
    <row r="37" spans="2:12" ht="38.25" customHeight="1">
      <c r="B37" s="581" t="str">
        <f>+'Introducción de datos'!B107</f>
        <v>* Incluye sólo los montos de las categorías 4 y 5 (Productos y equipamientos sanitarios y Medicamentos y productos farmacéuticos) de los  Informes Financieros Mejorados</v>
      </c>
      <c r="C37" s="581"/>
      <c r="D37" s="581"/>
      <c r="E37" s="581"/>
    </row>
  </sheetData>
  <sheetProtection selectLockedCells="1" selectUnlockedCells="1"/>
  <mergeCells count="19">
    <mergeCell ref="B37:E37"/>
    <mergeCell ref="D5:J5"/>
    <mergeCell ref="E6:I6"/>
    <mergeCell ref="C8:F8"/>
    <mergeCell ref="I8:L8"/>
    <mergeCell ref="D10:D11"/>
    <mergeCell ref="E10:F10"/>
    <mergeCell ref="C17:F17"/>
    <mergeCell ref="I19:L19"/>
    <mergeCell ref="C28:F28"/>
    <mergeCell ref="I29:L29"/>
    <mergeCell ref="H31:H33"/>
    <mergeCell ref="B2:L2"/>
    <mergeCell ref="C3:D3"/>
    <mergeCell ref="E3:I3"/>
    <mergeCell ref="J3:K3"/>
    <mergeCell ref="C4:D4"/>
    <mergeCell ref="E4:I4"/>
    <mergeCell ref="J4:K4"/>
  </mergeCells>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1:L33">
    <cfRule type="cellIs" dxfId="17" priority="7" stopIfTrue="1" operator="lessThan">
      <formula>1</formula>
    </cfRule>
    <cfRule type="cellIs" dxfId="16" priority="8" stopIfTrue="1" operator="between">
      <formula>3</formula>
      <formula>17</formula>
    </cfRule>
    <cfRule type="cellIs" dxfId="15" priority="9" stopIfTrue="1" operator="between">
      <formula>1</formula>
      <formula>3</formula>
    </cfRule>
  </conditionalFormatting>
  <pageMargins left="0.70833333333333337" right="0.70833333333333337" top="0.74791666666666667" bottom="0.74861111111111112" header="0.51180555555555551" footer="0.31527777777777777"/>
  <pageSetup paperSize="9" scale="83" firstPageNumber="0" orientation="landscape" horizontalDpi="300" verticalDpi="300"/>
  <headerFooter alignWithMargins="0">
    <oddFooter>&amp;L&amp;F&amp;C&amp;A&amp;R&amp;D</oddFooter>
  </headerFooter>
  <colBreaks count="1" manualBreakCount="1">
    <brk id="12"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A1:AI33"/>
  <sheetViews>
    <sheetView showGridLines="0" topLeftCell="B1" zoomScale="160" zoomScaleNormal="160" zoomScaleSheetLayoutView="110" workbookViewId="0">
      <selection activeCell="L21" sqref="L21:Q21"/>
    </sheetView>
  </sheetViews>
  <sheetFormatPr baseColWidth="10" defaultColWidth="9.140625" defaultRowHeight="15"/>
  <cols>
    <col min="1" max="1" width="0" hidden="1" customWidth="1"/>
    <col min="2" max="2" width="16" customWidth="1"/>
    <col min="3" max="3" width="16.140625" customWidth="1"/>
    <col min="4" max="4" width="17.28515625" customWidth="1"/>
    <col min="5" max="5" width="14" customWidth="1"/>
    <col min="6" max="6" width="8.7109375" customWidth="1"/>
    <col min="7" max="7" width="5.7109375" customWidth="1"/>
    <col min="8" max="8" width="8" customWidth="1"/>
    <col min="9" max="9" width="6.7109375" customWidth="1"/>
    <col min="10" max="10" width="4.140625" customWidth="1"/>
    <col min="11" max="11" width="15.140625" customWidth="1"/>
    <col min="12" max="12" width="9" customWidth="1"/>
    <col min="13" max="13" width="16.7109375" customWidth="1"/>
    <col min="14" max="14" width="12.42578125" customWidth="1"/>
    <col min="15" max="15" width="14.5703125" customWidth="1"/>
    <col min="16" max="16" width="15.7109375" customWidth="1"/>
    <col min="17" max="17" width="10.42578125" customWidth="1"/>
    <col min="18" max="18" width="62.42578125" customWidth="1"/>
  </cols>
  <sheetData>
    <row r="1" spans="1:35" ht="26.25" customHeight="1">
      <c r="A1" s="6"/>
      <c r="B1" s="6"/>
      <c r="C1" s="6"/>
      <c r="D1" s="6"/>
      <c r="E1" s="6"/>
      <c r="F1" s="6"/>
      <c r="G1" s="6"/>
      <c r="H1" s="6"/>
      <c r="I1" s="6"/>
      <c r="J1" s="6"/>
      <c r="K1" s="6"/>
      <c r="L1" s="6"/>
      <c r="M1" s="6"/>
      <c r="N1" s="6"/>
      <c r="O1" s="6"/>
      <c r="P1" s="6"/>
    </row>
    <row r="2" spans="1:35" ht="21.75" customHeight="1">
      <c r="A2" s="6"/>
      <c r="B2" s="588" t="str">
        <f>+"Cuadro de mando:  "&amp;"  "&amp;+'Introducción de datos'!C4&amp;" - "&amp;'Introducción de datos'!G6</f>
        <v>Cuadro de mando:    El Salvador - VIH / SIDA</v>
      </c>
      <c r="C2" s="588"/>
      <c r="D2" s="588"/>
      <c r="E2" s="588"/>
      <c r="F2" s="588"/>
      <c r="G2" s="588"/>
      <c r="H2" s="588"/>
      <c r="I2" s="588"/>
      <c r="J2" s="588"/>
      <c r="K2" s="588"/>
      <c r="L2" s="588"/>
      <c r="M2" s="588"/>
      <c r="N2" s="588"/>
      <c r="O2" s="588"/>
      <c r="P2" s="588"/>
      <c r="Q2" s="588"/>
    </row>
    <row r="3" spans="1:35">
      <c r="A3" s="6"/>
      <c r="B3" s="296" t="str">
        <f>+'Introducción de datos'!G8</f>
        <v>SSF/NMF</v>
      </c>
      <c r="C3" s="565" t="str">
        <f>+'Introducción de datos'!I8</f>
        <v>Fase 2</v>
      </c>
      <c r="D3" s="565"/>
      <c r="E3" s="566"/>
      <c r="F3" s="566"/>
      <c r="G3" s="566"/>
      <c r="H3" s="566"/>
      <c r="I3" s="566"/>
      <c r="J3" s="566"/>
      <c r="K3" s="566"/>
      <c r="L3" s="6"/>
      <c r="M3" s="6"/>
      <c r="O3" s="567" t="str">
        <f>+'Introducción de datos'!B16</f>
        <v>Periodo:</v>
      </c>
      <c r="P3" s="567"/>
      <c r="Q3" s="353" t="s">
        <v>229</v>
      </c>
    </row>
    <row r="4" spans="1:35" ht="12" customHeight="1">
      <c r="A4" s="6"/>
      <c r="B4" s="296" t="str">
        <f>+'Introducción de datos'!B12</f>
        <v>Ultima calificación:</v>
      </c>
      <c r="C4" s="589" t="str">
        <f>+'Introducción de datos'!C12</f>
        <v>B2</v>
      </c>
      <c r="D4" s="589"/>
      <c r="E4" s="566" t="str">
        <f>+'Introducción de datos'!C8</f>
        <v xml:space="preserve">Ministerio de Salud </v>
      </c>
      <c r="F4" s="566"/>
      <c r="G4" s="566"/>
      <c r="H4" s="566"/>
      <c r="I4" s="566"/>
      <c r="J4" s="566"/>
      <c r="K4" s="566"/>
      <c r="L4" s="566"/>
      <c r="M4" s="6"/>
      <c r="O4" s="354"/>
      <c r="P4" s="296" t="str">
        <f>+'Introducción de datos'!D16</f>
        <v>Desde:</v>
      </c>
      <c r="Q4" s="355" t="str">
        <f>+'Introducción de datos'!E16</f>
        <v>1 de julio de 2017</v>
      </c>
      <c r="Y4" s="312"/>
      <c r="Z4" s="312"/>
      <c r="AA4" s="312"/>
      <c r="AB4" s="312"/>
      <c r="AC4" s="312"/>
    </row>
    <row r="5" spans="1:35" ht="15.75" customHeight="1">
      <c r="A5" s="6"/>
      <c r="B5" s="296"/>
      <c r="C5" s="296"/>
      <c r="D5" s="566" t="str">
        <f>+'Introducción de datos'!G4</f>
        <v>INNOVANDO SERVICIOS, REDUCIENDO RIESGOS, RENOVANDO VIDAS EN EL SALVADOR</v>
      </c>
      <c r="E5" s="566"/>
      <c r="F5" s="566"/>
      <c r="G5" s="566"/>
      <c r="H5" s="566"/>
      <c r="I5" s="566"/>
      <c r="J5" s="566"/>
      <c r="K5" s="566"/>
      <c r="L5" s="566"/>
      <c r="M5" s="566"/>
      <c r="N5" s="566"/>
      <c r="P5" s="296" t="str">
        <f>+'Introducción de datos'!F16</f>
        <v>Hasta:</v>
      </c>
      <c r="Q5" s="355">
        <f>+'Introducción de datos'!G16</f>
        <v>43100</v>
      </c>
      <c r="S5" s="356"/>
      <c r="T5" s="356"/>
      <c r="U5" s="356"/>
      <c r="V5" s="356"/>
      <c r="W5" s="356"/>
      <c r="X5" s="356"/>
      <c r="Y5" s="312"/>
      <c r="Z5" s="312"/>
      <c r="AA5" s="312" t="s">
        <v>230</v>
      </c>
      <c r="AB5" s="312"/>
      <c r="AC5" s="357" t="s">
        <v>231</v>
      </c>
      <c r="AD5" s="356"/>
      <c r="AE5" s="356"/>
      <c r="AF5" s="356"/>
      <c r="AG5" s="356"/>
      <c r="AH5" s="356"/>
      <c r="AI5" s="356"/>
    </row>
    <row r="6" spans="1:35" ht="15.75" customHeight="1">
      <c r="A6" s="6"/>
      <c r="B6" s="296"/>
      <c r="C6" s="296"/>
      <c r="D6" s="358"/>
      <c r="E6" s="358"/>
      <c r="F6" s="593" t="s">
        <v>232</v>
      </c>
      <c r="G6" s="593"/>
      <c r="H6" s="593"/>
      <c r="I6" s="593"/>
      <c r="J6" s="593"/>
      <c r="K6" s="593"/>
      <c r="L6" s="358"/>
      <c r="M6" s="6"/>
      <c r="N6" s="6"/>
      <c r="O6" s="359"/>
      <c r="P6" s="360"/>
      <c r="S6" s="356"/>
      <c r="T6" s="356"/>
      <c r="U6" s="356"/>
      <c r="V6" s="356"/>
      <c r="W6" s="356"/>
      <c r="X6" s="356"/>
      <c r="Y6" s="312"/>
      <c r="Z6" s="312"/>
      <c r="AA6" s="312"/>
      <c r="AB6" s="312"/>
      <c r="AC6" s="312"/>
      <c r="AD6" s="356"/>
      <c r="AE6" s="356"/>
      <c r="AF6" s="356"/>
      <c r="AG6" s="356"/>
      <c r="AH6" s="356"/>
      <c r="AI6" s="356"/>
    </row>
    <row r="7" spans="1:35" ht="3" customHeight="1">
      <c r="A7" s="6"/>
      <c r="B7" s="296"/>
      <c r="C7" s="296"/>
      <c r="D7" s="358"/>
      <c r="E7" s="358"/>
      <c r="F7" s="358"/>
      <c r="G7" s="358"/>
      <c r="H7" s="358"/>
      <c r="I7" s="358"/>
      <c r="J7" s="358"/>
      <c r="K7" s="358"/>
      <c r="L7" s="358"/>
      <c r="M7" s="6"/>
      <c r="N7" s="6"/>
      <c r="O7" s="359"/>
      <c r="P7" s="300"/>
      <c r="Q7" s="300"/>
      <c r="S7" s="356"/>
      <c r="T7" s="356"/>
      <c r="U7" s="356"/>
      <c r="V7" s="356"/>
      <c r="W7" s="356"/>
      <c r="X7" s="356"/>
      <c r="Y7" s="312"/>
      <c r="Z7" s="312"/>
      <c r="AA7" s="312"/>
      <c r="AB7" s="312"/>
      <c r="AC7" s="312"/>
      <c r="AD7" s="356"/>
      <c r="AE7" s="356"/>
      <c r="AF7" s="356"/>
      <c r="AG7" s="356"/>
      <c r="AH7" s="356"/>
      <c r="AI7" s="356"/>
    </row>
    <row r="8" spans="1:35" ht="42" customHeight="1">
      <c r="A8" s="6"/>
      <c r="B8" s="594" t="str">
        <f>+'Introducción de datos'!B121</f>
        <v>TCS-1 Número y porcentaje de adultos y niños elegible que actualmente recibe terapia antirretroviral</v>
      </c>
      <c r="C8" s="595"/>
      <c r="D8" s="595"/>
      <c r="E8" s="595"/>
      <c r="F8" s="595" t="str">
        <f>+'Introducción de datos'!B123</f>
        <v>KP-3a  Número y porcentaje de hombres que tienen sexo con hombres que se sometieron a las pruebas y consejería del VIH y que recibieron sus resultados</v>
      </c>
      <c r="G8" s="595"/>
      <c r="H8" s="595"/>
      <c r="I8" s="595"/>
      <c r="J8" s="595"/>
      <c r="K8" s="595"/>
      <c r="L8" s="361"/>
      <c r="M8" s="595" t="s">
        <v>233</v>
      </c>
      <c r="N8" s="595"/>
      <c r="O8" s="595"/>
      <c r="P8" s="595"/>
      <c r="Q8" s="595"/>
      <c r="R8" s="595"/>
      <c r="S8" s="356"/>
      <c r="T8" s="356"/>
      <c r="U8" s="356"/>
      <c r="V8" s="356"/>
      <c r="W8" s="356"/>
      <c r="X8" s="356"/>
      <c r="Y8" s="312"/>
      <c r="Z8" s="312"/>
      <c r="AA8" s="312"/>
      <c r="AB8" s="312"/>
      <c r="AC8" s="312"/>
      <c r="AD8" s="356"/>
      <c r="AE8" s="356"/>
      <c r="AF8" s="356"/>
      <c r="AG8" s="356"/>
      <c r="AH8" s="356"/>
      <c r="AI8" s="356"/>
    </row>
    <row r="9" spans="1:35" ht="111.75" customHeight="1">
      <c r="A9" s="6"/>
      <c r="B9" s="469" t="s">
        <v>234</v>
      </c>
      <c r="C9" s="596" t="s">
        <v>392</v>
      </c>
      <c r="D9" s="597"/>
      <c r="E9" s="597"/>
      <c r="F9" s="468" t="s">
        <v>234</v>
      </c>
      <c r="G9" s="596" t="s">
        <v>397</v>
      </c>
      <c r="H9" s="596"/>
      <c r="I9" s="596"/>
      <c r="J9" s="596"/>
      <c r="K9" s="596"/>
      <c r="L9" s="468" t="s">
        <v>234</v>
      </c>
      <c r="M9" s="598" t="s">
        <v>393</v>
      </c>
      <c r="N9" s="598"/>
      <c r="O9" s="598"/>
      <c r="P9" s="598"/>
      <c r="Q9" s="598"/>
      <c r="S9" s="356"/>
      <c r="T9" s="356"/>
      <c r="U9" s="356"/>
      <c r="V9" s="356"/>
      <c r="W9" s="356"/>
      <c r="X9" s="356"/>
      <c r="Y9" s="356"/>
      <c r="Z9" s="356"/>
      <c r="AA9" s="356"/>
      <c r="AB9" s="356"/>
      <c r="AC9" s="356"/>
      <c r="AD9" s="356"/>
      <c r="AE9" s="356"/>
      <c r="AF9" s="356"/>
      <c r="AG9" s="356"/>
      <c r="AH9" s="356"/>
      <c r="AI9" s="356"/>
    </row>
    <row r="10" spans="1:35" ht="18.75" customHeight="1">
      <c r="A10" s="6"/>
      <c r="B10" s="296"/>
      <c r="C10" s="296"/>
      <c r="D10" s="358"/>
      <c r="E10" s="358"/>
      <c r="F10" s="358"/>
      <c r="G10" s="358"/>
      <c r="H10" s="358"/>
      <c r="I10" s="358"/>
      <c r="J10" s="358"/>
      <c r="K10" s="358"/>
      <c r="L10" s="358"/>
      <c r="M10" s="6"/>
      <c r="N10" s="6"/>
      <c r="O10" s="359"/>
      <c r="P10" s="300"/>
      <c r="S10" s="356"/>
      <c r="T10" s="356"/>
      <c r="U10" s="356"/>
      <c r="V10" s="356"/>
      <c r="W10" s="356"/>
      <c r="X10" s="356"/>
      <c r="Y10" s="356"/>
      <c r="Z10" s="356"/>
      <c r="AA10" s="356"/>
      <c r="AB10" s="356"/>
      <c r="AC10" s="356"/>
      <c r="AD10" s="356"/>
      <c r="AE10" s="356"/>
      <c r="AF10" s="356"/>
      <c r="AG10" s="356"/>
      <c r="AH10" s="356"/>
      <c r="AI10" s="356"/>
    </row>
    <row r="11" spans="1:35" ht="18.75" customHeight="1">
      <c r="A11" s="6"/>
      <c r="B11" s="296"/>
      <c r="C11" s="296"/>
      <c r="D11" s="358"/>
      <c r="E11" s="358"/>
      <c r="F11" s="358"/>
      <c r="G11" s="358"/>
      <c r="H11" s="358"/>
      <c r="I11" s="358"/>
      <c r="J11" s="358"/>
      <c r="K11" s="358"/>
      <c r="L11" s="358"/>
      <c r="M11" s="6"/>
      <c r="N11" s="6"/>
      <c r="O11" s="359"/>
      <c r="P11" s="300"/>
      <c r="S11" s="356"/>
      <c r="T11" s="356"/>
      <c r="U11" s="356"/>
      <c r="V11" s="356"/>
      <c r="W11" s="356"/>
      <c r="X11" s="356"/>
      <c r="Y11" s="356"/>
      <c r="Z11" s="356"/>
      <c r="AA11" s="356"/>
      <c r="AB11" s="356"/>
      <c r="AC11" s="356"/>
      <c r="AD11" s="356"/>
      <c r="AE11" s="356"/>
      <c r="AF11" s="356"/>
      <c r="AG11" s="356"/>
      <c r="AH11" s="356"/>
      <c r="AI11" s="356"/>
    </row>
    <row r="12" spans="1:35" ht="18.75" customHeight="1">
      <c r="A12" s="6"/>
      <c r="B12" s="296"/>
      <c r="C12" s="296"/>
      <c r="D12" s="358"/>
      <c r="E12" s="358"/>
      <c r="F12" s="358"/>
      <c r="G12" s="358"/>
      <c r="H12" s="358"/>
      <c r="I12" s="358"/>
      <c r="J12" s="358"/>
      <c r="K12" s="358"/>
      <c r="L12" s="358"/>
      <c r="M12" s="6"/>
      <c r="N12" s="6"/>
      <c r="O12" s="359"/>
      <c r="P12" s="300"/>
      <c r="S12" s="356"/>
      <c r="T12" s="356"/>
      <c r="U12" s="356"/>
      <c r="V12" s="356"/>
      <c r="W12" s="356"/>
      <c r="X12" s="356"/>
      <c r="Y12" s="356"/>
      <c r="Z12" s="356"/>
      <c r="AA12" s="356"/>
      <c r="AB12" s="356"/>
      <c r="AC12" s="356"/>
      <c r="AD12" s="356"/>
      <c r="AE12" s="356"/>
      <c r="AF12" s="356"/>
      <c r="AG12" s="356"/>
      <c r="AH12" s="356"/>
      <c r="AI12" s="356"/>
    </row>
    <row r="13" spans="1:35" ht="18.75" customHeight="1">
      <c r="A13" s="6"/>
      <c r="B13" s="296"/>
      <c r="C13" s="296"/>
      <c r="D13" s="358"/>
      <c r="E13" s="358"/>
      <c r="F13" s="358"/>
      <c r="G13" s="358"/>
      <c r="H13" s="358"/>
      <c r="I13" s="358"/>
      <c r="J13" s="358"/>
      <c r="K13" s="358"/>
      <c r="L13" s="358"/>
      <c r="M13" s="6"/>
      <c r="N13" s="6"/>
      <c r="O13" s="359"/>
      <c r="P13" s="300"/>
      <c r="S13" s="356"/>
      <c r="T13" s="356"/>
      <c r="U13" s="356"/>
      <c r="V13" s="356"/>
      <c r="W13" s="356"/>
      <c r="X13" s="356"/>
      <c r="Y13" s="356"/>
      <c r="Z13" s="356"/>
      <c r="AA13" s="356"/>
      <c r="AB13" s="356"/>
      <c r="AC13" s="356"/>
      <c r="AD13" s="356"/>
      <c r="AE13" s="356"/>
      <c r="AF13" s="356"/>
      <c r="AG13" s="356"/>
      <c r="AH13" s="356"/>
      <c r="AI13" s="356"/>
    </row>
    <row r="14" spans="1:35" ht="18.75" customHeight="1">
      <c r="A14" s="6"/>
      <c r="B14" s="296"/>
      <c r="C14" s="296"/>
      <c r="D14" s="358"/>
      <c r="E14" s="358"/>
      <c r="F14" s="358"/>
      <c r="G14" s="358"/>
      <c r="H14" s="358"/>
      <c r="I14" s="358"/>
      <c r="J14" s="358"/>
      <c r="K14" s="358"/>
      <c r="L14" s="358"/>
      <c r="M14" s="6"/>
      <c r="N14" s="6"/>
      <c r="O14" s="359"/>
      <c r="P14" s="300"/>
      <c r="S14" s="356"/>
      <c r="T14" s="356"/>
      <c r="U14" s="356"/>
      <c r="V14" s="356"/>
      <c r="W14" s="356"/>
      <c r="X14" s="356"/>
      <c r="Y14" s="356"/>
      <c r="Z14" s="356"/>
      <c r="AA14" s="356"/>
      <c r="AB14" s="356"/>
      <c r="AC14" s="356"/>
      <c r="AD14" s="356"/>
      <c r="AE14" s="356"/>
      <c r="AF14" s="356"/>
      <c r="AG14" s="356"/>
      <c r="AH14" s="356"/>
      <c r="AI14" s="356"/>
    </row>
    <row r="15" spans="1:35" ht="18.75" customHeight="1">
      <c r="A15" s="6"/>
      <c r="B15" s="296"/>
      <c r="C15" s="296"/>
      <c r="D15" s="358"/>
      <c r="E15" s="358"/>
      <c r="F15" s="358"/>
      <c r="G15" s="358"/>
      <c r="H15" s="358"/>
      <c r="I15" s="358"/>
      <c r="J15" s="358"/>
      <c r="K15" s="358"/>
      <c r="L15" s="358"/>
      <c r="M15" s="6"/>
      <c r="N15" s="6"/>
      <c r="O15" s="359"/>
      <c r="P15" s="300"/>
      <c r="S15" s="356"/>
      <c r="T15" s="356"/>
      <c r="U15" s="356"/>
      <c r="V15" s="356"/>
      <c r="W15" s="356"/>
      <c r="X15" s="356"/>
      <c r="Y15" s="356"/>
      <c r="Z15" s="356"/>
      <c r="AA15" s="356"/>
      <c r="AB15" s="356"/>
      <c r="AC15" s="356"/>
      <c r="AD15" s="356"/>
      <c r="AE15" s="356"/>
      <c r="AF15" s="356"/>
      <c r="AG15" s="356"/>
      <c r="AH15" s="356"/>
      <c r="AI15" s="356"/>
    </row>
    <row r="16" spans="1:35" ht="18.75" customHeight="1">
      <c r="A16" s="6"/>
      <c r="B16" s="296"/>
      <c r="C16" s="296"/>
      <c r="D16" s="358"/>
      <c r="E16" s="358"/>
      <c r="F16" s="358"/>
      <c r="G16" s="358"/>
      <c r="H16" s="358"/>
      <c r="I16" s="358"/>
      <c r="J16" s="358"/>
      <c r="K16" s="358"/>
      <c r="L16" s="358"/>
      <c r="M16" s="6"/>
      <c r="N16" s="6"/>
      <c r="O16" s="359"/>
      <c r="P16" s="300"/>
      <c r="S16" s="356"/>
      <c r="T16" s="356"/>
      <c r="U16" s="356"/>
      <c r="V16" s="356"/>
      <c r="W16" s="356"/>
      <c r="X16" s="356"/>
      <c r="Y16" s="356"/>
      <c r="Z16" s="356"/>
      <c r="AA16" s="356"/>
      <c r="AB16" s="356"/>
      <c r="AC16" s="356"/>
      <c r="AD16" s="356"/>
      <c r="AE16" s="356"/>
      <c r="AF16" s="356"/>
      <c r="AG16" s="356"/>
      <c r="AH16" s="356"/>
      <c r="AI16" s="356"/>
    </row>
    <row r="17" spans="1:35" ht="17.25" customHeight="1">
      <c r="A17" s="6"/>
      <c r="B17" s="296"/>
      <c r="C17" s="296"/>
      <c r="D17" s="358"/>
      <c r="E17" s="358"/>
      <c r="F17" s="358"/>
      <c r="G17" s="358"/>
      <c r="H17" s="358"/>
      <c r="I17" s="358"/>
      <c r="J17" s="358"/>
      <c r="K17" s="358"/>
      <c r="L17" s="358"/>
      <c r="M17" s="6"/>
      <c r="N17" s="6"/>
      <c r="O17" s="359"/>
      <c r="P17" s="300"/>
      <c r="S17" s="356"/>
      <c r="T17" s="356"/>
      <c r="U17" s="356"/>
      <c r="V17" s="356"/>
      <c r="W17" s="356"/>
      <c r="X17" s="356"/>
      <c r="Y17" s="356"/>
      <c r="Z17" s="356"/>
      <c r="AA17" s="356"/>
      <c r="AB17" s="356"/>
      <c r="AC17" s="356"/>
      <c r="AD17" s="356"/>
      <c r="AE17" s="356"/>
      <c r="AF17" s="356"/>
      <c r="AG17" s="356"/>
      <c r="AH17" s="356"/>
      <c r="AI17" s="356"/>
    </row>
    <row r="18" spans="1:35" ht="6" customHeight="1">
      <c r="A18" s="6"/>
      <c r="B18" s="301"/>
      <c r="C18" s="296"/>
      <c r="D18" s="302"/>
      <c r="E18" s="599"/>
      <c r="F18" s="599"/>
      <c r="G18" s="599"/>
      <c r="H18" s="599"/>
      <c r="I18" s="599"/>
      <c r="J18" s="599"/>
      <c r="K18" s="599"/>
      <c r="L18" s="6"/>
      <c r="M18" s="6"/>
      <c r="N18" s="6"/>
      <c r="O18" s="6"/>
      <c r="P18" s="6"/>
      <c r="S18" s="356"/>
      <c r="T18" s="356"/>
      <c r="U18" s="356"/>
      <c r="V18" s="356"/>
      <c r="W18" s="356"/>
      <c r="X18" s="356"/>
      <c r="Y18" s="356"/>
      <c r="Z18" s="356"/>
      <c r="AA18" s="356"/>
      <c r="AB18" s="356"/>
      <c r="AC18" s="356"/>
      <c r="AD18" s="356"/>
      <c r="AE18" s="356"/>
      <c r="AF18" s="356"/>
      <c r="AG18" s="356"/>
      <c r="AH18" s="356"/>
      <c r="AI18" s="356"/>
    </row>
    <row r="19" spans="1:35" ht="24" customHeight="1">
      <c r="A19" s="6"/>
      <c r="B19" s="600" t="s">
        <v>235</v>
      </c>
      <c r="C19" s="600"/>
      <c r="D19" s="600"/>
      <c r="E19" s="362" t="s">
        <v>176</v>
      </c>
      <c r="F19" s="362" t="s">
        <v>236</v>
      </c>
      <c r="G19" s="601" t="s">
        <v>237</v>
      </c>
      <c r="H19" s="601"/>
      <c r="I19" s="602" t="s">
        <v>238</v>
      </c>
      <c r="J19" s="602"/>
      <c r="K19" s="363" t="s">
        <v>239</v>
      </c>
      <c r="L19" s="603" t="s">
        <v>171</v>
      </c>
      <c r="M19" s="603"/>
      <c r="N19" s="603"/>
      <c r="O19" s="603"/>
      <c r="P19" s="603"/>
      <c r="Q19" s="603"/>
      <c r="S19" s="364" t="s">
        <v>240</v>
      </c>
      <c r="T19" s="365">
        <v>0</v>
      </c>
      <c r="U19" s="366">
        <v>0.3</v>
      </c>
      <c r="V19" s="366">
        <v>0.6</v>
      </c>
      <c r="W19" s="366">
        <v>0.9</v>
      </c>
      <c r="X19" s="366">
        <v>1</v>
      </c>
      <c r="Y19" s="312"/>
      <c r="Z19" s="312"/>
      <c r="AA19" s="364" t="s">
        <v>241</v>
      </c>
      <c r="AB19" s="365">
        <v>0</v>
      </c>
      <c r="AC19" s="366">
        <v>0.2</v>
      </c>
      <c r="AD19" s="366">
        <v>0.4</v>
      </c>
      <c r="AE19" s="366">
        <v>0.6</v>
      </c>
      <c r="AF19" s="366">
        <v>0.8</v>
      </c>
      <c r="AG19" s="312"/>
      <c r="AH19" s="312"/>
      <c r="AI19" s="312"/>
    </row>
    <row r="20" spans="1:35" ht="45.75" customHeight="1">
      <c r="A20" s="6"/>
      <c r="B20" s="590" t="str">
        <f>+'Introducción de datos'!B121</f>
        <v>TCS-1 Número y porcentaje de adultos y niños elegible que actualmente recibe terapia antirretroviral</v>
      </c>
      <c r="C20" s="590"/>
      <c r="D20" s="590"/>
      <c r="E20" s="367">
        <f ca="1">OFFSET('Introducción de datos'!$G$120,1,RIGHT('Introducción de datos'!$C$16,LEN('Introducción de datos'!$C$16)-1),1,1)</f>
        <v>10799</v>
      </c>
      <c r="F20" s="367">
        <f ca="1">OFFSET('Introducción de datos'!$G$120,2,RIGHT('Introducción de datos'!$C$16,LEN('Introducción de datos'!$C$16)-1),1,1)</f>
        <v>9208</v>
      </c>
      <c r="G20" s="591">
        <f t="shared" ref="G20:G25" ca="1" si="0">+IF(ISERROR(F20/E20),0,F20/E20)</f>
        <v>0.85267154366145015</v>
      </c>
      <c r="H20" s="591"/>
      <c r="I20" s="591"/>
      <c r="J20" s="591"/>
      <c r="K20" s="591"/>
      <c r="L20" s="592" t="s">
        <v>380</v>
      </c>
      <c r="M20" s="592"/>
      <c r="N20" s="592"/>
      <c r="O20" s="592"/>
      <c r="P20" s="592"/>
      <c r="Q20" s="592"/>
      <c r="S20" s="364" t="s">
        <v>242</v>
      </c>
      <c r="T20" s="368">
        <v>0.3</v>
      </c>
      <c r="U20" s="366">
        <v>0.6</v>
      </c>
      <c r="V20" s="366">
        <v>0.9</v>
      </c>
      <c r="W20" s="366">
        <v>1</v>
      </c>
      <c r="X20" s="366">
        <v>2</v>
      </c>
      <c r="Y20" s="312"/>
      <c r="Z20" s="312"/>
      <c r="AA20" s="364" t="s">
        <v>243</v>
      </c>
      <c r="AB20" s="368">
        <v>0.2</v>
      </c>
      <c r="AC20" s="366">
        <v>0.4</v>
      </c>
      <c r="AD20" s="366">
        <v>0.6</v>
      </c>
      <c r="AE20" s="366">
        <v>0.8</v>
      </c>
      <c r="AF20" s="366">
        <v>1</v>
      </c>
      <c r="AG20" s="312"/>
      <c r="AH20" s="312"/>
      <c r="AI20" s="312"/>
    </row>
    <row r="21" spans="1:35" ht="235.5" customHeight="1">
      <c r="A21" s="6"/>
      <c r="B21" s="590" t="str">
        <f>+'Introducción de datos'!B123</f>
        <v>KP-3a  Número y porcentaje de hombres que tienen sexo con hombres que se sometieron a las pruebas y consejería del VIH y que recibieron sus resultados</v>
      </c>
      <c r="C21" s="590"/>
      <c r="D21" s="590"/>
      <c r="E21" s="367">
        <f ca="1">OFFSET('Introducción de datos'!$G$120,3,RIGHT('Introducción de datos'!$C$16,LEN('Introducción de datos'!$C$16)-1),1,1)</f>
        <v>14618</v>
      </c>
      <c r="F21" s="367">
        <f ca="1">OFFSET('Introducción de datos'!$G$120,4,RIGHT('Introducción de datos'!$C$16,LEN('Introducción de datos'!$C$16)-1),1,1)</f>
        <v>15863</v>
      </c>
      <c r="G21" s="591">
        <f t="shared" ca="1" si="0"/>
        <v>1.0851689697633056</v>
      </c>
      <c r="H21" s="591"/>
      <c r="I21" s="591"/>
      <c r="J21" s="591"/>
      <c r="K21" s="591"/>
      <c r="L21" s="604" t="s">
        <v>381</v>
      </c>
      <c r="M21" s="604"/>
      <c r="N21" s="604"/>
      <c r="O21" s="604"/>
      <c r="P21" s="604"/>
      <c r="Q21" s="604"/>
      <c r="S21" s="369"/>
      <c r="T21" s="366" t="e">
        <f t="shared" ref="T21:T22" si="1">IF($K20&gt;T$19,IF($K20&lt;=T$20,$K20,NA()),NA())</f>
        <v>#N/A</v>
      </c>
      <c r="U21" s="366" t="e">
        <f t="shared" ref="U21:U22" si="2">IF($K20&gt;U$19,IF($K20&lt;=U$20,$K20,NA()),NA())</f>
        <v>#N/A</v>
      </c>
      <c r="V21" s="366" t="e">
        <f t="shared" ref="V21:V22" si="3">IF($K20&gt;V$19,IF($K20&lt;=V$20,$K20,NA()),NA())</f>
        <v>#N/A</v>
      </c>
      <c r="W21" s="366" t="e">
        <f t="shared" ref="W21:W22" si="4">IF($K20&gt;W$19,IF($K20&lt;=W$20,$K20,NA()),NA())</f>
        <v>#N/A</v>
      </c>
      <c r="X21" s="366" t="e">
        <f>IF($K20&gt;X$19,IF($K20&lt;=X$20,1,NA()),NA())</f>
        <v>#N/A</v>
      </c>
      <c r="Y21" s="312"/>
      <c r="Z21" s="370" t="e">
        <f>+'Información de la subvención'!#REF!</f>
        <v>#REF!</v>
      </c>
      <c r="AA21" s="366" t="e">
        <f t="shared" ref="AA21:AA23" si="5">+IF(Z21="A1",1,IF(Z21="A2",0.8,IF(Z21="B1",0.6,IF(Z21="B2",0.4,0.2))))</f>
        <v>#REF!</v>
      </c>
      <c r="AB21" s="366" t="e">
        <f t="shared" ref="AB21:AB23" si="6">IF($AA21&gt;AB$19,IF($AA21&lt;=AB$20,$AA21,NA()),NA())</f>
        <v>#REF!</v>
      </c>
      <c r="AC21" s="366" t="e">
        <f t="shared" ref="AC21:AC23" si="7">IF($AA21&gt;AC$19,IF($AA21&lt;=AC$20,$AA21,NA()),NA())</f>
        <v>#REF!</v>
      </c>
      <c r="AD21" s="366" t="e">
        <f t="shared" ref="AD21:AD23" si="8">IF($AA21&gt;AD$19,IF($AA21&lt;=AD$20,$AA21,NA()),NA())</f>
        <v>#REF!</v>
      </c>
      <c r="AE21" s="366" t="e">
        <f t="shared" ref="AE21:AE23" si="9">IF($AA21&gt;AE$19,IF($AA21&lt;=AE$20,$AA21,NA()),NA())</f>
        <v>#REF!</v>
      </c>
      <c r="AF21" s="366" t="e">
        <f t="shared" ref="AF21:AF23" si="10">IF($AA21&gt;AF$19,IF($AA21&lt;=AF$20,$AA21,NA()),NA())</f>
        <v>#REF!</v>
      </c>
      <c r="AG21" s="312"/>
      <c r="AH21" s="312"/>
      <c r="AI21" s="312"/>
    </row>
    <row r="22" spans="1:35" ht="239.25" customHeight="1">
      <c r="A22" s="6"/>
      <c r="B22" s="605" t="str">
        <f>+'Introducción de datos'!B125</f>
        <v>KP-3c Número y porcentaje de trabajadores sexuales que se sometieron a las pruebas y consejería del VIH y que recibieron sus resultados</v>
      </c>
      <c r="C22" s="605"/>
      <c r="D22" s="605"/>
      <c r="E22" s="367">
        <f ca="1">OFFSET('Introducción de datos'!$G$120,5,RIGHT('Introducción de datos'!$C$16,LEN('Introducción de datos'!$C$16)-1),1,1)</f>
        <v>7264</v>
      </c>
      <c r="F22" s="367">
        <f ca="1">OFFSET('Introducción de datos'!$G$120,6,RIGHT('Introducción de datos'!$C$16,LEN('Introducción de datos'!$C$16)-1),1,1)</f>
        <v>7148</v>
      </c>
      <c r="G22" s="591">
        <f t="shared" ca="1" si="0"/>
        <v>0.9840308370044053</v>
      </c>
      <c r="H22" s="591"/>
      <c r="I22" s="591"/>
      <c r="J22" s="591"/>
      <c r="K22" s="591"/>
      <c r="L22" s="592" t="s">
        <v>382</v>
      </c>
      <c r="M22" s="592"/>
      <c r="N22" s="592"/>
      <c r="O22" s="592"/>
      <c r="P22" s="592"/>
      <c r="Q22" s="592"/>
      <c r="S22" s="369"/>
      <c r="T22" s="366" t="e">
        <f t="shared" si="1"/>
        <v>#N/A</v>
      </c>
      <c r="U22" s="366" t="e">
        <f t="shared" si="2"/>
        <v>#N/A</v>
      </c>
      <c r="V22" s="366" t="e">
        <f t="shared" si="3"/>
        <v>#N/A</v>
      </c>
      <c r="W22" s="366" t="e">
        <f t="shared" si="4"/>
        <v>#N/A</v>
      </c>
      <c r="X22" s="366" t="e">
        <f>IF(#REF!&gt;X$19,IF(#REF!&lt;=X$20,1,1),NA())</f>
        <v>#REF!</v>
      </c>
      <c r="Y22" s="312"/>
      <c r="Z22" s="370" t="e">
        <f>+'Información de la subvención'!#REF!</f>
        <v>#REF!</v>
      </c>
      <c r="AA22" s="366" t="e">
        <f t="shared" si="5"/>
        <v>#REF!</v>
      </c>
      <c r="AB22" s="366" t="e">
        <f t="shared" si="6"/>
        <v>#REF!</v>
      </c>
      <c r="AC22" s="366" t="e">
        <f t="shared" si="7"/>
        <v>#REF!</v>
      </c>
      <c r="AD22" s="366" t="e">
        <f t="shared" si="8"/>
        <v>#REF!</v>
      </c>
      <c r="AE22" s="366" t="e">
        <f t="shared" si="9"/>
        <v>#REF!</v>
      </c>
      <c r="AF22" s="366" t="e">
        <f t="shared" si="10"/>
        <v>#REF!</v>
      </c>
      <c r="AG22" s="312"/>
      <c r="AH22" s="312"/>
      <c r="AI22" s="312"/>
    </row>
    <row r="23" spans="1:35" ht="129.75" customHeight="1">
      <c r="A23" s="6"/>
      <c r="B23" s="590" t="str">
        <f>+'Introducción de datos'!B127</f>
        <v>KP-3b Número y porcentaje de personas transgénero que se sometieron a las pruebas y consejería del VIH y que recibieron sus resultados</v>
      </c>
      <c r="C23" s="590"/>
      <c r="D23" s="590"/>
      <c r="E23" s="367">
        <f ca="1">OFFSET('Introducción de datos'!$G$120,7,RIGHT('Introducción de datos'!$C$16,LEN('Introducción de datos'!$C$16)-1),1,1)</f>
        <v>1126</v>
      </c>
      <c r="F23" s="367">
        <f ca="1">OFFSET('Introducción de datos'!$G$120,8,RIGHT('Introducción de datos'!$C$16,LEN('Introducción de datos'!$C$16)-1),1,1)</f>
        <v>824</v>
      </c>
      <c r="G23" s="591">
        <f t="shared" ca="1" si="0"/>
        <v>0.73179396092362348</v>
      </c>
      <c r="H23" s="591"/>
      <c r="I23" s="591"/>
      <c r="J23" s="591"/>
      <c r="K23" s="591"/>
      <c r="L23" s="592" t="s">
        <v>383</v>
      </c>
      <c r="M23" s="592"/>
      <c r="N23" s="592"/>
      <c r="O23" s="592"/>
      <c r="P23" s="592"/>
      <c r="Q23" s="592"/>
      <c r="S23" s="369"/>
      <c r="T23" s="366" t="e">
        <f>IF($K21&gt;T$19,IF($K21&lt;=T$20,$K21,NA()),NA())</f>
        <v>#N/A</v>
      </c>
      <c r="U23" s="366" t="e">
        <f>IF($K21&gt;U$19,IF($K21&lt;=U$20,$K21,NA()),NA())</f>
        <v>#N/A</v>
      </c>
      <c r="V23" s="366" t="e">
        <f>IF($K21&gt;V$19,IF($K21&lt;=V$20,$K21,NA()),NA())</f>
        <v>#N/A</v>
      </c>
      <c r="W23" s="366" t="e">
        <f>IF($K21&gt;W$19,IF($K21&lt;=W$20,$K21,NA()),NA())</f>
        <v>#N/A</v>
      </c>
      <c r="X23" s="366" t="e">
        <f>IF($K21&gt;X$19,IF($K21&lt;=X$20,1,NA()),NA())</f>
        <v>#N/A</v>
      </c>
      <c r="Y23" s="312"/>
      <c r="Z23" s="370" t="e">
        <f>+'Información de la subvención'!#REF!</f>
        <v>#REF!</v>
      </c>
      <c r="AA23" s="366" t="e">
        <f t="shared" si="5"/>
        <v>#REF!</v>
      </c>
      <c r="AB23" s="366" t="e">
        <f t="shared" si="6"/>
        <v>#REF!</v>
      </c>
      <c r="AC23" s="366" t="e">
        <f t="shared" si="7"/>
        <v>#REF!</v>
      </c>
      <c r="AD23" s="366" t="e">
        <f t="shared" si="8"/>
        <v>#REF!</v>
      </c>
      <c r="AE23" s="366" t="e">
        <f t="shared" si="9"/>
        <v>#REF!</v>
      </c>
      <c r="AF23" s="366" t="e">
        <f t="shared" si="10"/>
        <v>#REF!</v>
      </c>
      <c r="AG23" s="312"/>
      <c r="AH23" s="312"/>
      <c r="AI23" s="312"/>
    </row>
    <row r="24" spans="1:35" ht="46.5" customHeight="1">
      <c r="A24" s="6"/>
      <c r="B24" s="590" t="str">
        <f>+'Introducción de datos'!B129</f>
        <v>TCS-3 Porcentaje de adultos y niños los cuales 12 meses despues de haber iniciado la TAR cuentan con una carga viral indetectable (&lt; 1000 copias)</v>
      </c>
      <c r="C24" s="590"/>
      <c r="D24" s="590"/>
      <c r="E24" s="367">
        <f ca="1">OFFSET('Introducción de datos'!$G$120,9,RIGHT('Introducción de datos'!$C$16,LEN('Introducción de datos'!$C$16)-1),1,1)</f>
        <v>522</v>
      </c>
      <c r="F24" s="367">
        <f ca="1">OFFSET('Introducción de datos'!$G$120,10,RIGHT('Introducción de datos'!$C$16,LEN('Introducción de datos'!$C$16)-1),1,1)</f>
        <v>497</v>
      </c>
      <c r="G24" s="591">
        <f t="shared" ca="1" si="0"/>
        <v>0.95210727969348663</v>
      </c>
      <c r="H24" s="591"/>
      <c r="I24" s="591"/>
      <c r="J24" s="591"/>
      <c r="K24" s="591"/>
      <c r="L24" s="606" t="s">
        <v>384</v>
      </c>
      <c r="M24" s="606"/>
      <c r="N24" s="606"/>
      <c r="O24" s="606"/>
      <c r="P24" s="606"/>
      <c r="Q24" s="606"/>
      <c r="S24" s="369"/>
      <c r="T24" s="366"/>
      <c r="U24" s="366"/>
      <c r="V24" s="366"/>
      <c r="W24" s="366"/>
      <c r="X24" s="366"/>
      <c r="Y24" s="312"/>
      <c r="Z24" s="312"/>
      <c r="AA24" s="312"/>
      <c r="AB24" s="312"/>
      <c r="AC24" s="312"/>
      <c r="AD24" s="312"/>
      <c r="AE24" s="312"/>
      <c r="AF24" s="312"/>
      <c r="AG24" s="312"/>
      <c r="AH24" s="312"/>
      <c r="AI24" s="312"/>
    </row>
    <row r="25" spans="1:35" ht="76.5" customHeight="1">
      <c r="A25" s="6" t="s">
        <v>244</v>
      </c>
      <c r="B25" s="590" t="str">
        <f>+'Introducción de datos'!B131</f>
        <v>KP-3e Número de personas privadas de libertad que se sometieron a las pruebas y consejería del VIH y que recibieron sus resultados</v>
      </c>
      <c r="C25" s="590"/>
      <c r="D25" s="590"/>
      <c r="E25" s="367">
        <f ca="1">OFFSET('Introducción de datos'!$G$120,11,RIGHT('Introducción de datos'!$C$16,LEN('Introducción de datos'!$C$16)-1),1,1)</f>
        <v>22852</v>
      </c>
      <c r="F25" s="367">
        <f ca="1">OFFSET('Introducción de datos'!$G$120,12,RIGHT('Introducción de datos'!$C$16,LEN('Introducción de datos'!$C$16)-1),1,1)</f>
        <v>17855</v>
      </c>
      <c r="G25" s="591">
        <f t="shared" ca="1" si="0"/>
        <v>0.78133204971118497</v>
      </c>
      <c r="H25" s="591"/>
      <c r="I25" s="591"/>
      <c r="J25" s="591"/>
      <c r="K25" s="591"/>
      <c r="L25" s="606" t="s">
        <v>385</v>
      </c>
      <c r="M25" s="606"/>
      <c r="N25" s="606"/>
      <c r="O25" s="606"/>
      <c r="P25" s="606"/>
      <c r="Q25" s="606"/>
      <c r="S25" s="369"/>
      <c r="T25" s="366" t="e">
        <f>IF($K23&gt;T$19,IF($K23&lt;=T$20,$K23,NA()),NA())</f>
        <v>#N/A</v>
      </c>
      <c r="U25" s="366" t="e">
        <f>IF($K23&gt;U$19,IF($K23&lt;=U$20,$K23,NA()),NA())</f>
        <v>#N/A</v>
      </c>
      <c r="V25" s="366" t="e">
        <f>IF($K23&gt;V$19,IF($K23&lt;=V$20,$K23,NA()),NA())</f>
        <v>#N/A</v>
      </c>
      <c r="W25" s="366" t="e">
        <f>IF($K23&gt;W$19,IF($K23&lt;=W$20,$K23,NA()),NA())</f>
        <v>#N/A</v>
      </c>
      <c r="X25" s="366" t="e">
        <f>IF($K23&gt;X$19,IF($K23&lt;=X$20,1,NA()),NA())</f>
        <v>#N/A</v>
      </c>
      <c r="Y25" s="312"/>
      <c r="Z25" s="312"/>
      <c r="AA25" s="312"/>
      <c r="AB25" s="312"/>
      <c r="AC25" s="312"/>
      <c r="AD25" s="312"/>
      <c r="AE25" s="312"/>
      <c r="AF25" s="312"/>
      <c r="AG25" s="312"/>
      <c r="AH25" s="312"/>
      <c r="AI25" s="312"/>
    </row>
    <row r="26" spans="1:35" ht="37.35" customHeight="1">
      <c r="A26" s="6"/>
      <c r="B26" s="607" t="s">
        <v>245</v>
      </c>
      <c r="C26" s="607"/>
      <c r="D26" s="607"/>
      <c r="E26" s="607"/>
      <c r="F26" s="607"/>
      <c r="G26" s="607"/>
      <c r="H26" s="607"/>
      <c r="I26" s="607"/>
      <c r="J26" s="607"/>
      <c r="K26" s="607"/>
      <c r="L26" s="607"/>
      <c r="M26" s="607"/>
      <c r="N26" s="607"/>
      <c r="O26" s="607"/>
      <c r="P26" s="607"/>
      <c r="Q26" s="607"/>
      <c r="S26" s="369"/>
      <c r="T26" s="366"/>
      <c r="U26" s="366"/>
      <c r="V26" s="366"/>
      <c r="W26" s="366"/>
      <c r="X26" s="366"/>
      <c r="Y26" s="312"/>
      <c r="Z26" s="312"/>
      <c r="AA26" s="312"/>
      <c r="AB26" s="312"/>
      <c r="AC26" s="312"/>
      <c r="AD26" s="312"/>
      <c r="AE26" s="312"/>
      <c r="AF26" s="312"/>
      <c r="AG26" s="312"/>
      <c r="AH26" s="312"/>
      <c r="AI26" s="312"/>
    </row>
    <row r="27" spans="1:35" ht="40.700000000000003" customHeight="1">
      <c r="A27" s="6"/>
      <c r="B27" s="605" t="str">
        <f>+'Introducción de datos'!B135</f>
        <v xml:space="preserve">HIV I-9a    % de Hombres que tienen relaciones sexuales con hombres infectados por el VIH </v>
      </c>
      <c r="C27" s="605"/>
      <c r="D27" s="605"/>
      <c r="E27" s="371">
        <f ca="1">OFFSET('Introducción de datos'!$G$120,15,RIGHT('Introducción de datos'!$C$16,LEN('Introducción de datos'!$C$16)-1),1,1)</f>
        <v>0.13200000000000001</v>
      </c>
      <c r="F27" s="372">
        <f ca="1">OFFSET('Introducción de datos'!$G$120,16,RIGHT('Introducción de datos'!$C$16,LEN('Introducción de datos'!$C$16)-1),1,1)</f>
        <v>7.6499999999999999E-2</v>
      </c>
      <c r="G27" s="591">
        <f t="shared" ref="G27:G33" ca="1" si="11">+IF(ISERROR(F27/E27),0,F27/E27)</f>
        <v>0.57954545454545447</v>
      </c>
      <c r="H27" s="591"/>
      <c r="I27" s="591"/>
      <c r="J27" s="591"/>
      <c r="K27" s="591"/>
      <c r="L27" s="606" t="s">
        <v>386</v>
      </c>
      <c r="M27" s="606"/>
      <c r="N27" s="606"/>
      <c r="O27" s="606"/>
      <c r="P27" s="606"/>
      <c r="Q27" s="606"/>
      <c r="S27" s="369"/>
      <c r="T27" s="366" t="e">
        <f>IF(#REF!&gt;T$19,IF(#REF!&lt;=T$20,#REF!,NA()),NA())</f>
        <v>#REF!</v>
      </c>
      <c r="U27" s="366" t="e">
        <f>IF(#REF!&gt;U$19,IF(#REF!&lt;=U$20,#REF!,NA()),NA())</f>
        <v>#REF!</v>
      </c>
      <c r="V27" s="366" t="e">
        <f>IF(#REF!&gt;V$19,IF(#REF!&lt;=V$20,#REF!,NA()),NA())</f>
        <v>#REF!</v>
      </c>
      <c r="W27" s="366" t="e">
        <f>IF(#REF!&gt;W$19,IF(#REF!&lt;=W$20,#REF!,NA()),NA())</f>
        <v>#REF!</v>
      </c>
      <c r="X27" s="366" t="e">
        <f>IF(#REF!&gt;X$19,IF(#REF!&lt;=X$20,1,NA()),NA())</f>
        <v>#REF!</v>
      </c>
      <c r="Y27" s="312"/>
      <c r="Z27" s="312"/>
      <c r="AA27" s="312"/>
      <c r="AB27" s="312"/>
      <c r="AC27" s="312"/>
      <c r="AD27" s="312"/>
      <c r="AE27" s="312"/>
      <c r="AF27" s="312"/>
      <c r="AG27" s="312"/>
      <c r="AH27" s="312"/>
      <c r="AI27" s="312"/>
    </row>
    <row r="28" spans="1:35" ht="34.35" customHeight="1">
      <c r="A28" s="6"/>
      <c r="B28" s="605" t="str">
        <f>+'Introducción de datos'!B137</f>
        <v>HIV I-10   % de Trabajadoras sexuales  femeninas y masculinos infectados por el VIH</v>
      </c>
      <c r="C28" s="605"/>
      <c r="D28" s="605"/>
      <c r="E28" s="373">
        <f ca="1">OFFSET('Introducción de datos'!$G$120,17,RIGHT('Introducción de datos'!$C$16,LEN('Introducción de datos'!$C$16)-1),1,1)</f>
        <v>1.6E-2</v>
      </c>
      <c r="F28" s="372">
        <f ca="1">OFFSET('Introducción de datos'!$G$120,18,RIGHT('Introducción de datos'!$C$16,LEN('Introducción de datos'!$C$16)-1),1,1)</f>
        <v>3.6999999999999998E-2</v>
      </c>
      <c r="G28" s="591">
        <f t="shared" ca="1" si="11"/>
        <v>2.3125</v>
      </c>
      <c r="H28" s="591"/>
      <c r="I28" s="591"/>
      <c r="J28" s="591"/>
      <c r="K28" s="591"/>
      <c r="L28" s="606" t="s">
        <v>386</v>
      </c>
      <c r="M28" s="606"/>
      <c r="N28" s="606"/>
      <c r="O28" s="606"/>
      <c r="P28" s="606"/>
      <c r="Q28" s="606"/>
      <c r="S28" s="369"/>
      <c r="T28" s="366" t="e">
        <f>IF($K25&gt;T$19,IF($K25&lt;=T$20,$K25,NA()),NA())</f>
        <v>#N/A</v>
      </c>
      <c r="U28" s="366" t="e">
        <f>IF($K25&gt;U$19,IF($K25&lt;=U$20,$K25,NA()),NA())</f>
        <v>#N/A</v>
      </c>
      <c r="V28" s="366" t="e">
        <f>IF($K25&gt;V$19,IF($K25&lt;=V$20,$K25,NA()),NA())</f>
        <v>#N/A</v>
      </c>
      <c r="W28" s="366" t="e">
        <f>IF($K25&gt;W$19,IF($K25&lt;=W$20,$K25,NA()),NA())</f>
        <v>#N/A</v>
      </c>
      <c r="X28" s="366" t="e">
        <f>IF($K25&gt;X$19,IF($K25&lt;=X$20,1,NA()),NA())</f>
        <v>#N/A</v>
      </c>
      <c r="Y28" s="312"/>
      <c r="Z28" s="312"/>
      <c r="AA28" s="312"/>
      <c r="AB28" s="312"/>
      <c r="AC28" s="312"/>
      <c r="AD28" s="312"/>
      <c r="AE28" s="312"/>
      <c r="AF28" s="312"/>
      <c r="AG28" s="312"/>
      <c r="AH28" s="312"/>
      <c r="AI28" s="312"/>
    </row>
    <row r="29" spans="1:35" ht="49.9" customHeight="1">
      <c r="A29" s="6"/>
      <c r="B29" s="605" t="str">
        <f>+'Introducción de datos'!B139</f>
        <v>HIV I-9b   % de Población Transgénero infectada por el VIH</v>
      </c>
      <c r="C29" s="605"/>
      <c r="D29" s="605"/>
      <c r="E29" s="374">
        <f ca="1">OFFSET('Introducción de datos'!$G$120,19,RIGHT('Introducción de datos'!$C$16,LEN('Introducción de datos'!$C$16)-1),1,1)</f>
        <v>0.16</v>
      </c>
      <c r="F29" s="372">
        <f ca="1">OFFSET('Introducción de datos'!$G$120,20,RIGHT('Introducción de datos'!$C$16,LEN('Introducción de datos'!$C$16)-1),1,1)</f>
        <v>7.3999999999999996E-2</v>
      </c>
      <c r="G29" s="591">
        <f t="shared" ca="1" si="11"/>
        <v>0.46249999999999997</v>
      </c>
      <c r="H29" s="591"/>
      <c r="I29" s="591"/>
      <c r="J29" s="591"/>
      <c r="K29" s="591"/>
      <c r="L29" s="606" t="s">
        <v>386</v>
      </c>
      <c r="M29" s="606"/>
      <c r="N29" s="606"/>
      <c r="O29" s="606"/>
      <c r="P29" s="606"/>
      <c r="Q29" s="606"/>
      <c r="S29" s="369"/>
      <c r="T29" s="366"/>
      <c r="U29" s="366"/>
      <c r="V29" s="366"/>
      <c r="W29" s="366"/>
      <c r="X29" s="366"/>
      <c r="Y29" s="312"/>
      <c r="Z29" s="312"/>
      <c r="AA29" s="312"/>
      <c r="AB29" s="312"/>
      <c r="AC29" s="312"/>
      <c r="AD29" s="312"/>
      <c r="AE29" s="312"/>
      <c r="AF29" s="312"/>
      <c r="AG29" s="312"/>
      <c r="AH29" s="312"/>
      <c r="AI29" s="312"/>
    </row>
    <row r="30" spans="1:35" ht="53.25" customHeight="1">
      <c r="B30" s="605" t="str">
        <f>+'Introducción de datos'!B141</f>
        <v>HIV O-4a   % de Hombres que reportan haber utilizado condón en su ultima relación sexual anal con una pareja masculina</v>
      </c>
      <c r="C30" s="605"/>
      <c r="D30" s="605"/>
      <c r="E30" s="374">
        <f ca="1">OFFSET('Introducción de datos'!$G$120,21,RIGHT('Introducción de datos'!$C$16,LEN('Introducción de datos'!$C$16)-1),1,1)</f>
        <v>0.7</v>
      </c>
      <c r="F30" s="375">
        <f ca="1">OFFSET('Introducción de datos'!$G$120,22,RIGHT('Introducción de datos'!$C$16,LEN('Introducción de datos'!$C$16)-1),1,1)</f>
        <v>0.57999999999999996</v>
      </c>
      <c r="G30" s="591">
        <f t="shared" ca="1" si="11"/>
        <v>0.82857142857142851</v>
      </c>
      <c r="H30" s="591"/>
      <c r="I30" s="591"/>
      <c r="J30" s="591"/>
      <c r="K30" s="591"/>
      <c r="L30" s="606" t="s">
        <v>387</v>
      </c>
      <c r="M30" s="606"/>
      <c r="N30" s="606"/>
      <c r="O30" s="606"/>
      <c r="P30" s="606"/>
      <c r="Q30" s="606"/>
    </row>
    <row r="31" spans="1:35" ht="61.5" customHeight="1">
      <c r="B31" s="605" t="str">
        <f>+'Introducción de datos'!B143</f>
        <v xml:space="preserve">HIV O-4b % de personas transgénero que practican el trabajo sexual que reporta haber utilizado condón con su último cliente </v>
      </c>
      <c r="C31" s="605"/>
      <c r="D31" s="605"/>
      <c r="E31" s="374">
        <f ca="1">OFFSET('Introducción de datos'!$G$120,23,RIGHT('Introducción de datos'!$C$16,LEN('Introducción de datos'!$C$16)-1),1,1)</f>
        <v>0.44</v>
      </c>
      <c r="F31" s="375">
        <f ca="1">OFFSET('Introducción de datos'!$G$120,24,RIGHT('Introducción de datos'!$C$16,LEN('Introducción de datos'!$C$16)-1),1,1)</f>
        <v>0.85</v>
      </c>
      <c r="G31" s="591">
        <f t="shared" ca="1" si="11"/>
        <v>1.9318181818181817</v>
      </c>
      <c r="H31" s="591"/>
      <c r="I31" s="591"/>
      <c r="J31" s="591"/>
      <c r="K31" s="591"/>
      <c r="L31" s="606" t="s">
        <v>388</v>
      </c>
      <c r="M31" s="606"/>
      <c r="N31" s="606"/>
      <c r="O31" s="606"/>
      <c r="P31" s="606"/>
      <c r="Q31" s="606"/>
      <c r="R31" s="376" t="s">
        <v>246</v>
      </c>
    </row>
    <row r="32" spans="1:35" ht="72.599999999999994" customHeight="1">
      <c r="B32" s="605" t="str">
        <f>+'Introducción de datos'!B145</f>
        <v xml:space="preserve">HIV O-5   % de Trabajadoras del sexo que practican el trabajo sexual que reporta haber utilizado condón con su último cliente </v>
      </c>
      <c r="C32" s="605"/>
      <c r="D32" s="605"/>
      <c r="E32" s="374">
        <f ca="1">OFFSET('Introducción de datos'!$G$120,25,RIGHT('Introducción de datos'!$C$16,LEN('Introducción de datos'!$C$16)-1),1,1)</f>
        <v>0.96</v>
      </c>
      <c r="F32" s="375" t="str">
        <f ca="1">OFFSET('Introducción de datos'!$G$120,26,RIGHT('Introducción de datos'!$C$16,LEN('Introducción de datos'!$C$16)-1),1,1)</f>
        <v>95.3%</v>
      </c>
      <c r="G32" s="591">
        <f t="shared" ca="1" si="11"/>
        <v>0.9927083333333333</v>
      </c>
      <c r="H32" s="591"/>
      <c r="I32" s="591"/>
      <c r="J32" s="591"/>
      <c r="K32" s="591"/>
      <c r="L32" s="606" t="s">
        <v>389</v>
      </c>
      <c r="M32" s="606"/>
      <c r="N32" s="606"/>
      <c r="O32" s="606"/>
      <c r="P32" s="606"/>
      <c r="Q32" s="606"/>
    </row>
    <row r="33" spans="2:17" ht="117.6" customHeight="1">
      <c r="B33" s="605" t="str">
        <f>+'Introducción de datos'!B147</f>
        <v>HIV O-1: % de adultos y niños con VIH quienes continúan en tratamiento 12 meses después de haber iniciado la terapia</v>
      </c>
      <c r="C33" s="605"/>
      <c r="D33" s="605"/>
      <c r="E33" s="374">
        <f ca="1">OFFSET('Introducción de datos'!$G$120,27,RIGHT('Introducción de datos'!$C$16,LEN('Introducción de datos'!$C$16)-1),1,1)</f>
        <v>0.85</v>
      </c>
      <c r="F33" s="375">
        <f ca="1">OFFSET('Introducción de datos'!$G$120,28,RIGHT('Introducción de datos'!$C$16,LEN('Introducción de datos'!$C$16)-1),1,1)</f>
        <v>0.877</v>
      </c>
      <c r="G33" s="591">
        <f t="shared" ca="1" si="11"/>
        <v>1.0317647058823529</v>
      </c>
      <c r="H33" s="591"/>
      <c r="I33" s="591"/>
      <c r="J33" s="591"/>
      <c r="K33" s="591"/>
      <c r="L33" s="606" t="s">
        <v>390</v>
      </c>
      <c r="M33" s="606"/>
      <c r="N33" s="606"/>
      <c r="O33" s="606"/>
      <c r="P33" s="606"/>
      <c r="Q33" s="606"/>
    </row>
  </sheetData>
  <sheetProtection selectLockedCells="1" selectUnlockedCells="1"/>
  <mergeCells count="59">
    <mergeCell ref="L28:Q28"/>
    <mergeCell ref="L29:Q29"/>
    <mergeCell ref="B32:D32"/>
    <mergeCell ref="G32:K32"/>
    <mergeCell ref="L32:Q32"/>
    <mergeCell ref="B28:D28"/>
    <mergeCell ref="G28:K28"/>
    <mergeCell ref="B33:D33"/>
    <mergeCell ref="G33:K33"/>
    <mergeCell ref="L33:Q33"/>
    <mergeCell ref="G29:K29"/>
    <mergeCell ref="B30:D30"/>
    <mergeCell ref="G30:K30"/>
    <mergeCell ref="L30:Q30"/>
    <mergeCell ref="B31:D31"/>
    <mergeCell ref="G31:K31"/>
    <mergeCell ref="L31:Q31"/>
    <mergeCell ref="B29:D29"/>
    <mergeCell ref="B25:D25"/>
    <mergeCell ref="G25:K25"/>
    <mergeCell ref="L25:Q25"/>
    <mergeCell ref="B26:Q26"/>
    <mergeCell ref="B27:D27"/>
    <mergeCell ref="G27:K27"/>
    <mergeCell ref="L27:Q27"/>
    <mergeCell ref="B23:D23"/>
    <mergeCell ref="G23:K23"/>
    <mergeCell ref="L23:Q23"/>
    <mergeCell ref="B24:D24"/>
    <mergeCell ref="G24:K24"/>
    <mergeCell ref="L24:Q24"/>
    <mergeCell ref="B21:D21"/>
    <mergeCell ref="G21:K21"/>
    <mergeCell ref="L21:Q21"/>
    <mergeCell ref="B22:D22"/>
    <mergeCell ref="G22:K22"/>
    <mergeCell ref="L22:Q22"/>
    <mergeCell ref="B20:D20"/>
    <mergeCell ref="G20:K20"/>
    <mergeCell ref="L20:Q20"/>
    <mergeCell ref="D5:N5"/>
    <mergeCell ref="F6:K6"/>
    <mergeCell ref="B8:E8"/>
    <mergeCell ref="F8:K8"/>
    <mergeCell ref="M8:R8"/>
    <mergeCell ref="C9:E9"/>
    <mergeCell ref="G9:K9"/>
    <mergeCell ref="M9:Q9"/>
    <mergeCell ref="E18:K18"/>
    <mergeCell ref="B19:D19"/>
    <mergeCell ref="G19:H19"/>
    <mergeCell ref="I19:J19"/>
    <mergeCell ref="L19:Q19"/>
    <mergeCell ref="B2:Q2"/>
    <mergeCell ref="C3:D3"/>
    <mergeCell ref="E3:K3"/>
    <mergeCell ref="O3:P3"/>
    <mergeCell ref="C4:D4"/>
    <mergeCell ref="E4:L4"/>
  </mergeCells>
  <conditionalFormatting sqref="C4:D4">
    <cfRule type="cellIs" dxfId="14" priority="1" stopIfTrue="1" operator="equal">
      <formula>"C"</formula>
    </cfRule>
    <cfRule type="cellIs" dxfId="13" priority="2" stopIfTrue="1" operator="equal">
      <formula>"B2"</formula>
    </cfRule>
    <cfRule type="cellIs" dxfId="12" priority="3" stopIfTrue="1" operator="equal">
      <formula>"B1"</formula>
    </cfRule>
  </conditionalFormatting>
  <conditionalFormatting sqref="G20:G25 G27:G32">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33">
    <cfRule type="cellIs" dxfId="8" priority="7" stopIfTrue="1" operator="between">
      <formula>0</formula>
      <formula>0.599</formula>
    </cfRule>
    <cfRule type="cellIs" dxfId="7" priority="8" stopIfTrue="1" operator="between">
      <formula>0.6</formula>
      <formula>0.899</formula>
    </cfRule>
    <cfRule type="cellIs" dxfId="6" priority="9" stopIfTrue="1" operator="greaterThanOrEqual">
      <formula>0.9</formula>
    </cfRule>
  </conditionalFormatting>
  <pageMargins left="0.70833333333333337" right="0.70833333333333337" top="0.74791666666666667" bottom="0.74861111111111112" header="0.51180555555555551" footer="0.31527777777777777"/>
  <pageSetup paperSize="9" scale="64" firstPageNumber="0" orientation="landscape" horizontalDpi="300" verticalDpi="300"/>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7"/>
  </sheetPr>
  <dimension ref="A1:IV41"/>
  <sheetViews>
    <sheetView showGridLines="0" topLeftCell="A34" zoomScale="80" zoomScaleNormal="80" workbookViewId="0">
      <selection activeCell="I30" sqref="I30:N30"/>
    </sheetView>
  </sheetViews>
  <sheetFormatPr baseColWidth="10" defaultColWidth="9.140625" defaultRowHeight="11.25"/>
  <cols>
    <col min="1" max="1" width="1.140625" style="377" customWidth="1"/>
    <col min="2" max="2" width="19.28515625" style="377" customWidth="1"/>
    <col min="3" max="3" width="1.140625" style="377" customWidth="1"/>
    <col min="4" max="4" width="17.140625" style="377" customWidth="1"/>
    <col min="5" max="5" width="17.5703125" style="377" customWidth="1"/>
    <col min="6" max="6" width="9.7109375" style="377" customWidth="1"/>
    <col min="7" max="7" width="13" style="377" customWidth="1"/>
    <col min="8" max="8" width="4.28515625" style="377" customWidth="1"/>
    <col min="9" max="9" width="15.85546875" style="377" customWidth="1"/>
    <col min="10" max="10" width="3.5703125" style="377" customWidth="1"/>
    <col min="11" max="11" width="7.5703125" style="378" customWidth="1"/>
    <col min="12" max="12" width="22" style="377" customWidth="1"/>
    <col min="13" max="13" width="12" style="377" customWidth="1"/>
    <col min="14" max="14" width="5.42578125" style="377" customWidth="1"/>
    <col min="15" max="15" width="2.5703125" style="377" customWidth="1"/>
    <col min="16" max="16384" width="9.140625" style="377"/>
  </cols>
  <sheetData>
    <row r="1" spans="1:256" ht="38.25" customHeight="1">
      <c r="A1" s="379"/>
      <c r="B1" s="379"/>
      <c r="C1" s="379"/>
      <c r="D1" s="379"/>
      <c r="E1" s="379"/>
      <c r="F1" s="379"/>
      <c r="G1" s="379"/>
      <c r="H1" s="379"/>
      <c r="I1" s="379"/>
      <c r="J1" s="379"/>
      <c r="K1" s="380"/>
      <c r="L1" s="379"/>
      <c r="M1" s="379"/>
      <c r="N1" s="379"/>
    </row>
    <row r="2" spans="1:256" ht="27.75" customHeight="1">
      <c r="A2" s="6"/>
      <c r="B2" s="588" t="str">
        <f>+"Cuadro de mando:  "&amp;"  "&amp;+'Introducción de datos'!C4&amp;" - "&amp;'Introducción de datos'!G6</f>
        <v>Cuadro de mando:    El Salvador - VIH / SIDA</v>
      </c>
      <c r="C2" s="588"/>
      <c r="D2" s="588"/>
      <c r="E2" s="588"/>
      <c r="F2" s="588"/>
      <c r="G2" s="588"/>
      <c r="H2" s="588"/>
      <c r="I2" s="588"/>
      <c r="J2" s="588"/>
      <c r="K2" s="588"/>
      <c r="L2" s="588"/>
      <c r="M2" s="588"/>
      <c r="N2" s="588"/>
      <c r="O2" s="38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96" t="str">
        <f>+'Introducción de datos'!G8</f>
        <v>SSF/NMF</v>
      </c>
      <c r="C3" s="565" t="str">
        <f>+'Introducción de datos'!I8</f>
        <v>Fase 2</v>
      </c>
      <c r="D3" s="565"/>
      <c r="E3" s="610"/>
      <c r="F3" s="610"/>
      <c r="G3" s="610"/>
      <c r="H3" s="610"/>
      <c r="I3" s="610"/>
      <c r="J3" s="610"/>
      <c r="K3" s="610"/>
      <c r="L3" s="296" t="str">
        <f>+'Introducción de datos'!B16</f>
        <v>Periodo:</v>
      </c>
      <c r="M3" s="353" t="str">
        <f>+'Introducción de datos'!C16</f>
        <v>P2</v>
      </c>
      <c r="N3" s="35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96" t="str">
        <f>+'Introducción de datos'!B12</f>
        <v>Ultima calificación:</v>
      </c>
      <c r="C4" s="589" t="str">
        <f>+'Introducción de datos'!C12</f>
        <v>B2</v>
      </c>
      <c r="D4" s="589"/>
      <c r="E4" s="566" t="str">
        <f>+'Introducción de datos'!C8</f>
        <v xml:space="preserve">Ministerio de Salud </v>
      </c>
      <c r="F4" s="566"/>
      <c r="G4" s="566"/>
      <c r="H4" s="566"/>
      <c r="I4" s="566"/>
      <c r="J4" s="566"/>
      <c r="K4" s="566"/>
      <c r="L4" s="296" t="str">
        <f>+'Introducción de datos'!D16</f>
        <v>Desde:</v>
      </c>
      <c r="M4" s="300" t="str">
        <f>+'Introducción de datos'!E16</f>
        <v>1 de julio de 2017</v>
      </c>
      <c r="N4" s="30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96"/>
      <c r="C5" s="296"/>
      <c r="D5" s="302"/>
      <c r="E5" s="566" t="str">
        <f>+'Introducción de datos'!G4</f>
        <v>INNOVANDO SERVICIOS, REDUCIENDO RIESGOS, RENOVANDO VIDAS EN EL SALVADOR</v>
      </c>
      <c r="F5" s="566"/>
      <c r="G5" s="566"/>
      <c r="H5" s="566"/>
      <c r="I5" s="566"/>
      <c r="J5" s="566"/>
      <c r="K5" s="566"/>
      <c r="L5" s="296" t="str">
        <f>+'Introducción de datos'!F16</f>
        <v>Hasta:</v>
      </c>
      <c r="M5" s="300">
        <f>+'Introducción de datos'!G16</f>
        <v>43100</v>
      </c>
      <c r="N5" s="30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303"/>
      <c r="C6" s="297"/>
      <c r="D6" s="302"/>
      <c r="E6" s="611" t="s">
        <v>243</v>
      </c>
      <c r="F6" s="611"/>
      <c r="G6" s="611"/>
      <c r="H6" s="611"/>
      <c r="I6" s="611"/>
      <c r="J6" s="611"/>
      <c r="K6" s="611"/>
      <c r="L6" s="148"/>
      <c r="M6" s="148"/>
      <c r="N6" s="14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386" customFormat="1" ht="4.5" customHeight="1">
      <c r="A7" s="382"/>
      <c r="B7" s="383"/>
      <c r="C7" s="383"/>
      <c r="D7" s="383"/>
      <c r="E7" s="383"/>
      <c r="F7" s="383"/>
      <c r="G7" s="383"/>
      <c r="H7" s="383"/>
      <c r="I7" s="383"/>
      <c r="J7" s="383"/>
      <c r="K7" s="383"/>
      <c r="L7" s="384"/>
      <c r="M7" s="384"/>
      <c r="N7" s="385"/>
    </row>
    <row r="8" spans="1:256" s="386" customFormat="1" ht="21" customHeight="1">
      <c r="A8" s="382"/>
      <c r="B8" s="612" t="s">
        <v>247</v>
      </c>
      <c r="C8" s="612"/>
      <c r="D8" s="612"/>
      <c r="E8" s="612"/>
      <c r="F8" s="612"/>
      <c r="G8" s="612"/>
      <c r="H8" s="612"/>
      <c r="I8" s="612"/>
      <c r="J8" s="612"/>
      <c r="K8" s="612"/>
      <c r="L8" s="612"/>
      <c r="M8" s="612"/>
      <c r="N8" s="612"/>
    </row>
    <row r="9" spans="1:256" s="386" customFormat="1" ht="3.75" customHeight="1">
      <c r="A9" s="382"/>
      <c r="B9" s="383"/>
      <c r="C9" s="383"/>
      <c r="D9" s="383"/>
      <c r="E9" s="383"/>
      <c r="F9" s="383"/>
      <c r="G9" s="383"/>
      <c r="H9" s="383"/>
      <c r="I9" s="383"/>
      <c r="J9" s="383"/>
      <c r="K9" s="383"/>
      <c r="L9" s="384"/>
      <c r="M9" s="384"/>
      <c r="N9" s="385"/>
    </row>
    <row r="10" spans="1:256" s="389" customFormat="1" ht="25.5" customHeight="1">
      <c r="A10" s="387"/>
      <c r="B10" s="613" t="s">
        <v>248</v>
      </c>
      <c r="C10" s="613"/>
      <c r="D10" s="614" t="s">
        <v>242</v>
      </c>
      <c r="E10" s="614"/>
      <c r="F10" s="614"/>
      <c r="G10" s="614"/>
      <c r="H10" s="388"/>
      <c r="I10" s="614" t="s">
        <v>243</v>
      </c>
      <c r="J10" s="614"/>
      <c r="K10" s="614"/>
      <c r="L10" s="614"/>
      <c r="M10" s="614"/>
      <c r="N10" s="614"/>
    </row>
    <row r="11" spans="1:256" s="389" customFormat="1" ht="28.5" customHeight="1">
      <c r="A11" s="387"/>
      <c r="B11" s="390" t="s">
        <v>249</v>
      </c>
      <c r="C11" s="391"/>
      <c r="D11" s="608" t="str">
        <f>IF(ISBLANK(Financiamiento!C9),"",(Financiamiento!C9))</f>
        <v>El presupuesto aprobado por Fondo Mundial para el año 1: Enero a Diciembre 2017  fue por la cantidad de $2,556,011.00; durante ese periodo el donante realizo desembolsos por la  suman total presupuestado $ 2,556,011.00 el cual representa el 100% del presupuesto asignado para ese periodo.</v>
      </c>
      <c r="E11" s="608"/>
      <c r="F11" s="608"/>
      <c r="G11" s="608"/>
      <c r="H11" s="392"/>
      <c r="I11" s="609"/>
      <c r="J11" s="609"/>
      <c r="K11" s="609"/>
      <c r="L11" s="609"/>
      <c r="M11" s="609"/>
      <c r="N11" s="609"/>
    </row>
    <row r="12" spans="1:256" s="389" customFormat="1" ht="27.75" customHeight="1">
      <c r="A12" s="387"/>
      <c r="B12" s="393" t="s">
        <v>250</v>
      </c>
      <c r="C12" s="394"/>
      <c r="D12" s="608" t="str">
        <f>IF(ISBLANK(Financiamiento!C23),"",(Financiamiento!C23))</f>
        <v xml:space="preserve">La ejecución acumulada del proyecto por modulos se observa en la gráfica que el módulo que ha alcanzado un 88% de ejecución es el de tratamiento, atención y apoyo ya que se han pagado todas las compras de reactivos de carga viral y CD4 que fueron adquiridos para el año. Asi tambien el modulo de SSRS: Recursos humanos para la salud, incluidos trabajadores de salud comunitaria unicamente se alcanzo una ejecución del 2%  debido a que no fue factible la contratación del Diplomado Virtual,  reprogramandose los fondos para pagos de reactivos del año 2016 y que fueron pagadas en octubre 2017. </v>
      </c>
      <c r="E12" s="608"/>
      <c r="F12" s="608"/>
      <c r="G12" s="608"/>
      <c r="H12" s="392"/>
      <c r="I12" s="615"/>
      <c r="J12" s="615"/>
      <c r="K12" s="615"/>
      <c r="L12" s="615"/>
      <c r="M12" s="615"/>
      <c r="N12" s="615"/>
    </row>
    <row r="13" spans="1:256" s="389" customFormat="1" ht="26.25" customHeight="1">
      <c r="A13" s="387"/>
      <c r="B13" s="393" t="s">
        <v>251</v>
      </c>
      <c r="C13" s="394"/>
      <c r="D13" s="608" t="str">
        <f>IF(ISBLANK(Financiamiento!I9),"",(Financiamiento!I9))</f>
        <v>Al cierre del periodo 2017 se observa en la gráfica un gasto del 53%, un compromisos del 12% en relación a los $ 2,556,011.00 del presupuesto anual aprobado. Los compromisos (reactivos, medicamentos y alimentación) de lo cual a la fecha hemos pagado el 91% el 9% son capacitaciones que se pagan según realización y la auditoria. así mismo se reprogramaron fondos por un  monto de $159,050.79; y se recalendarizo un monto de $ 311,189.79  para  ejecutarse durante el año 2018</v>
      </c>
      <c r="E13" s="608"/>
      <c r="F13" s="608"/>
      <c r="G13" s="608"/>
      <c r="H13" s="392"/>
      <c r="I13" s="615"/>
      <c r="J13" s="615"/>
      <c r="K13" s="615"/>
      <c r="L13" s="615"/>
      <c r="M13" s="615"/>
      <c r="N13" s="615"/>
    </row>
    <row r="14" spans="1:256" s="389" customFormat="1" ht="28.5" customHeight="1">
      <c r="A14" s="387"/>
      <c r="B14" s="395" t="s">
        <v>252</v>
      </c>
      <c r="C14" s="396"/>
      <c r="D14" s="616" t="str">
        <f>IF(ISBLANK(Financiamiento!I23),"",(Financiamiento!I23))</f>
        <v>El ciclo de información de esta Subvención es Anual por lo tanto a la fecha no se han remitido ningun reporte al FM</v>
      </c>
      <c r="E14" s="616"/>
      <c r="F14" s="616"/>
      <c r="G14" s="616"/>
      <c r="H14" s="392"/>
      <c r="I14" s="617"/>
      <c r="J14" s="617"/>
      <c r="K14" s="617"/>
      <c r="L14" s="617"/>
      <c r="M14" s="617"/>
      <c r="N14" s="617"/>
    </row>
    <row r="15" spans="1:256" s="389" customFormat="1" ht="4.5" customHeight="1">
      <c r="A15" s="387"/>
      <c r="B15" s="397"/>
      <c r="C15" s="398"/>
      <c r="D15" s="399"/>
      <c r="E15" s="399"/>
      <c r="F15" s="399"/>
      <c r="G15" s="399"/>
      <c r="H15" s="392"/>
      <c r="I15" s="400"/>
      <c r="J15" s="400"/>
      <c r="K15" s="400"/>
      <c r="L15" s="400"/>
      <c r="M15" s="400"/>
      <c r="N15" s="400"/>
      <c r="O15" s="401"/>
    </row>
    <row r="16" spans="1:256" s="386" customFormat="1" ht="21" customHeight="1">
      <c r="A16" s="382"/>
      <c r="B16" s="612" t="s">
        <v>253</v>
      </c>
      <c r="C16" s="612"/>
      <c r="D16" s="612"/>
      <c r="E16" s="612"/>
      <c r="F16" s="612"/>
      <c r="G16" s="612"/>
      <c r="H16" s="612"/>
      <c r="I16" s="612"/>
      <c r="J16" s="612"/>
      <c r="K16" s="612"/>
      <c r="L16" s="612"/>
      <c r="M16" s="612"/>
      <c r="N16" s="612"/>
    </row>
    <row r="17" spans="1:15" s="389" customFormat="1" ht="3.75" customHeight="1">
      <c r="A17" s="387"/>
      <c r="B17" s="402"/>
      <c r="C17" s="403"/>
      <c r="D17" s="404"/>
      <c r="E17" s="405"/>
      <c r="F17" s="406"/>
      <c r="G17" s="406"/>
      <c r="H17" s="407"/>
      <c r="I17" s="408"/>
      <c r="J17" s="409"/>
      <c r="K17" s="410"/>
      <c r="L17" s="411"/>
      <c r="M17" s="412"/>
      <c r="N17" s="413"/>
    </row>
    <row r="18" spans="1:15" s="389" customFormat="1" ht="22.5" customHeight="1">
      <c r="A18" s="387"/>
      <c r="B18" s="618" t="s">
        <v>241</v>
      </c>
      <c r="C18" s="618"/>
      <c r="D18" s="619" t="s">
        <v>242</v>
      </c>
      <c r="E18" s="619"/>
      <c r="F18" s="619"/>
      <c r="G18" s="619"/>
      <c r="H18" s="388"/>
      <c r="I18" s="620" t="s">
        <v>243</v>
      </c>
      <c r="J18" s="620"/>
      <c r="K18" s="620"/>
      <c r="L18" s="620"/>
      <c r="M18" s="620"/>
      <c r="N18" s="620"/>
    </row>
    <row r="19" spans="1:15" s="389" customFormat="1" ht="51.75" customHeight="1">
      <c r="A19" s="387"/>
      <c r="B19" s="414" t="s">
        <v>254</v>
      </c>
      <c r="C19" s="415"/>
      <c r="D19" s="621" t="str">
        <f>IF(ISBLANK(Gestión!C8),"",(Gestión!C8))</f>
        <v>Para este período se han presentado a tiempo todas las condiciones precedentes, se esta pendiente de retroalimentacion del FM para darlas por cumplidas</v>
      </c>
      <c r="E19" s="621"/>
      <c r="F19" s="621"/>
      <c r="G19" s="621"/>
      <c r="H19" s="416"/>
      <c r="I19" s="622"/>
      <c r="J19" s="622"/>
      <c r="K19" s="622"/>
      <c r="L19" s="622"/>
      <c r="M19" s="622"/>
      <c r="N19" s="622"/>
    </row>
    <row r="20" spans="1:15" ht="24.75" customHeight="1">
      <c r="A20" s="379"/>
      <c r="B20" s="417" t="s">
        <v>255</v>
      </c>
      <c r="C20" s="418"/>
      <c r="D20" s="625" t="str">
        <f>IF(ISBLANK(Gestión!I8),"",(Gestión!I8))</f>
        <v>El RP MINSAL cuenta con los principales puestos directivos, no hay puestos vacantes.</v>
      </c>
      <c r="E20" s="625">
        <f>+'Introducción de datos'!D78/'Introducción de datos'!G78</f>
        <v>1</v>
      </c>
      <c r="F20" s="625">
        <f>+('Introducción de datos'!E78+'Introducción de datos'!F78)/'Introducción de datos'!G78</f>
        <v>0</v>
      </c>
      <c r="G20" s="625"/>
      <c r="H20" s="416"/>
      <c r="I20" s="626"/>
      <c r="J20" s="626"/>
      <c r="K20" s="626"/>
      <c r="L20" s="626"/>
      <c r="M20" s="626"/>
      <c r="N20" s="626"/>
      <c r="O20" s="419"/>
    </row>
    <row r="21" spans="1:15" ht="29.25" customHeight="1">
      <c r="A21" s="379"/>
      <c r="B21" s="420" t="s">
        <v>256</v>
      </c>
      <c r="C21" s="418"/>
      <c r="D21" s="625" t="str">
        <f>IF(ISBLANK(Gestión!C17),"",(Gestión!C17))</f>
        <v>El RP MINSAL no cuenta con subreceptores</v>
      </c>
      <c r="E21" s="625"/>
      <c r="F21" s="625"/>
      <c r="G21" s="625"/>
      <c r="H21" s="416"/>
      <c r="I21" s="626"/>
      <c r="J21" s="626"/>
      <c r="K21" s="626"/>
      <c r="L21" s="626"/>
      <c r="M21" s="626"/>
      <c r="N21" s="626"/>
      <c r="O21" s="419"/>
    </row>
    <row r="22" spans="1:15" ht="26.25" customHeight="1">
      <c r="A22" s="379"/>
      <c r="B22" s="420" t="s">
        <v>257</v>
      </c>
      <c r="C22" s="418"/>
      <c r="D22" s="625" t="str">
        <f>IF(ISBLANK(Gestión!I19),"",(Gestión!I19))</f>
        <v>El RP MINSAL no cuenta con subreceptores</v>
      </c>
      <c r="E22" s="625"/>
      <c r="F22" s="625"/>
      <c r="G22" s="625"/>
      <c r="H22" s="416"/>
      <c r="I22" s="626"/>
      <c r="J22" s="626"/>
      <c r="K22" s="626"/>
      <c r="L22" s="626"/>
      <c r="M22" s="626"/>
      <c r="N22" s="626"/>
      <c r="O22" s="419"/>
    </row>
    <row r="23" spans="1:15" ht="72" customHeight="1">
      <c r="A23" s="379"/>
      <c r="B23" s="420" t="s">
        <v>258</v>
      </c>
      <c r="C23" s="418"/>
      <c r="D23" s="625" t="str">
        <f>IF(ISBLANK(Gestión!C28),"",(Gestión!C28))</f>
        <v>Para el primer semestre se tuvo retrasos en la adquisición de 2 ARV situación que se solvento con préstamos al ISSS. En cuanto a reactivos no se presento retraso durante este período, ya que se contaba con los reactivos que fueron adquiridos con presupuesto 2016 y recibidos a inicios del año en curso.</v>
      </c>
      <c r="E23" s="625"/>
      <c r="F23" s="625"/>
      <c r="G23" s="625"/>
      <c r="H23" s="416"/>
      <c r="I23" s="626"/>
      <c r="J23" s="626"/>
      <c r="K23" s="626"/>
      <c r="L23" s="626"/>
      <c r="M23" s="626"/>
      <c r="N23" s="626"/>
      <c r="O23" s="419"/>
    </row>
    <row r="24" spans="1:15" ht="27" customHeight="1">
      <c r="A24" s="379"/>
      <c r="B24" s="421" t="s">
        <v>259</v>
      </c>
      <c r="C24" s="422"/>
      <c r="D24" s="627" t="str">
        <f>IF(ISBLANK(Gestión!I29),"",(Gestión!I29))</f>
        <v>Con presupuesto del Fondo Mundial actualmente no se adquieren ARV, 
 Casi un 50% de los usuarios VIH (+) utilizan Efavirenz + emtricitabina + tenofovir ( ATRIPLA) por lo cual es el que se esta reportando.
De este no se ha tenido desabastecimiento, ni vencimientos  durante el período de enero a diciembre del  año 2017 y se cuenta con existencias para 9 meses dándole cobertura a los 3,734 pacientes que actualmente se encuentran recibiendo dicho medicamento.</v>
      </c>
      <c r="E24" s="627"/>
      <c r="F24" s="627"/>
      <c r="G24" s="627"/>
      <c r="H24" s="416"/>
      <c r="I24" s="628"/>
      <c r="J24" s="628"/>
      <c r="K24" s="628"/>
      <c r="L24" s="628"/>
      <c r="M24" s="628"/>
      <c r="N24" s="628"/>
      <c r="O24" s="419"/>
    </row>
    <row r="25" spans="1:15" ht="4.5" customHeight="1">
      <c r="A25" s="382"/>
      <c r="B25" s="423"/>
      <c r="C25" s="424"/>
      <c r="D25" s="425"/>
      <c r="E25" s="426"/>
      <c r="F25" s="427"/>
      <c r="G25" s="427"/>
      <c r="H25" s="388"/>
      <c r="I25" s="426"/>
      <c r="J25" s="428"/>
      <c r="K25" s="410"/>
      <c r="L25" s="411"/>
      <c r="M25" s="412"/>
      <c r="N25" s="413"/>
      <c r="O25" s="419"/>
    </row>
    <row r="26" spans="1:15" s="386" customFormat="1" ht="21" customHeight="1">
      <c r="A26" s="382"/>
      <c r="B26" s="612" t="s">
        <v>260</v>
      </c>
      <c r="C26" s="612"/>
      <c r="D26" s="612"/>
      <c r="E26" s="612"/>
      <c r="F26" s="612"/>
      <c r="G26" s="612"/>
      <c r="H26" s="612"/>
      <c r="I26" s="612"/>
      <c r="J26" s="612"/>
      <c r="K26" s="612"/>
      <c r="L26" s="612"/>
      <c r="M26" s="612"/>
      <c r="N26" s="612"/>
    </row>
    <row r="27" spans="1:15" ht="3.75" customHeight="1">
      <c r="A27" s="382"/>
      <c r="B27" s="423"/>
      <c r="C27" s="424"/>
      <c r="D27" s="425"/>
      <c r="E27" s="426"/>
      <c r="F27" s="427"/>
      <c r="G27" s="427"/>
      <c r="H27" s="388"/>
      <c r="I27" s="426"/>
      <c r="J27" s="428"/>
      <c r="K27" s="410"/>
      <c r="L27" s="411"/>
      <c r="M27" s="412"/>
      <c r="N27" s="413"/>
      <c r="O27" s="419"/>
    </row>
    <row r="28" spans="1:15" ht="21.75" customHeight="1">
      <c r="A28" s="379"/>
      <c r="B28" s="623" t="s">
        <v>261</v>
      </c>
      <c r="C28" s="623"/>
      <c r="D28" s="624" t="s">
        <v>242</v>
      </c>
      <c r="E28" s="624"/>
      <c r="F28" s="624"/>
      <c r="G28" s="624"/>
      <c r="H28" s="388"/>
      <c r="I28" s="624" t="s">
        <v>243</v>
      </c>
      <c r="J28" s="624"/>
      <c r="K28" s="624"/>
      <c r="L28" s="624"/>
      <c r="M28" s="624"/>
      <c r="N28" s="624"/>
      <c r="O28" s="419"/>
    </row>
    <row r="29" spans="1:15" ht="67.5" customHeight="1">
      <c r="A29" s="379"/>
      <c r="B29" s="429" t="s">
        <v>262</v>
      </c>
      <c r="C29" s="430"/>
      <c r="D29" s="629" t="str">
        <f>IF(ISBLANK(Programatico!C9),"",(Programatico!C9))</f>
        <v>Actualmente el 100% de los usuarios que consultan a los Hospitales con TAR y que cumplen criterios para iniciar la misma se encuentran recibiendo tratamiento.
En relación a la meta del año 2017 un  85% de los pacientes estimados  viviendo con VIH se encuentran en TAR.</v>
      </c>
      <c r="E29" s="629"/>
      <c r="F29" s="629"/>
      <c r="G29" s="629"/>
      <c r="H29" s="416"/>
      <c r="I29" s="630"/>
      <c r="J29" s="630"/>
      <c r="K29" s="630"/>
      <c r="L29" s="630"/>
      <c r="M29" s="630"/>
      <c r="N29" s="630"/>
      <c r="O29" s="419"/>
    </row>
    <row r="30" spans="1:15" ht="47.25" customHeight="1">
      <c r="A30" s="379"/>
      <c r="B30" s="431" t="s">
        <v>263</v>
      </c>
      <c r="C30" s="432"/>
      <c r="D30" s="631" t="str">
        <f>IF(ISBLANK(Programatico!G9),"",(Programatico!G9))</f>
        <v>Se ha realizado un esfuerzo conjunto con PLAN Internacional logrando así mejorar la cobertura de años anteriores, aún existen muchas barreras que superar y que dificultanel abrodaje hacia esta poblción tales como:  dificultad en encontrar el número de HSH estimados por Departamentos, altos grados de delincuencia hacia estas poblaciones y la población en general.
El número de referencias efectivas y actividades extramurales registradas durante el período de enero a diciembre 2017 en el SUMEVE para esta población es de  4,821</v>
      </c>
      <c r="E30" s="631"/>
      <c r="F30" s="631"/>
      <c r="G30" s="631"/>
      <c r="H30" s="416"/>
      <c r="I30" s="632"/>
      <c r="J30" s="632"/>
      <c r="K30" s="632"/>
      <c r="L30" s="632"/>
      <c r="M30" s="632"/>
      <c r="N30" s="632"/>
      <c r="O30" s="419"/>
    </row>
    <row r="31" spans="1:15" ht="127.7" customHeight="1">
      <c r="A31" s="379"/>
      <c r="B31" s="431" t="s">
        <v>264</v>
      </c>
      <c r="C31" s="432"/>
      <c r="D31" s="631" t="str">
        <f>IF(ISBLANK(Programatico!M9),"",(Programatico!M9))</f>
        <v>Para este indicador se obtuvo un logro del 98% esto debido al trabajo de las Unidades Móviles de PLAN y la coordinación entre los Sub receptores con las diferentes UCSF para la realización de referencias efectivas y actividades extramurales.</v>
      </c>
      <c r="E31" s="631"/>
      <c r="F31" s="631"/>
      <c r="G31" s="631"/>
      <c r="H31" s="416"/>
      <c r="I31" s="632"/>
      <c r="J31" s="632"/>
      <c r="K31" s="632"/>
      <c r="L31" s="632"/>
      <c r="M31" s="632"/>
      <c r="N31" s="632"/>
      <c r="O31" s="419"/>
    </row>
    <row r="32" spans="1:15" ht="207" customHeight="1">
      <c r="A32" s="379"/>
      <c r="B32" s="433" t="s">
        <v>71</v>
      </c>
      <c r="C32" s="432"/>
      <c r="D32" s="633" t="str">
        <f>IF(ISBLANK(Programatico!L20),"",(Programatico!L20))</f>
        <v xml:space="preserve">La meta para este indicador es de 10,799 personas viviendo con VIH que se encuentran recibiendo TAR.
Actualmente el Ministerio de Salud esta brindando TAR a 9,208  usuarios los cuales cumplen criterios de inicio de terapia según las últimas guias clínicas, no existiendo listas de espera. </v>
      </c>
      <c r="E32" s="633"/>
      <c r="F32" s="633"/>
      <c r="G32" s="633"/>
      <c r="H32" s="416"/>
      <c r="I32" s="632"/>
      <c r="J32" s="632"/>
      <c r="K32" s="632"/>
      <c r="L32" s="632"/>
      <c r="M32" s="632"/>
      <c r="N32" s="632"/>
      <c r="O32" s="419"/>
    </row>
    <row r="33" spans="1:15" ht="150" customHeight="1">
      <c r="A33" s="379"/>
      <c r="B33" s="433" t="s">
        <v>88</v>
      </c>
      <c r="C33" s="432"/>
      <c r="D33" s="633" t="str">
        <f>IF(ISBLANK(Programatico!L21),"",(Programatico!L21))</f>
        <v xml:space="preserve">Meta FM + PEPFAR: 14,618 personas HSH que se han realizado la prueba de VIH y que conocen sus resultados (logro Nacional 27%)
Meta FM: 12,619 HSH a los cuales se les debe hacer la prueba de VIH y deben conocer sus resultados. 
Número total de post consejerías brindadas FM (PLAN + MINSAL)= 12,362 post consejerías brindadas a esta población
Post consejerías brindadas por Unidades Móviles de PLAN:  7,541
Post consejerias brindadas a través de referencia efectivas a UCSF y actividades extramurales:4,821
Logro FM: 12,362/54140= 23% meta alcanzada para un logro de 85% de post consejerías registradas
PEPFAR: realizo 3,501 post consejerías a HSH
Logro Nacional ( PEPFAR + FM): 15,863/54140=29.3% meta alcanzada para un logro de 109%
Este indicador se logro alcanzar a través de las actividades realizadas con las unidades móviles de Plan y el trabajo conjunto de los subreceptores de PLAN y el personal de salud de las diferentes UCSF que poseen laboratorio a través de coordinaciones efectivas  y el trabajo de PEPFAR.-
</v>
      </c>
      <c r="E33" s="633"/>
      <c r="F33" s="633"/>
      <c r="G33" s="633"/>
      <c r="H33" s="416"/>
      <c r="I33" s="632"/>
      <c r="J33" s="632"/>
      <c r="K33" s="632"/>
      <c r="L33" s="632"/>
      <c r="M33" s="632"/>
      <c r="N33" s="632"/>
      <c r="O33" s="419"/>
    </row>
    <row r="34" spans="1:15" ht="186" customHeight="1">
      <c r="A34" s="379"/>
      <c r="B34" s="433" t="s">
        <v>89</v>
      </c>
      <c r="C34" s="432"/>
      <c r="D34" s="633" t="str">
        <f>IF(ISBLANK(Programatico!L21),"",(Programatico!L21))</f>
        <v xml:space="preserve">Meta FM + PEPFAR: 14,618 personas HSH que se han realizado la prueba de VIH y que conocen sus resultados (logro Nacional 27%)
Meta FM: 12,619 HSH a los cuales se les debe hacer la prueba de VIH y deben conocer sus resultados. 
Número total de post consejerías brindadas FM (PLAN + MINSAL)= 12,362 post consejerías brindadas a esta población
Post consejerías brindadas por Unidades Móviles de PLAN:  7,541
Post consejerias brindadas a través de referencia efectivas a UCSF y actividades extramurales:4,821
Logro FM: 12,362/54140= 23% meta alcanzada para un logro de 85% de post consejerías registradas
PEPFAR: realizo 3,501 post consejerías a HSH
Logro Nacional ( PEPFAR + FM): 15,863/54140=29.3% meta alcanzada para un logro de 109%
Este indicador se logro alcanzar a través de las actividades realizadas con las unidades móviles de Plan y el trabajo conjunto de los subreceptores de PLAN y el personal de salud de las diferentes UCSF que poseen laboratorio a través de coordinaciones efectivas  y el trabajo de PEPFAR.-
</v>
      </c>
      <c r="E34" s="633"/>
      <c r="F34" s="633"/>
      <c r="G34" s="633"/>
      <c r="H34" s="416"/>
      <c r="I34" s="632"/>
      <c r="J34" s="632"/>
      <c r="K34" s="632"/>
      <c r="L34" s="632"/>
      <c r="M34" s="632"/>
      <c r="N34" s="632"/>
      <c r="O34" s="419"/>
    </row>
    <row r="35" spans="1:15" ht="217.5" customHeight="1">
      <c r="A35" s="379"/>
      <c r="B35" s="433" t="s">
        <v>90</v>
      </c>
      <c r="C35" s="434"/>
      <c r="D35" s="633" t="str">
        <f>IF(ISBLANK(Programatico!L22),"",(Programatico!L22))</f>
        <v xml:space="preserve">Meta FM + PEPFAR: 7264 TS que se han realizado la prueba de VIH y que conocen sus resultados (logro Nacional 55%)
Meta FM: 12,619 TS a los cuales se les debe hacer la prueba de VIH y deben conocer sus resultados. 
Número total de post consejerías brindadas FM (PLAN + MINSAL)= 6,026 post consejerías brindadas a esta población
Post consejerías brindadas por Unidades Móviles de PLAN:  4,076
Post consejerias brindadas a través de referencia efectivas a UCSF y actividades extramurales:1,950
Logro FM: 6,026/13,305= 45% meta alcanzada para un logro de 83% de post consejerías registradas
PEPFAR: realizo 1,122 post consejerías a TS
Logro Nacional ( PEPFAR + FM): 7,148/13.305= 54% meta alcanzada para un logro de 98%
Este indicador se logro alcanzar a través de las actividades realizadas con las unidades móviles de Plan y el trabajo conjunto de los subreceptores de PLAN y el personal de salud de las diferentes UCSF que poseen laboratorio a través de coordinaciones efectivas y el trabajo de PEPFAR
</v>
      </c>
      <c r="E35" s="633"/>
      <c r="F35" s="633"/>
      <c r="G35" s="633"/>
      <c r="H35" s="416"/>
      <c r="I35" s="632"/>
      <c r="J35" s="632"/>
      <c r="K35" s="632"/>
      <c r="L35" s="632"/>
      <c r="M35" s="632"/>
      <c r="N35" s="632"/>
      <c r="O35" s="419"/>
    </row>
    <row r="36" spans="1:15" ht="94.5" customHeight="1">
      <c r="A36" s="379"/>
      <c r="B36" s="433" t="s">
        <v>91</v>
      </c>
      <c r="C36" s="434"/>
      <c r="D36" s="633" t="str">
        <f>IF(ISBLANK(Programatico!L23),"",(Programatico!L23))</f>
        <v xml:space="preserve">Meta FM : 1,126 que se han realizado la prueba de VIH y que conocen sus resultados (logro Nacional 56% %)
Número total de post consejerías FM (PLAN + MINSAL)= 824 post consejerías brindadas a esta población
Post consejerías brindadas por Unidades Móviles de PLAN:  586
Post consejerias brindadas a través de referencia efectivas a UCSF y actividades extramurales:238
Logro FM: 824/2011= 41% de meta alcanzada para un logro de 73% de post consejerías registradas a poblacion de Mujeres Trans
Este indicador se logro alcanzar a través de las actividades realizadas con las unidades móviles de Plan y el trabajo conjunto de los subreceptores de PLAN y el personal de salud de las diferentes UCSF que poseen laboratorio a través de coordinaciones efectivas.
</v>
      </c>
      <c r="E36" s="633"/>
      <c r="F36" s="633"/>
      <c r="G36" s="633"/>
      <c r="H36" s="416"/>
      <c r="I36" s="632"/>
      <c r="J36" s="632"/>
      <c r="K36" s="632"/>
      <c r="L36" s="632"/>
      <c r="M36" s="632"/>
      <c r="N36" s="632"/>
      <c r="O36" s="419"/>
    </row>
    <row r="37" spans="1:15" ht="129.75" customHeight="1">
      <c r="A37" s="379"/>
      <c r="B37" s="433" t="s">
        <v>92</v>
      </c>
      <c r="C37" s="434"/>
      <c r="D37" s="633" t="str">
        <f>IF(ISBLANK(Programatico!L24),"",(Programatico!L24))</f>
        <v>De los 609 usuarios que iniciaron TAR durante la cohorte del año 2015 , 497 se encuentran con CV indetectable, alcanzando una meta de 81.6% para un logro del 120% en este período.</v>
      </c>
      <c r="E37" s="633"/>
      <c r="F37" s="633"/>
      <c r="G37" s="633"/>
      <c r="H37" s="416"/>
      <c r="I37" s="632"/>
      <c r="J37" s="632"/>
      <c r="K37" s="632"/>
      <c r="L37" s="632"/>
      <c r="M37" s="632"/>
      <c r="N37" s="632"/>
      <c r="O37" s="419"/>
    </row>
    <row r="38" spans="1:15" ht="254.25" customHeight="1">
      <c r="A38" s="379"/>
      <c r="B38" s="433" t="s">
        <v>93</v>
      </c>
      <c r="C38" s="434"/>
      <c r="D38" s="633" t="str">
        <f>IF(ISBLANK(Programatico!L25),"",(Programatico!L25))</f>
        <v xml:space="preserve">La meta para este indicador es de 22852 post cnsejerías (70%) y se alcanzo a realizar 15,162 lo que representa un 54.6% para un logro de 78%.
Para los indicadores de post consejerías se cambio en el formulario de post consejerias el cual se inicio a utilizar a partir de julio del 2,017, por lo que existe un considerado porcentaje de formularios pendiente de incorporar en el sistema debido al proceso de adaptacion a la nueva dinamica de registro. </v>
      </c>
      <c r="E38" s="633"/>
      <c r="F38" s="633"/>
      <c r="G38" s="633"/>
      <c r="H38" s="416"/>
      <c r="I38" s="632"/>
      <c r="J38" s="632"/>
      <c r="K38" s="632"/>
      <c r="L38" s="632"/>
      <c r="M38" s="632"/>
      <c r="N38" s="632"/>
      <c r="O38" s="419"/>
    </row>
    <row r="39" spans="1:15" ht="87.75" customHeight="1">
      <c r="A39" s="379"/>
      <c r="B39" s="433" t="s">
        <v>94</v>
      </c>
      <c r="C39" s="434"/>
      <c r="D39" s="633" t="str">
        <f>IF(ISBLANK(Programatico!L27),"",(Programatico!L27))</f>
        <v>Esta información se obtiene de las atenciones que se brindan en las clínicas VICITS a traves de los expedientes clinicos de cada uno de los usuarios.</v>
      </c>
      <c r="E39" s="633"/>
      <c r="F39" s="633"/>
      <c r="G39" s="633"/>
      <c r="H39" s="416"/>
      <c r="I39" s="632"/>
      <c r="J39" s="632"/>
      <c r="K39" s="632"/>
      <c r="L39" s="632"/>
      <c r="M39" s="632"/>
      <c r="N39" s="632"/>
      <c r="O39" s="419"/>
    </row>
    <row r="40" spans="1:15" ht="54" customHeight="1">
      <c r="A40" s="379"/>
      <c r="B40" s="433" t="s">
        <v>95</v>
      </c>
      <c r="C40" s="434"/>
      <c r="D40" s="633" t="str">
        <f>IF(ISBLANK(Programatico!L28),"",(Programatico!L28))</f>
        <v>Esta información se obtiene de las atenciones que se brindan en las clínicas VICITS a traves de los expedientes clinicos de cada uno de los usuarios.</v>
      </c>
      <c r="E40" s="633"/>
      <c r="F40" s="633"/>
      <c r="G40" s="633"/>
      <c r="H40" s="416"/>
      <c r="I40" s="632"/>
      <c r="J40" s="632"/>
      <c r="K40" s="632"/>
      <c r="L40" s="632"/>
      <c r="M40" s="632"/>
      <c r="N40" s="632"/>
      <c r="O40" s="419"/>
    </row>
    <row r="41" spans="1:15" ht="81" customHeight="1">
      <c r="A41" s="379"/>
      <c r="B41" s="433" t="s">
        <v>96</v>
      </c>
      <c r="C41" s="435"/>
      <c r="D41" s="633" t="e">
        <f>IF(ISBLANK(Programatico!#REF!),"",(Programatico!#REF!))</f>
        <v>#REF!</v>
      </c>
      <c r="E41" s="633"/>
      <c r="F41" s="633"/>
      <c r="G41" s="633"/>
      <c r="H41" s="416"/>
      <c r="I41" s="634"/>
      <c r="J41" s="634"/>
      <c r="K41" s="634"/>
      <c r="L41" s="634"/>
      <c r="M41" s="634"/>
      <c r="N41" s="634"/>
      <c r="O41" s="419"/>
    </row>
  </sheetData>
  <sheetProtection selectLockedCells="1" selectUnlockedCells="1"/>
  <mergeCells count="65">
    <mergeCell ref="D41:G41"/>
    <mergeCell ref="I41:N41"/>
    <mergeCell ref="D38:G38"/>
    <mergeCell ref="I38:N38"/>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B28:C28"/>
    <mergeCell ref="D28:G28"/>
    <mergeCell ref="I28:N28"/>
    <mergeCell ref="D20:G20"/>
    <mergeCell ref="I20:N20"/>
    <mergeCell ref="D21:G21"/>
    <mergeCell ref="I21:N21"/>
    <mergeCell ref="D22:G22"/>
    <mergeCell ref="I22:N22"/>
    <mergeCell ref="D23:G23"/>
    <mergeCell ref="I23:N23"/>
    <mergeCell ref="D24:G24"/>
    <mergeCell ref="I24:N24"/>
    <mergeCell ref="B26:N26"/>
    <mergeCell ref="B16:N16"/>
    <mergeCell ref="B18:C18"/>
    <mergeCell ref="D18:G18"/>
    <mergeCell ref="I18:N18"/>
    <mergeCell ref="D19:G19"/>
    <mergeCell ref="I19:N19"/>
    <mergeCell ref="D12:G12"/>
    <mergeCell ref="I12:N12"/>
    <mergeCell ref="D13:G13"/>
    <mergeCell ref="I13:N13"/>
    <mergeCell ref="D14:G14"/>
    <mergeCell ref="I14:N14"/>
    <mergeCell ref="D11:G11"/>
    <mergeCell ref="I11:N11"/>
    <mergeCell ref="B2:N2"/>
    <mergeCell ref="C3:D3"/>
    <mergeCell ref="E3:K3"/>
    <mergeCell ref="C4:D4"/>
    <mergeCell ref="E4:K4"/>
    <mergeCell ref="E5:K5"/>
    <mergeCell ref="E6:K6"/>
    <mergeCell ref="B8:N8"/>
    <mergeCell ref="B10:C10"/>
    <mergeCell ref="D10:G10"/>
    <mergeCell ref="I10:N10"/>
  </mergeCells>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33333333333337" right="0.70833333333333337" top="0.74791666666666667" bottom="0.74861111111111112" header="0.51180555555555551" footer="0.31527777777777777"/>
  <pageSetup paperSize="9" scale="57" firstPageNumber="0" orientation="landscape" horizontalDpi="300" verticalDpi="300"/>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7"/>
  </sheetPr>
  <dimension ref="A1:M43"/>
  <sheetViews>
    <sheetView showGridLines="0" zoomScale="120" zoomScaleNormal="120" zoomScaleSheetLayoutView="100" workbookViewId="0">
      <selection activeCell="B36" sqref="B36:E37"/>
    </sheetView>
  </sheetViews>
  <sheetFormatPr baseColWidth="10" defaultColWidth="9.140625" defaultRowHeight="15"/>
  <cols>
    <col min="1" max="1" width="23.85546875" customWidth="1"/>
    <col min="2" max="2" width="46" customWidth="1"/>
    <col min="3" max="4" width="8.85546875" customWidth="1"/>
    <col min="5" max="5" width="19" customWidth="1"/>
    <col min="6" max="6" width="1.42578125" customWidth="1"/>
    <col min="8" max="8" width="9.5703125" customWidth="1"/>
    <col min="9" max="9" width="8.85546875" customWidth="1"/>
    <col min="10" max="10" width="98.28515625" customWidth="1"/>
    <col min="11" max="11" width="44.42578125" customWidth="1"/>
    <col min="12" max="12" width="59.7109375" customWidth="1"/>
  </cols>
  <sheetData>
    <row r="1" spans="1:13" ht="30.75" customHeight="1"/>
    <row r="2" spans="1:13" ht="27.75" customHeight="1">
      <c r="B2" s="577" t="str">
        <f>+"Cuadro de mando:  "&amp;"  "&amp;+'Introducción de datos'!C4&amp;" - "&amp;'Introducción de datos'!G6</f>
        <v>Cuadro de mando:    El Salvador - VIH / SIDA</v>
      </c>
      <c r="C2" s="577"/>
      <c r="D2" s="577"/>
      <c r="E2" s="577"/>
      <c r="F2" s="577"/>
      <c r="G2" s="577"/>
      <c r="H2" s="577"/>
      <c r="I2" s="577"/>
      <c r="J2" s="577"/>
      <c r="K2" s="577"/>
      <c r="L2" s="577"/>
    </row>
    <row r="3" spans="1:13">
      <c r="B3" s="328" t="str">
        <f>+'Introducción de datos'!G8</f>
        <v>SSF/NMF</v>
      </c>
      <c r="C3" s="578" t="str">
        <f>+'Introducción de datos'!I8</f>
        <v>Fase 2</v>
      </c>
      <c r="D3" s="578"/>
      <c r="E3" s="579"/>
      <c r="F3" s="579"/>
      <c r="G3" s="579"/>
      <c r="H3" s="579"/>
      <c r="I3" s="579"/>
      <c r="J3" s="580" t="str">
        <f>+'Introducción de datos'!B16</f>
        <v>Periodo:</v>
      </c>
      <c r="K3" s="580"/>
      <c r="L3" s="353" t="str">
        <f>+'Introducción de datos'!C16</f>
        <v>P2</v>
      </c>
      <c r="M3" s="436"/>
    </row>
    <row r="4" spans="1:13">
      <c r="B4" s="328" t="str">
        <f>+'Introducción de datos'!B12</f>
        <v>Ultima calificación:</v>
      </c>
      <c r="C4" s="635" t="str">
        <f>+'Introducción de datos'!C12</f>
        <v>B2</v>
      </c>
      <c r="D4" s="635"/>
      <c r="E4" s="579" t="str">
        <f>+'Introducción de datos'!C8</f>
        <v xml:space="preserve">Ministerio de Salud </v>
      </c>
      <c r="F4" s="579"/>
      <c r="G4" s="579"/>
      <c r="H4" s="579"/>
      <c r="I4" s="579"/>
      <c r="J4" s="580" t="str">
        <f>+'Introducción de datos'!D16</f>
        <v>Desde:</v>
      </c>
      <c r="K4" s="580"/>
      <c r="L4" s="300" t="str">
        <f>+'Introducción de datos'!E16</f>
        <v>1 de julio de 2017</v>
      </c>
    </row>
    <row r="5" spans="1:13" ht="18.75" customHeight="1">
      <c r="B5" s="328"/>
      <c r="C5" s="328"/>
      <c r="D5" s="579" t="str">
        <f>+'Introducción de datos'!G4</f>
        <v>INNOVANDO SERVICIOS, REDUCIENDO RIESGOS, RENOVANDO VIDAS EN EL SALVADOR</v>
      </c>
      <c r="E5" s="579"/>
      <c r="F5" s="579"/>
      <c r="G5" s="579"/>
      <c r="H5" s="579"/>
      <c r="I5" s="579"/>
      <c r="J5" s="579"/>
      <c r="K5" s="328" t="str">
        <f>+'Introducción de datos'!F16</f>
        <v>Hasta:</v>
      </c>
      <c r="L5" s="300">
        <f>+'Introducción de datos'!G16</f>
        <v>43100</v>
      </c>
    </row>
    <row r="6" spans="1:13" ht="18.75">
      <c r="B6" s="329"/>
      <c r="C6" s="328"/>
      <c r="D6" s="302"/>
      <c r="E6" s="582" t="s">
        <v>265</v>
      </c>
      <c r="F6" s="582"/>
      <c r="G6" s="582"/>
      <c r="H6" s="582"/>
      <c r="I6" s="582"/>
    </row>
    <row r="7" spans="1:13" ht="18.75">
      <c r="E7" s="437"/>
      <c r="F7" s="437"/>
      <c r="G7" s="437"/>
      <c r="H7" s="437"/>
      <c r="I7" s="437"/>
    </row>
    <row r="8" spans="1:13" s="386" customFormat="1" ht="21" customHeight="1">
      <c r="B8" s="438" t="s">
        <v>266</v>
      </c>
      <c r="C8" s="439"/>
      <c r="D8" s="439"/>
      <c r="E8" s="439"/>
      <c r="F8" s="439"/>
      <c r="G8" s="439"/>
      <c r="H8" s="439"/>
      <c r="I8" s="439"/>
      <c r="J8" s="439"/>
      <c r="K8" s="439"/>
      <c r="L8" s="439"/>
    </row>
    <row r="9" spans="1:13" ht="6" customHeight="1">
      <c r="B9" s="440"/>
    </row>
    <row r="10" spans="1:13">
      <c r="B10" s="636"/>
      <c r="C10" s="636"/>
      <c r="D10" s="636"/>
      <c r="E10" s="636"/>
      <c r="F10" s="636"/>
      <c r="G10" s="636"/>
      <c r="H10" s="636"/>
      <c r="I10" s="636"/>
      <c r="J10" s="636"/>
      <c r="K10" s="636"/>
      <c r="L10" s="636"/>
    </row>
    <row r="11" spans="1:13">
      <c r="B11" s="636"/>
      <c r="C11" s="636"/>
      <c r="D11" s="636"/>
      <c r="E11" s="636"/>
      <c r="F11" s="636"/>
      <c r="G11" s="636"/>
      <c r="H11" s="636"/>
      <c r="I11" s="636"/>
      <c r="J11" s="636"/>
      <c r="K11" s="636"/>
      <c r="L11" s="636"/>
    </row>
    <row r="13" spans="1:13" ht="42" customHeight="1">
      <c r="A13" s="441"/>
      <c r="B13" s="637" t="s">
        <v>267</v>
      </c>
      <c r="C13" s="637"/>
      <c r="D13" s="637"/>
      <c r="E13" s="637"/>
      <c r="F13" s="442"/>
      <c r="G13" s="638" t="s">
        <v>268</v>
      </c>
      <c r="H13" s="638"/>
      <c r="I13" s="638"/>
      <c r="J13" s="443" t="s">
        <v>269</v>
      </c>
      <c r="K13" s="639" t="s">
        <v>270</v>
      </c>
      <c r="L13" s="639"/>
    </row>
    <row r="14" spans="1:13" ht="33.75" customHeight="1">
      <c r="A14" s="640" t="s">
        <v>105</v>
      </c>
      <c r="B14" s="641" t="s">
        <v>271</v>
      </c>
      <c r="C14" s="641"/>
      <c r="D14" s="641"/>
      <c r="E14" s="641"/>
      <c r="F14" s="92"/>
      <c r="G14" s="642"/>
      <c r="H14" s="642"/>
      <c r="I14" s="642"/>
      <c r="J14" s="643"/>
      <c r="K14" s="644"/>
      <c r="L14" s="644"/>
    </row>
    <row r="15" spans="1:13" ht="16.149999999999999" customHeight="1">
      <c r="A15" s="640"/>
      <c r="B15" s="641"/>
      <c r="C15" s="641"/>
      <c r="D15" s="641"/>
      <c r="E15" s="641"/>
      <c r="F15" s="92"/>
      <c r="G15" s="642"/>
      <c r="H15" s="642"/>
      <c r="I15" s="642"/>
      <c r="J15" s="643"/>
      <c r="K15" s="644"/>
      <c r="L15" s="644"/>
    </row>
    <row r="16" spans="1:13" ht="25.5" customHeight="1">
      <c r="A16" s="640"/>
      <c r="B16" s="641" t="s">
        <v>272</v>
      </c>
      <c r="C16" s="641"/>
      <c r="D16" s="641"/>
      <c r="E16" s="641"/>
      <c r="F16" s="92"/>
      <c r="G16" s="645"/>
      <c r="H16" s="645"/>
      <c r="I16" s="645"/>
      <c r="J16" s="646"/>
      <c r="K16" s="647"/>
      <c r="L16" s="647"/>
    </row>
    <row r="17" spans="1:12" ht="24" customHeight="1">
      <c r="A17" s="640"/>
      <c r="B17" s="641"/>
      <c r="C17" s="641"/>
      <c r="D17" s="641"/>
      <c r="E17" s="641"/>
      <c r="F17" s="92"/>
      <c r="G17" s="645"/>
      <c r="H17" s="645"/>
      <c r="I17" s="645"/>
      <c r="J17" s="646"/>
      <c r="K17" s="647"/>
      <c r="L17" s="647"/>
    </row>
    <row r="18" spans="1:12" ht="14.45" customHeight="1">
      <c r="A18" s="640"/>
      <c r="B18" s="641" t="s">
        <v>273</v>
      </c>
      <c r="C18" s="641"/>
      <c r="D18" s="641"/>
      <c r="E18" s="641"/>
      <c r="F18" s="92"/>
      <c r="G18" s="648"/>
      <c r="H18" s="648"/>
      <c r="I18" s="648"/>
      <c r="J18" s="649"/>
      <c r="K18" s="647"/>
      <c r="L18" s="647"/>
    </row>
    <row r="19" spans="1:12" ht="39.6" customHeight="1">
      <c r="A19" s="640"/>
      <c r="B19" s="641"/>
      <c r="C19" s="641"/>
      <c r="D19" s="641"/>
      <c r="E19" s="641"/>
      <c r="F19" s="92"/>
      <c r="G19" s="648"/>
      <c r="H19" s="648"/>
      <c r="I19" s="648"/>
      <c r="J19" s="649"/>
      <c r="K19" s="649"/>
      <c r="L19" s="647"/>
    </row>
    <row r="20" spans="1:12">
      <c r="A20" s="640"/>
      <c r="B20" s="641"/>
      <c r="C20" s="641"/>
      <c r="D20" s="641"/>
      <c r="E20" s="641"/>
      <c r="F20" s="92"/>
      <c r="G20" s="650"/>
      <c r="H20" s="650"/>
      <c r="I20" s="650"/>
      <c r="J20" s="649"/>
      <c r="K20" s="647"/>
      <c r="L20" s="647"/>
    </row>
    <row r="21" spans="1:12">
      <c r="A21" s="640"/>
      <c r="B21" s="641"/>
      <c r="C21" s="641"/>
      <c r="D21" s="641"/>
      <c r="E21" s="641"/>
      <c r="F21" s="92"/>
      <c r="G21" s="650"/>
      <c r="H21" s="650"/>
      <c r="I21" s="650"/>
      <c r="J21" s="649"/>
      <c r="K21" s="649"/>
      <c r="L21" s="647"/>
    </row>
    <row r="22" spans="1:12">
      <c r="A22" s="640"/>
      <c r="B22" s="641"/>
      <c r="C22" s="641"/>
      <c r="D22" s="641"/>
      <c r="E22" s="641"/>
      <c r="F22" s="92"/>
      <c r="G22" s="650"/>
      <c r="H22" s="650"/>
      <c r="I22" s="650"/>
      <c r="J22" s="649"/>
      <c r="K22" s="647"/>
      <c r="L22" s="647"/>
    </row>
    <row r="23" spans="1:12">
      <c r="A23" s="640"/>
      <c r="B23" s="641"/>
      <c r="C23" s="641"/>
      <c r="D23" s="641"/>
      <c r="E23" s="641"/>
      <c r="F23" s="92"/>
      <c r="G23" s="650"/>
      <c r="H23" s="650"/>
      <c r="I23" s="650"/>
      <c r="J23" s="649"/>
      <c r="K23" s="649"/>
      <c r="L23" s="647"/>
    </row>
    <row r="24" spans="1:12">
      <c r="A24" s="640"/>
      <c r="B24" s="651"/>
      <c r="C24" s="651"/>
      <c r="D24" s="651"/>
      <c r="E24" s="651"/>
      <c r="F24" s="92"/>
      <c r="G24" s="652"/>
      <c r="H24" s="652"/>
      <c r="I24" s="652"/>
      <c r="J24" s="653"/>
      <c r="K24" s="654"/>
      <c r="L24" s="654"/>
    </row>
    <row r="25" spans="1:12">
      <c r="A25" s="640"/>
      <c r="B25" s="651"/>
      <c r="C25" s="651"/>
      <c r="D25" s="651"/>
      <c r="E25" s="651"/>
      <c r="F25" s="92"/>
      <c r="G25" s="652"/>
      <c r="H25" s="652"/>
      <c r="I25" s="652"/>
      <c r="J25" s="653"/>
      <c r="K25" s="653"/>
      <c r="L25" s="654"/>
    </row>
    <row r="26" spans="1:12">
      <c r="A26" s="441"/>
      <c r="B26" s="441"/>
      <c r="C26" s="441"/>
      <c r="D26" s="441"/>
      <c r="E26" s="441"/>
      <c r="F26" s="441"/>
      <c r="G26" s="441"/>
      <c r="H26" s="441"/>
      <c r="I26" s="441"/>
      <c r="J26" s="441"/>
      <c r="K26" s="441"/>
      <c r="L26" s="441"/>
    </row>
    <row r="27" spans="1:12" ht="18.75">
      <c r="A27" s="441"/>
      <c r="B27" s="441"/>
      <c r="C27" s="441"/>
      <c r="D27" s="441"/>
      <c r="E27" s="444" t="s">
        <v>274</v>
      </c>
      <c r="F27" s="445"/>
      <c r="G27" s="445"/>
      <c r="H27" s="445"/>
      <c r="I27" s="445"/>
      <c r="J27" s="441"/>
      <c r="K27" s="441"/>
      <c r="L27" s="441"/>
    </row>
    <row r="28" spans="1:12" ht="6" customHeight="1">
      <c r="A28" s="441"/>
      <c r="B28" s="441"/>
      <c r="C28" s="441"/>
      <c r="D28" s="441"/>
      <c r="E28" s="446"/>
      <c r="F28" s="446"/>
      <c r="G28" s="446"/>
      <c r="H28" s="446"/>
      <c r="I28" s="446"/>
      <c r="J28" s="441"/>
      <c r="K28" s="441"/>
      <c r="L28" s="441"/>
    </row>
    <row r="29" spans="1:12" s="386" customFormat="1" ht="21" customHeight="1">
      <c r="A29" s="447"/>
      <c r="B29" s="438" t="s">
        <v>275</v>
      </c>
      <c r="C29" s="448"/>
      <c r="D29" s="448"/>
      <c r="E29" s="448"/>
      <c r="F29" s="448"/>
      <c r="G29" s="448"/>
      <c r="H29" s="448"/>
      <c r="I29" s="448"/>
      <c r="J29" s="448"/>
      <c r="K29" s="448"/>
      <c r="L29" s="448"/>
    </row>
    <row r="30" spans="1:12" ht="6" customHeight="1">
      <c r="A30" s="441"/>
      <c r="B30" s="449"/>
      <c r="C30" s="441"/>
      <c r="D30" s="441"/>
      <c r="E30" s="441"/>
      <c r="F30" s="441"/>
      <c r="G30" s="441"/>
      <c r="H30" s="441"/>
      <c r="I30" s="441"/>
      <c r="J30" s="441"/>
      <c r="K30" s="441"/>
      <c r="L30" s="441"/>
    </row>
    <row r="31" spans="1:12" ht="45" customHeight="1">
      <c r="A31" s="441"/>
      <c r="B31" s="637" t="s">
        <v>268</v>
      </c>
      <c r="C31" s="637"/>
      <c r="D31" s="637"/>
      <c r="E31" s="637"/>
      <c r="F31" s="442"/>
      <c r="G31" s="638" t="s">
        <v>276</v>
      </c>
      <c r="H31" s="638"/>
      <c r="I31" s="638"/>
      <c r="J31" s="443" t="s">
        <v>269</v>
      </c>
      <c r="K31" s="639" t="s">
        <v>270</v>
      </c>
      <c r="L31" s="639"/>
    </row>
    <row r="32" spans="1:12" ht="18.75" customHeight="1">
      <c r="A32" s="640" t="s">
        <v>277</v>
      </c>
      <c r="B32" s="655"/>
      <c r="C32" s="655"/>
      <c r="D32" s="655"/>
      <c r="E32" s="655"/>
      <c r="F32" s="92"/>
      <c r="G32" s="656"/>
      <c r="H32" s="656"/>
      <c r="I32" s="656"/>
      <c r="J32" s="657"/>
      <c r="K32" s="658"/>
      <c r="L32" s="658"/>
    </row>
    <row r="33" spans="1:12" ht="18.75" customHeight="1">
      <c r="A33" s="640"/>
      <c r="B33" s="655"/>
      <c r="C33" s="655"/>
      <c r="D33" s="655"/>
      <c r="E33" s="655"/>
      <c r="F33" s="92"/>
      <c r="G33" s="656"/>
      <c r="H33" s="656"/>
      <c r="I33" s="656"/>
      <c r="J33" s="657"/>
      <c r="K33" s="657"/>
      <c r="L33" s="658"/>
    </row>
    <row r="34" spans="1:12" ht="18.75" customHeight="1">
      <c r="A34" s="640"/>
      <c r="B34" s="659" t="str">
        <f>IF(Recomendaciones!I43="","",Recomendaciones!I43)</f>
        <v/>
      </c>
      <c r="C34" s="659"/>
      <c r="D34" s="659"/>
      <c r="E34" s="659"/>
      <c r="F34" s="92"/>
      <c r="G34" s="660"/>
      <c r="H34" s="660"/>
      <c r="I34" s="660"/>
      <c r="J34" s="661"/>
      <c r="K34" s="662"/>
      <c r="L34" s="662"/>
    </row>
    <row r="35" spans="1:12" ht="18.75" customHeight="1">
      <c r="A35" s="640"/>
      <c r="B35" s="659"/>
      <c r="C35" s="659"/>
      <c r="D35" s="659"/>
      <c r="E35" s="659"/>
      <c r="F35" s="92"/>
      <c r="G35" s="660"/>
      <c r="H35" s="660"/>
      <c r="I35" s="660"/>
      <c r="J35" s="661"/>
      <c r="K35" s="661"/>
      <c r="L35" s="662"/>
    </row>
    <row r="36" spans="1:12" ht="18.75" customHeight="1">
      <c r="A36" s="640"/>
      <c r="B36" s="659" t="str">
        <f>+IF(Recomendaciones!I53="","",Recomendaciones!I53)</f>
        <v/>
      </c>
      <c r="C36" s="659"/>
      <c r="D36" s="659"/>
      <c r="E36" s="659"/>
      <c r="F36" s="92"/>
      <c r="G36" s="660"/>
      <c r="H36" s="660"/>
      <c r="I36" s="660"/>
      <c r="J36" s="661"/>
      <c r="K36" s="662"/>
      <c r="L36" s="662"/>
    </row>
    <row r="37" spans="1:12" ht="18.75" customHeight="1">
      <c r="A37" s="640"/>
      <c r="B37" s="659"/>
      <c r="C37" s="659"/>
      <c r="D37" s="659"/>
      <c r="E37" s="659"/>
      <c r="F37" s="92"/>
      <c r="G37" s="660"/>
      <c r="H37" s="660"/>
      <c r="I37" s="660"/>
      <c r="J37" s="661"/>
      <c r="K37" s="661"/>
      <c r="L37" s="662"/>
    </row>
    <row r="38" spans="1:12" ht="18.75" customHeight="1">
      <c r="A38" s="640"/>
      <c r="B38" s="659"/>
      <c r="C38" s="659"/>
      <c r="D38" s="659"/>
      <c r="E38" s="659"/>
      <c r="F38" s="92"/>
      <c r="G38" s="660"/>
      <c r="H38" s="660"/>
      <c r="I38" s="660"/>
      <c r="J38" s="661"/>
      <c r="K38" s="662"/>
      <c r="L38" s="662"/>
    </row>
    <row r="39" spans="1:12" ht="18.75" customHeight="1">
      <c r="A39" s="640"/>
      <c r="B39" s="659"/>
      <c r="C39" s="659"/>
      <c r="D39" s="659"/>
      <c r="E39" s="659"/>
      <c r="F39" s="92"/>
      <c r="G39" s="660"/>
      <c r="H39" s="660"/>
      <c r="I39" s="660"/>
      <c r="J39" s="661"/>
      <c r="K39" s="661"/>
      <c r="L39" s="662"/>
    </row>
    <row r="40" spans="1:12" ht="18.75" customHeight="1">
      <c r="A40" s="640"/>
      <c r="B40" s="659"/>
      <c r="C40" s="659"/>
      <c r="D40" s="659"/>
      <c r="E40" s="659"/>
      <c r="F40" s="92"/>
      <c r="G40" s="660"/>
      <c r="H40" s="660"/>
      <c r="I40" s="660"/>
      <c r="J40" s="661"/>
      <c r="K40" s="662"/>
      <c r="L40" s="662"/>
    </row>
    <row r="41" spans="1:12" ht="18.75" customHeight="1">
      <c r="A41" s="640"/>
      <c r="B41" s="659"/>
      <c r="C41" s="659"/>
      <c r="D41" s="659"/>
      <c r="E41" s="659"/>
      <c r="F41" s="92"/>
      <c r="G41" s="660"/>
      <c r="H41" s="660"/>
      <c r="I41" s="660"/>
      <c r="J41" s="661"/>
      <c r="K41" s="661"/>
      <c r="L41" s="662"/>
    </row>
    <row r="42" spans="1:12" ht="18.75" customHeight="1">
      <c r="A42" s="640"/>
      <c r="B42" s="663"/>
      <c r="C42" s="663"/>
      <c r="D42" s="663"/>
      <c r="E42" s="663"/>
      <c r="F42" s="92"/>
      <c r="G42" s="664"/>
      <c r="H42" s="664"/>
      <c r="I42" s="664"/>
      <c r="J42" s="665"/>
      <c r="K42" s="666"/>
      <c r="L42" s="666"/>
    </row>
    <row r="43" spans="1:12" ht="18.75" customHeight="1">
      <c r="A43" s="640"/>
      <c r="B43" s="663"/>
      <c r="C43" s="663"/>
      <c r="D43" s="663"/>
      <c r="E43" s="663"/>
      <c r="F43" s="92"/>
      <c r="G43" s="664"/>
      <c r="H43" s="664"/>
      <c r="I43" s="664"/>
      <c r="J43" s="665"/>
      <c r="K43" s="665"/>
      <c r="L43" s="666"/>
    </row>
  </sheetData>
  <sheetProtection selectLockedCells="1" selectUnlockedCells="1"/>
  <mergeCells count="66">
    <mergeCell ref="K42:L43"/>
    <mergeCell ref="B38:E39"/>
    <mergeCell ref="G38:I39"/>
    <mergeCell ref="J38:J39"/>
    <mergeCell ref="K38:L39"/>
    <mergeCell ref="B40:E41"/>
    <mergeCell ref="G40:I41"/>
    <mergeCell ref="J40:J41"/>
    <mergeCell ref="K40:L41"/>
    <mergeCell ref="A32:A43"/>
    <mergeCell ref="B32:E33"/>
    <mergeCell ref="G32:I33"/>
    <mergeCell ref="J32:J33"/>
    <mergeCell ref="K32:L33"/>
    <mergeCell ref="B34:E35"/>
    <mergeCell ref="G34:I35"/>
    <mergeCell ref="J34:J35"/>
    <mergeCell ref="K34:L35"/>
    <mergeCell ref="B36:E37"/>
    <mergeCell ref="G36:I37"/>
    <mergeCell ref="J36:J37"/>
    <mergeCell ref="K36:L37"/>
    <mergeCell ref="B42:E43"/>
    <mergeCell ref="G42:I43"/>
    <mergeCell ref="J42:J43"/>
    <mergeCell ref="B24:E25"/>
    <mergeCell ref="G24:I25"/>
    <mergeCell ref="J24:J25"/>
    <mergeCell ref="K24:L25"/>
    <mergeCell ref="B31:E31"/>
    <mergeCell ref="G31:I31"/>
    <mergeCell ref="K31:L31"/>
    <mergeCell ref="K20:L21"/>
    <mergeCell ref="B22:E23"/>
    <mergeCell ref="G22:I23"/>
    <mergeCell ref="J22:J23"/>
    <mergeCell ref="K22:L23"/>
    <mergeCell ref="A14:A25"/>
    <mergeCell ref="B14:E15"/>
    <mergeCell ref="G14:I15"/>
    <mergeCell ref="J14:J15"/>
    <mergeCell ref="K14:L15"/>
    <mergeCell ref="B16:E17"/>
    <mergeCell ref="G16:I17"/>
    <mergeCell ref="J16:J17"/>
    <mergeCell ref="K16:L17"/>
    <mergeCell ref="B18:E19"/>
    <mergeCell ref="G18:I19"/>
    <mergeCell ref="J18:J19"/>
    <mergeCell ref="K18:L19"/>
    <mergeCell ref="B20:E21"/>
    <mergeCell ref="G20:I21"/>
    <mergeCell ref="J20:J21"/>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33333333333337" right="0.70833333333333337" top="0.74791666666666667" bottom="0.74861111111111112" header="0.51180555555555551" footer="0.31527777777777777"/>
  <pageSetup paperSize="9" scale="70" firstPageNumber="0" orientation="landscape" horizontalDpi="300" verticalDpi="30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Template/>
  <TotalTime>16843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25</vt:i4>
      </vt:variant>
    </vt:vector>
  </HeadingPairs>
  <TitlesOfParts>
    <vt:vector size="35" baseType="lpstr">
      <vt:lpstr>Menú</vt:lpstr>
      <vt:lpstr>Lista de indicadores</vt:lpstr>
      <vt:lpstr>Introducción de datos</vt:lpstr>
      <vt:lpstr>Información de la subvención</vt:lpstr>
      <vt:lpstr>Financiamiento</vt:lpstr>
      <vt:lpstr>Gestión</vt:lpstr>
      <vt:lpstr>Programatico</vt:lpstr>
      <vt:lpstr>Recomendaciones</vt:lpstr>
      <vt:lpstr>Acciones</vt:lpstr>
      <vt:lpstr>Setup</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Administrador</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Lic. Maria Isabel Mendoza</cp:lastModifiedBy>
  <cp:revision>55</cp:revision>
  <cp:lastPrinted>2016-02-23T13:43:37Z</cp:lastPrinted>
  <dcterms:created xsi:type="dcterms:W3CDTF">2017-04-18T21:46:44Z</dcterms:created>
  <dcterms:modified xsi:type="dcterms:W3CDTF">2018-06-14T21:45:09Z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