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C:\Users\CAGOMEZ\Desktop\Tablero de mando Enero.Junio 2017...Junio2018\"/>
    </mc:Choice>
  </mc:AlternateContent>
  <bookViews>
    <workbookView xWindow="0" yWindow="0" windowWidth="20496" windowHeight="7020" tabRatio="820" activeTab="5"/>
  </bookViews>
  <sheets>
    <sheet name="Menú" sheetId="1" r:id="rId1"/>
    <sheet name="Lista de indicadores" sheetId="2" r:id="rId2"/>
    <sheet name="Información de la subvención" sheetId="4" r:id="rId3"/>
    <sheet name="Introducción de datos" sheetId="3"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1"/>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Gestión!$A$1:$L$35</definedName>
    <definedName name="_xlnm.Print_Area" localSheetId="2">'Información de la subvención'!$A$1:$K$15</definedName>
    <definedName name="_xlnm.Print_Area" localSheetId="3">'Introducción de datos'!$A$1:$Q$174</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datos'!$B$25:$J$68</definedName>
    <definedName name="PrintDataM">'Introducción de datos'!$B$70:$H$122</definedName>
    <definedName name="PrintF">Financiamiento!$A$2:$K$32</definedName>
    <definedName name="PrintGD">'Información de la subvención'!$A$2:$J$13</definedName>
    <definedName name="PrintM" localSheetId="8">Acciones!$A$2:$L$6</definedName>
    <definedName name="PrintM">Gestión!$A$2:$L$37</definedName>
    <definedName name="PrintP">Programatico!$A$2:$P$26</definedName>
    <definedName name="PrintR">Recomendaciones!$A$2:$N$41</definedName>
    <definedName name="Rating">Setup!$G$9:$G$14</definedName>
    <definedName name="Round">Setup!$D$9:$D$21</definedName>
  </definedNames>
  <calcPr calcId="162913"/>
  <fileRecoveryPr autoRecover="0"/>
</workbook>
</file>

<file path=xl/calcChain.xml><?xml version="1.0" encoding="utf-8"?>
<calcChain xmlns="http://schemas.openxmlformats.org/spreadsheetml/2006/main">
  <c r="G116" i="3" l="1"/>
  <c r="G112" i="3"/>
  <c r="G113" i="3"/>
  <c r="G114" i="3"/>
  <c r="G115" i="3"/>
  <c r="G117" i="3"/>
  <c r="G118" i="3"/>
  <c r="D57" i="3" l="1"/>
  <c r="N2" i="5"/>
  <c r="D12" i="8" l="1"/>
  <c r="I37" i="6"/>
  <c r="E53" i="3"/>
  <c r="G121" i="3"/>
  <c r="G120" i="3"/>
  <c r="G119" i="3"/>
  <c r="I117" i="3" s="1"/>
  <c r="J35" i="6" s="1"/>
  <c r="I120" i="3"/>
  <c r="K120" i="3" s="1"/>
  <c r="L38" i="6" s="1"/>
  <c r="I115" i="3"/>
  <c r="K115" i="3" s="1"/>
  <c r="L33" i="6" s="1"/>
  <c r="E25" i="7"/>
  <c r="F24" i="7"/>
  <c r="E24" i="7"/>
  <c r="F22" i="7"/>
  <c r="E22" i="7"/>
  <c r="G22" i="7" s="1"/>
  <c r="F21" i="7"/>
  <c r="F20" i="7"/>
  <c r="F25" i="7"/>
  <c r="G25" i="7"/>
  <c r="F23" i="7"/>
  <c r="E21" i="7"/>
  <c r="H167" i="3"/>
  <c r="E23" i="7"/>
  <c r="G23" i="7" s="1"/>
  <c r="H169" i="3"/>
  <c r="H171" i="3"/>
  <c r="E54" i="3"/>
  <c r="E52" i="3"/>
  <c r="E56" i="3"/>
  <c r="B11" i="4"/>
  <c r="G13" i="4"/>
  <c r="I40" i="6"/>
  <c r="I116" i="3"/>
  <c r="I114" i="3"/>
  <c r="I113" i="3"/>
  <c r="I39" i="6"/>
  <c r="B2" i="9"/>
  <c r="B3" i="9"/>
  <c r="C3" i="9"/>
  <c r="J3" i="9"/>
  <c r="L3" i="9"/>
  <c r="B4" i="9"/>
  <c r="C4" i="9"/>
  <c r="E4" i="9"/>
  <c r="J4" i="9"/>
  <c r="D5" i="9"/>
  <c r="K5" i="9"/>
  <c r="B34" i="9"/>
  <c r="B36" i="9"/>
  <c r="B2" i="8"/>
  <c r="B3" i="8"/>
  <c r="C3" i="8"/>
  <c r="L3" i="8"/>
  <c r="M3" i="8"/>
  <c r="B4" i="8"/>
  <c r="C4" i="8"/>
  <c r="E4" i="8"/>
  <c r="L4" i="8"/>
  <c r="M4" i="8"/>
  <c r="E5" i="8"/>
  <c r="L5" i="8"/>
  <c r="M5" i="8"/>
  <c r="D11" i="8"/>
  <c r="D13" i="8"/>
  <c r="D14" i="8"/>
  <c r="D19" i="8"/>
  <c r="D20" i="8"/>
  <c r="D21" i="8"/>
  <c r="D22" i="8"/>
  <c r="D23" i="8"/>
  <c r="D24" i="8"/>
  <c r="D29" i="8"/>
  <c r="D30" i="8"/>
  <c r="D31" i="8"/>
  <c r="D32" i="8"/>
  <c r="D33" i="8"/>
  <c r="D34" i="8"/>
  <c r="D35" i="8"/>
  <c r="D36" i="8"/>
  <c r="D37" i="8"/>
  <c r="D38" i="8"/>
  <c r="D39" i="8"/>
  <c r="D40" i="8"/>
  <c r="D41" i="8"/>
  <c r="B2" i="7"/>
  <c r="B3" i="7"/>
  <c r="C3" i="7"/>
  <c r="O3" i="7"/>
  <c r="Q3" i="7"/>
  <c r="B4" i="7"/>
  <c r="C4" i="7"/>
  <c r="E4" i="7"/>
  <c r="P4" i="7"/>
  <c r="Q4" i="7"/>
  <c r="D5" i="7"/>
  <c r="P5" i="7"/>
  <c r="Q5" i="7"/>
  <c r="B8" i="7"/>
  <c r="F8" i="7"/>
  <c r="L8" i="7"/>
  <c r="B20" i="7"/>
  <c r="B21" i="7"/>
  <c r="T21" i="7"/>
  <c r="U21" i="7"/>
  <c r="V21" i="7"/>
  <c r="W21" i="7"/>
  <c r="X21" i="7"/>
  <c r="AB21" i="7"/>
  <c r="AC21" i="7"/>
  <c r="AD21" i="7"/>
  <c r="AE21" i="7"/>
  <c r="AF21" i="7"/>
  <c r="B22" i="7"/>
  <c r="T22" i="7"/>
  <c r="U22" i="7"/>
  <c r="V22" i="7"/>
  <c r="W22" i="7"/>
  <c r="X22" i="7"/>
  <c r="Z22" i="7"/>
  <c r="AA22" i="7"/>
  <c r="B23" i="7"/>
  <c r="T23" i="7"/>
  <c r="U23" i="7"/>
  <c r="V23" i="7"/>
  <c r="W23" i="7"/>
  <c r="X23" i="7"/>
  <c r="Z23" i="7"/>
  <c r="AA23" i="7"/>
  <c r="B24" i="7"/>
  <c r="T24" i="7"/>
  <c r="U24" i="7"/>
  <c r="V24" i="7"/>
  <c r="W24" i="7"/>
  <c r="X24" i="7"/>
  <c r="Z24" i="7"/>
  <c r="AA24" i="7"/>
  <c r="B25" i="7"/>
  <c r="T25" i="7"/>
  <c r="U25" i="7"/>
  <c r="V25" i="7"/>
  <c r="W25" i="7"/>
  <c r="X25" i="7"/>
  <c r="B26" i="7"/>
  <c r="T26" i="7"/>
  <c r="U26" i="7"/>
  <c r="V26" i="7"/>
  <c r="W26" i="7"/>
  <c r="X26" i="7"/>
  <c r="B2" i="6"/>
  <c r="B3" i="6"/>
  <c r="C3" i="6"/>
  <c r="J3" i="6"/>
  <c r="L3" i="6"/>
  <c r="B15" i="6" s="1"/>
  <c r="H7" i="6"/>
  <c r="B4" i="6"/>
  <c r="C4" i="6"/>
  <c r="E4" i="6"/>
  <c r="J4" i="6"/>
  <c r="L4" i="6"/>
  <c r="D5" i="6"/>
  <c r="K5" i="6"/>
  <c r="L5" i="6"/>
  <c r="B26" i="6"/>
  <c r="H30" i="6"/>
  <c r="I30" i="6"/>
  <c r="K30" i="6"/>
  <c r="I31" i="6"/>
  <c r="I32" i="6"/>
  <c r="I33" i="6"/>
  <c r="K33" i="6"/>
  <c r="I34" i="6"/>
  <c r="K34" i="6"/>
  <c r="I35" i="6"/>
  <c r="K35" i="6"/>
  <c r="I36" i="6"/>
  <c r="I38" i="6"/>
  <c r="K38" i="6"/>
  <c r="B2" i="5"/>
  <c r="B3" i="5"/>
  <c r="C3" i="5"/>
  <c r="I3" i="5"/>
  <c r="H23" i="5"/>
  <c r="K3" i="5"/>
  <c r="B4" i="5"/>
  <c r="C4" i="5"/>
  <c r="E4" i="5"/>
  <c r="I4" i="5"/>
  <c r="K4" i="5"/>
  <c r="D5" i="5"/>
  <c r="J5" i="5"/>
  <c r="K5" i="5"/>
  <c r="H28" i="5"/>
  <c r="J28" i="5"/>
  <c r="K28" i="5"/>
  <c r="H29" i="5"/>
  <c r="J29" i="5"/>
  <c r="K29" i="5"/>
  <c r="H30" i="5"/>
  <c r="J30" i="5"/>
  <c r="K30" i="5"/>
  <c r="B31" i="3"/>
  <c r="B32" i="3"/>
  <c r="C33" i="3"/>
  <c r="P29" i="3"/>
  <c r="I33" i="3"/>
  <c r="P35" i="3" s="1"/>
  <c r="J33" i="3"/>
  <c r="P49" i="3" s="1"/>
  <c r="K33" i="3"/>
  <c r="P50" i="3" s="1"/>
  <c r="L33" i="3"/>
  <c r="L35" i="3"/>
  <c r="M33" i="3"/>
  <c r="M35" i="3"/>
  <c r="N33" i="3"/>
  <c r="N35" i="3"/>
  <c r="C34" i="3"/>
  <c r="D34" i="3"/>
  <c r="E34" i="3"/>
  <c r="F34" i="3"/>
  <c r="G34" i="3"/>
  <c r="H34" i="3"/>
  <c r="I34" i="3"/>
  <c r="J34" i="3"/>
  <c r="K34" i="3"/>
  <c r="L34" i="3"/>
  <c r="M34" i="3"/>
  <c r="N34" i="3"/>
  <c r="C38" i="3"/>
  <c r="D38" i="3"/>
  <c r="E51" i="3"/>
  <c r="E57" i="3"/>
  <c r="G75" i="3"/>
  <c r="G76" i="3"/>
  <c r="F20" i="8"/>
  <c r="E82" i="3"/>
  <c r="E92" i="3"/>
  <c r="E93" i="3"/>
  <c r="C102" i="3"/>
  <c r="D102" i="3"/>
  <c r="E102" i="3"/>
  <c r="F102" i="3"/>
  <c r="G102" i="3"/>
  <c r="H102" i="3"/>
  <c r="I102" i="3"/>
  <c r="J102" i="3"/>
  <c r="K102" i="3"/>
  <c r="L102" i="3"/>
  <c r="M102" i="3"/>
  <c r="N102" i="3"/>
  <c r="C103" i="3"/>
  <c r="D103" i="3" s="1"/>
  <c r="E103" i="3" s="1"/>
  <c r="F103" i="3" s="1"/>
  <c r="G103" i="3" s="1"/>
  <c r="H103" i="3" s="1"/>
  <c r="I103" i="3" s="1"/>
  <c r="J103" i="3" s="1"/>
  <c r="K103" i="3" s="1"/>
  <c r="L103" i="3" s="1"/>
  <c r="M103" i="3" s="1"/>
  <c r="N103" i="3" s="1"/>
  <c r="C104" i="3"/>
  <c r="D104" i="3"/>
  <c r="E104" i="3" s="1"/>
  <c r="F104" i="3" s="1"/>
  <c r="G104" i="3" s="1"/>
  <c r="H104" i="3" s="1"/>
  <c r="I104" i="3" s="1"/>
  <c r="J104" i="3" s="1"/>
  <c r="K104" i="3" s="1"/>
  <c r="L104" i="3" s="1"/>
  <c r="M104" i="3" s="1"/>
  <c r="N104" i="3" s="1"/>
  <c r="H166" i="3"/>
  <c r="I166" i="3"/>
  <c r="J166" i="3"/>
  <c r="K166" i="3"/>
  <c r="L166" i="3"/>
  <c r="M166" i="3"/>
  <c r="N166" i="3"/>
  <c r="O166" i="3"/>
  <c r="P166" i="3"/>
  <c r="Q166" i="3"/>
  <c r="B167" i="3"/>
  <c r="E167" i="3"/>
  <c r="F167" i="3"/>
  <c r="I167" i="3"/>
  <c r="J167" i="3"/>
  <c r="K167" i="3"/>
  <c r="L167" i="3"/>
  <c r="M167" i="3"/>
  <c r="N167" i="3"/>
  <c r="O167" i="3"/>
  <c r="P167" i="3"/>
  <c r="Q167" i="3"/>
  <c r="H168" i="3"/>
  <c r="I168" i="3"/>
  <c r="J168" i="3"/>
  <c r="K168" i="3"/>
  <c r="L168" i="3"/>
  <c r="M168" i="3"/>
  <c r="N168" i="3"/>
  <c r="O168" i="3"/>
  <c r="P168" i="3"/>
  <c r="Q168" i="3"/>
  <c r="B169" i="3"/>
  <c r="E169" i="3"/>
  <c r="F169" i="3"/>
  <c r="I169" i="3"/>
  <c r="J169" i="3"/>
  <c r="K169" i="3"/>
  <c r="L169" i="3"/>
  <c r="M169" i="3"/>
  <c r="N169" i="3"/>
  <c r="O169" i="3"/>
  <c r="P169" i="3"/>
  <c r="Q169" i="3"/>
  <c r="H170" i="3"/>
  <c r="I170" i="3"/>
  <c r="J170" i="3"/>
  <c r="K170" i="3"/>
  <c r="L170" i="3"/>
  <c r="M170" i="3"/>
  <c r="N170" i="3"/>
  <c r="O170" i="3"/>
  <c r="P170" i="3"/>
  <c r="Q170" i="3"/>
  <c r="B171" i="3"/>
  <c r="E171" i="3"/>
  <c r="F171" i="3"/>
  <c r="I171" i="3"/>
  <c r="J171" i="3"/>
  <c r="K171" i="3"/>
  <c r="L171" i="3"/>
  <c r="M171" i="3"/>
  <c r="N171" i="3"/>
  <c r="O171" i="3"/>
  <c r="P171" i="3"/>
  <c r="Q171" i="3"/>
  <c r="H172" i="3"/>
  <c r="I172" i="3"/>
  <c r="J172" i="3"/>
  <c r="K172" i="3"/>
  <c r="L172" i="3"/>
  <c r="M172" i="3"/>
  <c r="N172" i="3"/>
  <c r="O172" i="3"/>
  <c r="P172" i="3"/>
  <c r="Q172" i="3"/>
  <c r="B3" i="4"/>
  <c r="B3" i="10"/>
  <c r="B6" i="4"/>
  <c r="F6" i="4"/>
  <c r="B9" i="4"/>
  <c r="D9" i="4"/>
  <c r="G9" i="4"/>
  <c r="I9" i="4"/>
  <c r="B10" i="4"/>
  <c r="D10" i="4"/>
  <c r="G10" i="4"/>
  <c r="D11" i="4"/>
  <c r="G11" i="4"/>
  <c r="I11" i="4"/>
  <c r="B12" i="4"/>
  <c r="G12" i="4"/>
  <c r="B13" i="4"/>
  <c r="B2" i="2"/>
  <c r="B8" i="2"/>
  <c r="B9" i="2"/>
  <c r="B10" i="2"/>
  <c r="B11" i="2"/>
  <c r="B19" i="2"/>
  <c r="B20" i="2"/>
  <c r="B21" i="2"/>
  <c r="B22" i="2"/>
  <c r="B23" i="2"/>
  <c r="B25" i="2"/>
  <c r="B2" i="1"/>
  <c r="B4" i="1"/>
  <c r="H4" i="1"/>
  <c r="D47" i="3"/>
  <c r="I112" i="3"/>
  <c r="J30" i="6" s="1"/>
  <c r="K35" i="3"/>
  <c r="H15" i="6"/>
  <c r="I35" i="3"/>
  <c r="J35" i="3"/>
  <c r="B8" i="5"/>
  <c r="D33" i="3"/>
  <c r="P30" i="3"/>
  <c r="E55" i="3"/>
  <c r="B23" i="5"/>
  <c r="H8" i="5"/>
  <c r="O51" i="3"/>
  <c r="C47" i="3"/>
  <c r="F47" i="3" s="1"/>
  <c r="E20" i="7"/>
  <c r="D35" i="3"/>
  <c r="E33" i="3"/>
  <c r="F33" i="3" s="1"/>
  <c r="E35" i="3"/>
  <c r="G33" i="3"/>
  <c r="P33" i="3"/>
  <c r="H33" i="3"/>
  <c r="P34" i="3"/>
  <c r="G35" i="3"/>
  <c r="H35" i="3"/>
  <c r="AD24" i="7"/>
  <c r="AF24" i="7"/>
  <c r="AE24" i="7"/>
  <c r="AB24" i="7"/>
  <c r="AC24" i="7"/>
  <c r="AB23" i="7"/>
  <c r="AC23" i="7"/>
  <c r="AF23" i="7"/>
  <c r="AE23" i="7"/>
  <c r="AD23" i="7"/>
  <c r="AE22" i="7"/>
  <c r="AD22" i="7"/>
  <c r="AF22" i="7"/>
  <c r="AB22" i="7"/>
  <c r="AC22" i="7"/>
  <c r="C35" i="3"/>
  <c r="E20" i="8"/>
  <c r="B7" i="6"/>
  <c r="G20" i="7" l="1"/>
  <c r="G24" i="7"/>
  <c r="J34" i="6"/>
  <c r="K116" i="3"/>
  <c r="L34" i="6" s="1"/>
  <c r="K117" i="3"/>
  <c r="L35" i="6" s="1"/>
  <c r="J38" i="6"/>
  <c r="J33" i="6"/>
  <c r="K112" i="3"/>
  <c r="L30" i="6" s="1"/>
  <c r="G21" i="7"/>
  <c r="F35" i="3"/>
  <c r="P32" i="3"/>
  <c r="P31" i="3"/>
  <c r="H26" i="6"/>
</calcChain>
</file>

<file path=xl/comments1.xml><?xml version="1.0" encoding="utf-8"?>
<comments xmlns="http://schemas.openxmlformats.org/spreadsheetml/2006/main">
  <authors>
    <author/>
    <author>Francisco José Lemus</author>
  </authors>
  <commentList>
    <comment ref="B75" authorId="0" shapeId="0">
      <text>
        <r>
          <rPr>
            <b/>
            <sz val="8"/>
            <color indexed="32"/>
            <rFont val="Tahoma"/>
            <family val="2"/>
          </rPr>
          <t xml:space="preserve">Si los datos no están disponibles, no introduzca ceros; deje las celdas de la tabla en blanco. </t>
        </r>
      </text>
    </comment>
    <comment ref="B76" authorId="0" shapeId="0">
      <text>
        <r>
          <rPr>
            <b/>
            <sz val="8"/>
            <color indexed="32"/>
            <rFont val="Tahoma"/>
            <family val="2"/>
          </rPr>
          <t>Si los datos no están disponibles, no introduzca ceros; deje las celdas de esta tabla en blanco.</t>
        </r>
      </text>
    </comment>
    <comment ref="E100" authorId="1" shapeId="0">
      <text>
        <r>
          <rPr>
            <b/>
            <sz val="9"/>
            <color indexed="81"/>
            <rFont val="Tahoma"/>
            <family val="2"/>
          </rPr>
          <t>Francisco José Lemus:</t>
        </r>
        <r>
          <rPr>
            <sz val="9"/>
            <color indexed="81"/>
            <rFont val="Tahoma"/>
            <family val="2"/>
          </rPr>
          <t xml:space="preserve">
compromiso que se pagara en este período + compromisos de PNUD
</t>
        </r>
      </text>
    </comment>
    <comment ref="E101" authorId="1" shapeId="0">
      <text>
        <r>
          <rPr>
            <b/>
            <sz val="9"/>
            <color indexed="81"/>
            <rFont val="Tahoma"/>
            <family val="2"/>
          </rPr>
          <t>Francisco José Lemus:</t>
        </r>
        <r>
          <rPr>
            <sz val="9"/>
            <color indexed="81"/>
            <rFont val="Tahoma"/>
            <family val="2"/>
          </rPr>
          <t xml:space="preserve">
gastos de RP y gastos de PNUD</t>
        </r>
      </text>
    </comment>
    <comment ref="E104" authorId="1" shapeId="0">
      <text>
        <r>
          <rPr>
            <b/>
            <sz val="9"/>
            <color indexed="81"/>
            <rFont val="Tahoma"/>
            <family val="2"/>
          </rPr>
          <t>Francisco José Lemus:</t>
        </r>
        <r>
          <rPr>
            <sz val="9"/>
            <color indexed="81"/>
            <rFont val="Tahoma"/>
            <family val="2"/>
          </rPr>
          <t xml:space="preserve">
</t>
        </r>
      </text>
    </comment>
  </commentList>
</comments>
</file>

<file path=xl/sharedStrings.xml><?xml version="1.0" encoding="utf-8"?>
<sst xmlns="http://schemas.openxmlformats.org/spreadsheetml/2006/main" count="553" uniqueCount="387">
  <si>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</si>
  <si>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</si>
  <si>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</si>
  <si>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</si>
  <si>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</si>
  <si>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</si>
  <si>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</si>
  <si>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</si>
  <si>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</si>
  <si>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</si>
  <si>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</si>
  <si>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</si>
  <si>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</si>
  <si>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</si>
  <si>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</si>
  <si>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</si>
  <si>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</si>
  <si>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</si>
  <si>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</si>
  <si>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</si>
  <si>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</si>
  <si>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</si>
  <si>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</si>
  <si>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</si>
  <si>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</si>
  <si>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</si>
  <si>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</si>
  <si>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</si>
  <si>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</si>
  <si>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</si>
  <si>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</si>
  <si>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</si>
  <si>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</si>
  <si>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</si>
  <si>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</si>
  <si>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</si>
  <si>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</si>
  <si>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</si>
  <si>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</si>
  <si>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</si>
  <si>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</si>
  <si>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</si>
  <si>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</si>
  <si>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</si>
  <si>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</si>
  <si>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</si>
  <si>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</si>
  <si>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</si>
  <si>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</si>
  <si>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</si>
  <si>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</si>
  <si>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</si>
  <si>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</si>
  <si>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</si>
  <si>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</si>
  <si>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</si>
  <si>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</si>
  <si>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</si>
  <si>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</si>
  <si>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</si>
  <si>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</si>
  <si>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</si>
  <si>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</si>
  <si>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</si>
  <si>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</si>
  <si>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</si>
  <si>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</si>
  <si>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</si>
  <si>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</si>
  <si>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</si>
  <si>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</si>
  <si>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</si>
  <si>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</si>
  <si>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</si>
  <si>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</si>
  <si>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</si>
  <si>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</si>
  <si>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</si>
  <si>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</si>
  <si>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</si>
  <si>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</si>
  <si>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</si>
  <si>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</si>
  <si>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</si>
  <si>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</si>
  <si>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</si>
  <si>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</si>
  <si>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</si>
  <si>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</si>
  <si>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</si>
  <si>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</si>
  <si>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</si>
  <si>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</si>
  <si>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</si>
  <si>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</si>
  <si>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</si>
  <si>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</si>
  <si>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</si>
  <si>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</si>
  <si>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</si>
  <si>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</si>
  <si>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</si>
  <si>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</si>
  <si>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</si>
  <si>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</si>
  <si>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</si>
  <si>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</si>
  <si>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</si>
  <si>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</si>
  <si>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</si>
  <si>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</si>
  <si>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</si>
  <si>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</si>
  <si>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</si>
  <si>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</si>
  <si>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</si>
  <si>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</si>
  <si>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</si>
  <si>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</si>
  <si>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</si>
  <si>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</si>
  <si>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</si>
  <si>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</si>
  <si>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</si>
  <si>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</si>
  <si>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</si>
  <si>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</si>
  <si>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</si>
  <si>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</si>
  <si>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</si>
  <si>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</si>
  <si>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</si>
  <si>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</si>
  <si>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</si>
  <si>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</si>
  <si>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</si>
  <si>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</si>
  <si>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</si>
  <si>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</si>
  <si>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</si>
  <si>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</si>
  <si>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</si>
  <si>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</si>
  <si>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</si>
  <si>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</si>
  <si>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</si>
  <si>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</si>
  <si>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</si>
  <si>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</si>
  <si>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</si>
  <si>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</si>
  <si>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</si>
  <si>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</si>
  <si>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</si>
  <si>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</si>
  <si>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</si>
  <si>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</si>
  <si>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</si>
  <si>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</si>
  <si>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</si>
  <si>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</si>
  <si>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</si>
  <si>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</si>
  <si>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</si>
  <si>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</si>
  <si>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</si>
  <si>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</si>
  <si>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</si>
  <si>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</si>
  <si>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</si>
  <si>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</si>
  <si>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</si>
  <si>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</si>
  <si>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</si>
  <si>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</si>
  <si>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</si>
  <si>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</si>
  <si>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</si>
  <si>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</si>
  <si>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</si>
  <si>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</si>
  <si>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</si>
  <si>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</si>
  <si>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</si>
  <si>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</si>
  <si>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</si>
  <si>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</si>
  <si>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</si>
  <si>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</si>
  <si>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</si>
  <si>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</si>
  <si>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</si>
  <si>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</si>
  <si>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</si>
  <si>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</si>
  <si>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</si>
  <si>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</si>
  <si>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</si>
  <si>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</si>
  <si>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</si>
  <si>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</si>
  <si>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</si>
  <si>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</si>
  <si>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</si>
  <si>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</si>
  <si>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</si>
  <si>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</si>
  <si>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</si>
  <si>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</si>
  <si>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</si>
  <si>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</si>
  <si>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</si>
  <si>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Total</t>
  </si>
  <si>
    <t>F3: Desembolsos y gastos</t>
  </si>
  <si>
    <t>Anterior al periodo de referencia</t>
  </si>
  <si>
    <t>Periodo de referencia actual</t>
  </si>
  <si>
    <t>Desembolsado por el Fondo Mundial</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</si>
  <si>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</si>
  <si>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</si>
  <si>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</si>
  <si>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</si>
  <si>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</si>
  <si>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</si>
  <si>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</si>
  <si>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</si>
  <si>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</si>
  <si>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</si>
  <si>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</si>
  <si>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</si>
  <si>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</si>
  <si>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</si>
  <si>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</si>
  <si>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</si>
  <si>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</si>
  <si>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</si>
  <si>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</si>
  <si>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</si>
  <si>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</si>
  <si>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</si>
  <si>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</si>
  <si>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</si>
  <si>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</si>
  <si>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</si>
  <si>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</si>
  <si>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</si>
  <si>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</si>
  <si>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</si>
  <si>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</si>
  <si>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</si>
  <si>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</si>
  <si>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</si>
  <si>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</si>
  <si>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</si>
  <si>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</si>
  <si>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</si>
  <si>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</si>
  <si>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</si>
  <si>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</si>
  <si>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</si>
  <si>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</si>
  <si>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</si>
  <si>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</si>
  <si>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</si>
  <si>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</si>
  <si>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</si>
  <si>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</si>
  <si>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</si>
  <si>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</si>
  <si>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</si>
  <si>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</si>
  <si>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</si>
  <si>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</si>
  <si>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</si>
  <si>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</si>
  <si>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</si>
  <si>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</si>
  <si>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</si>
  <si>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</si>
  <si>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</si>
  <si>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</si>
  <si>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</si>
  <si>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</si>
  <si>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</si>
  <si>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</si>
  <si>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</si>
  <si>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</si>
  <si>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</si>
  <si>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</si>
  <si>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</si>
  <si>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</si>
  <si>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</si>
  <si>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</si>
  <si>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</si>
  <si>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</si>
  <si>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</si>
  <si>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</si>
  <si>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</si>
  <si>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</si>
  <si>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</si>
  <si>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</si>
  <si>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</si>
  <si>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</si>
  <si>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</si>
  <si>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</si>
  <si>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</si>
  <si>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</si>
  <si>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</si>
  <si>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</si>
  <si>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COMENTARIOS CME -MCP</t>
  </si>
  <si>
    <t>SLV-H-PLAN</t>
  </si>
  <si>
    <t>PLAN  INTERNACIONAL</t>
  </si>
  <si>
    <t>INNOVANDO SERVICIOS, REDUCIENDO RIESGOS, RENOVANDO VIDAS EN EL SALVADOR</t>
  </si>
  <si>
    <t>GRUPO JACOBS</t>
  </si>
  <si>
    <t xml:space="preserve">UCP/PLAN </t>
  </si>
  <si>
    <t>SR al RP</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</si>
  <si>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</si>
  <si>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</si>
  <si>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</si>
  <si>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TOP TEN</t>
  </si>
  <si>
    <t>NO TOP TEN</t>
  </si>
  <si>
    <t>CONDONES FEMENINOS (TS)</t>
  </si>
  <si>
    <t>(5)
Existencias actuales en el almacén central.</t>
  </si>
  <si>
    <t xml:space="preserve">(7)
Nivel de existencias de seguridad
(expresado en meses) </t>
  </si>
  <si>
    <t>No existieron condiciones precedentes</t>
  </si>
  <si>
    <t>CONDONES MASCULINOS (HSH)</t>
  </si>
  <si>
    <t>CONDONES MASCULINOS (TS)</t>
  </si>
  <si>
    <t>CONDONES MASCULINOS (TRANS)</t>
  </si>
  <si>
    <t>PRUEBAS RAPIDAS*</t>
  </si>
  <si>
    <t>LUBRICANTES/TUBOS HSH</t>
  </si>
  <si>
    <t>LUBRICANTES/TUBOS TS</t>
  </si>
  <si>
    <t>LUBRICANTES/TUBOS TRANS</t>
  </si>
  <si>
    <t>LUBRICANTES/SACHETS HSH</t>
  </si>
  <si>
    <t>LUBRICANTES/SACHETS TS</t>
  </si>
  <si>
    <t>Días tardados en presentar el informe de progreso actualizado y solicitud de desembolso al ALF*</t>
  </si>
  <si>
    <t>Saldo en caja**</t>
  </si>
  <si>
    <t>Serena Buccini</t>
  </si>
  <si>
    <t>(1)
Número minimo de productos por usuario  en promedio</t>
  </si>
  <si>
    <t xml:space="preserve">(3)
Número total de poblacion  atendidas </t>
  </si>
  <si>
    <t>(4)
Número total de productos de salud entregados en el semestre</t>
  </si>
  <si>
    <t>(6 = 5 / 4)
Nivel de existencias de productos, expresado en meses, según numero de población atendida</t>
  </si>
  <si>
    <t>Enero del 2016</t>
  </si>
  <si>
    <t>Junio del 2016</t>
  </si>
  <si>
    <t xml:space="preserve">La adquisicion de producto de salud son realizadas por el RP, no se han tenido dificultades en las adquisiciones. </t>
  </si>
  <si>
    <t>En las existencias de Pruebas rapidas se cuenta con el desgloce de 641 pruebas Orales y 6,800 pruebas capilares para la realizacion de pruebas para VIH. Un total de 7,441 para Iniciar el años 2017.</t>
  </si>
  <si>
    <t>Los recursos estan contratados desde el primer semestre de la subvención</t>
  </si>
  <si>
    <t xml:space="preserve">% de TS que reciben una prueba para VIH durante el periodo de reporte y conoce su resultado </t>
  </si>
  <si>
    <t xml:space="preserve">% de TRANS que reciben una prueba para VIH durante el periodo de reporte y conoce su resultado </t>
  </si>
  <si>
    <t>* Fuente de Información : Datos de ejecucion del 1 de enero al 30 de junio 2017 - SIGPRO</t>
  </si>
  <si>
    <t xml:space="preserve">(2)
Numero de productos entregados 
(por ciclo cerrado ) </t>
  </si>
  <si>
    <t>Modulos de la subvención</t>
  </si>
  <si>
    <t>F2: Presupuesto y gastos reales por modulo de la subvención</t>
  </si>
  <si>
    <t>Modulo 1: M&amp;E</t>
  </si>
  <si>
    <t>Modulo 2: Prevencion en HSH y Trans</t>
  </si>
  <si>
    <t>Modulo 3: Prevención en TS</t>
  </si>
  <si>
    <t>Modulo 4: Programa Administrativo</t>
  </si>
  <si>
    <t>Modulo 5: Cuidado y Tratamiento</t>
  </si>
  <si>
    <t>Los SR entregan al RP informe financiero y tecnico mensual, trimestral y semestral</t>
  </si>
  <si>
    <t>* Compromisos al 30 de junio en productos de salud $</t>
  </si>
  <si>
    <t>Obligacion: lo que ya esta en orden de compra.</t>
  </si>
  <si>
    <t>8 SR contratados para el año 2017.</t>
  </si>
  <si>
    <t>Los 8 SR presentaron sus informes de ejecucion técnica y financiera, correspondiente al primer semestre.</t>
  </si>
  <si>
    <t xml:space="preserve">80% entre Plan y MINSAL EL 20% es PEPFAR. </t>
  </si>
  <si>
    <t>hsh 14618 de estos el FM 85% QUE SON 12619, Plan reportara 60% y el 40% MINSAL</t>
  </si>
  <si>
    <t>Trans 1126, de estas 60% Plan y 40% MINSAL</t>
  </si>
  <si>
    <t>ts el FM 94% (6798) 60 % Plan y 40% MINSAL</t>
  </si>
  <si>
    <t>Gasto RP</t>
  </si>
  <si>
    <t>El porcentaje reportado corresponde a las personas HSH alcanzadas con paquete basico durante el P1 año 2017, de acuerdo con  el desarrollo de la metodologia de prevencion combinada.</t>
  </si>
  <si>
    <t xml:space="preserve">El porcentaje reportado corresponde a las personas TS alcanzadas con paquete basico durante el P1 del año 2017, de acuerdo con  el desarrollo de la metodologia de prevencion combinada. </t>
  </si>
  <si>
    <t>El porcentaje reportado corresponde a las personas TRANS alcanzadas con paquete basico durante el P1 del  año 2017, de acuerdo con  el desarrollo de la metodologia de prevencion combinada.</t>
  </si>
  <si>
    <t>% de HSH que reciben una prueba para VIH durante el periodo de reporte y conoce su resultado</t>
  </si>
  <si>
    <t xml:space="preserve">El Comité de Monitoreo Estrategico recomienda para futuras presentaciones el tablero de mando utilizar los datos (metas) anuales para y presentar el avance de lo logrardo en semestre que se esta reportando. </t>
  </si>
  <si>
    <t>El comité de Monitoreo Estrategico solicita que el tablero de mando se presente con datos anuales versus alcance a la fecha para todos los indicadores, para ver el avance obtenido en relación a la meta anual.</t>
  </si>
  <si>
    <t>Compromisos al 31 de diciembre de 2017</t>
  </si>
  <si>
    <t>Se presento PUDR e informe mejorado el 14 de marzo de 2018, el plazo fue prorrogado mediante solicitud enviada al Gerente de Portafolio</t>
  </si>
  <si>
    <t xml:space="preserve">Según la decisión anual de desembolso del FM, al RP Plan le ha sido desembolsado $ 4,235,392.00 lo que es igual al presupuesto aprobado para el año 2017, el FM estará desembolsando al RP Plan el margen de seguridad para el año 2 en los primeros dias del mes de enero del año 2018 y representa el presupuesto del primer trimestre del referido año. </t>
  </si>
  <si>
    <t>En cuanto a la fecha esperada para el envio de informe PUDR, debido a la construccion de la propuesta de financiamiento para los años 2019-2021, se hizo una peticion de ambos RP al FM para prorrogar el plazo de envío, a lo que el Gerente de portafolio estuvo de acuerdo y se concedio hasta el 14 de marzo de 2018.
En relación al desembolso esperado del FM. al cierre del P2, el FM ha desembolsado en los tiempos y de acuerdo a la carta de notificación de decisión anual de desembolsos que nos fue compartida.
En relación a los dias en que el desembolso tarda en llegar a los SR, este se mantiene en los 15 dias esperados, ya que una vez son solventadas todas las observaciones técnicas y financieras se procede a hacer efectivo el desembolso.</t>
  </si>
  <si>
    <t>Al cierre del P2, se observa una salida de efectivo neta por  gastos acumulados de $ 2,781,615.94 lo que reperesenta un avance con relación al presupuesto anual del 66%. 
El saldo de caja al 31 de diciembre es de $ 1,748,662.96 entre el RP y SR esta conformado de la siguiente manera:
  $ 4,235,392.00   Desembolsado por el FM
(-) $ 2,781,615.94   Salidas netas de efectivo SR y RP
(+) $    262,723.06   Saldo de caja al cierre de la subvencion anterior
(+) $       31,877.19   Intereses de enero a diciembre 2017
(+) $         286.55 Otros Ingresos por intereses ganados en cuentas de SR
Ademas en la gráfica se observan compromisos y obligaciones del RP al cierre del P2 por un monto de $ 594,039.84</t>
  </si>
  <si>
    <t>** El saldo de caja reportado corresponde a la suma de los saldos en Plan y los SR al 31/12/2017, mas intereses generados, mas otros ingresos por reembolsos. Más el saldo de caja determinado para la subvención 2014-2016 el cual asciende a $ 262,723.06 y se esta a la espera de decisión del FM al respecto del mismo.</t>
  </si>
  <si>
    <t>RP Plan tiene compromisos y obligaciones pendientes de pago al 31/12/2017 por $ 594,039.84</t>
  </si>
  <si>
    <t>En el modulo de M&amp;E se tiene un avance del 66%, la variacion del 34% para el P2 se debe principalmente a que presupuestariamente se encuentra presupuestado el estudio de sostenibilidad el cual al cierre del P2 se encuentra pendiente de finalización, ya que el producto final sera entregado en 2018 de acuerdo a indicaciones del FM.
Para los modulos HSH&amp;TRANS y TSF, se encuentra pendiente de compra los productos de salud, los cuales se esperan ingresen en el P3 del año 2018 y sobre los que se tiene comprometidos $ 321,963.14 lo que hara que la inversión se vea reflejada en el P3-2018
Para el módulo de Administración, presupuestariamente se encuentra en el primer trimestre lo relativo al manejo de insumos, sin emabrgo estos se iran gastando en la medida que se vayan cancelando los servicios de almacenaje.
Para el módulo de Cuidado y Tratamiento se observa un avance del 92% lo cual esta dentro de los parametros normales y las economias han sido recalendarizadas para el año 2018.</t>
  </si>
  <si>
    <t xml:space="preserve">El progreso alcanzado durante el   año 2017 permitió lograr las metas programáticas previstas, las cuales incluyeron  el cierre de  ciclos de personas con CUIs que se registraron en el sistema SIGPRO.  Para el semestre reportado se alcanza un 90% de cumplimiento Julio-Diciembre 2017, pero para el cierre del año se logra el 101% de cobertura con 18,230 HSH.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t>
  </si>
  <si>
    <t xml:space="preserve">El progreso alcanzado durante el   año 2017 permitió lograr las metas programáticas previstas, las cuales incluyeron  el cierre de  ciclos de personas con CUIs que se registraron en el sistema SIGPRO. Para el semestre reportado se alcanza un 103% de cumplimiento Julio-Diciembre 2017, pero para el cierre del año se logra el 101% de cobertura con 9,760 MTS.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Todas las MTS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t>
  </si>
  <si>
    <t xml:space="preserve">El progreso alcanzado durante el   año 2017 permitió lograr las metas programáticas previstas, las cuales incluyeron  el cierre de  ciclos de personas con CUIs que se registraron en el sistema SIGPRO. Para el semestre reportado se alcanza un 92% de cumplimiento Julio-Diciembre 2017, pero para el cierre del año se logra el 101% de cobertura con 1,631 Mujeres Trans.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Todas las Trans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t>
  </si>
  <si>
    <t xml:space="preserve">. Los datos que se muestran corresponden al avance del cumplimiento como país del año 2017 del indicador de toma de prueba para VIH en Población HSH y que conoce su resultado, el cual es un indicador compartido entre Plan, MINSAL y PEPFAR; por lo que el avance reportado es un avance de Plan Internacional y sus socios implementadores.  Como denominador para este semestre se tiene una meta de 7572 con lo que se tiene un cumplimiento registrado en el SUMEVE de 7,603 post-consejerias lo que corresponde al 100%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t>
  </si>
  <si>
    <t xml:space="preserve">. Los datos que se muestran corresponden al avance del cumplimiento como país del año 2017 del indicador de toma de prueba para VIH en Población MTS y que conoce su resultado, el cual es un indicador compartido entre Plan, MINSAL y PEPFAR; por lo que el avance reportado es un avance de Plan Internacional y sus socios implementadores.  Como denominador para este semestre se tiene una meta de 4,080 con lo que se tiene un cumplimiento registrado en el SUMEVE de 4,107 post-consejerias lo que corresponde al 101%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t>
  </si>
  <si>
    <t xml:space="preserve">. Los datos que se muestran corresponden al avance del cumplimiento como país del año 2017 del indicador de toma de prueba para VIH en Población MT y que conoce su resultado, el cual es un indicador compartido entre Plan, MINSAL y PEPFAR; por lo que el avance reportado es un avance de Plan Internacional y sus socios implementadores.  Como denominador para este semestre se tiene una meta de 678 con lo que se tiene un cumplimiento registrado en el SUMEVE de 676 post-consejerias lo que corresponde al 100%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t>
  </si>
  <si>
    <t>Para el año 2017 no se distribuyen mantas de latex, el remanente de la subvención anterior (113,000) se esta distribuyendo con MTS pero no son condicionante para paquete básico. En el caso de lubricantes en sachets el 7 de julio ingreso compra por 153,100 y en tubos 74,000 para cubrir el 2 semestre. se hizo una segunda compra de sachets por 30,000 para cubrir trimestre. Se recibieron 6800 pruebas en el mes de julio. Las existencias que se reportan son hasta Febrero 2018, que se recibio un envio en Condones masculino y lubricantes.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</si>
</sst>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2" formatCode="_-&quot;$&quot;* #,##0_-;\-&quot;$&quot;* #,##0_-;_-&quot;$&quot;*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0.00_);_([$€]* \(#,##0.00\);_([$€]* \-??_);_(@_)"/>
    <numFmt numFmtId="167" formatCode="_(* #,##0.00_);_(* \(#,##0.00\);_(* \-??_);_(@_)"/>
    <numFmt numFmtId="168" formatCode="_(\$* #,##0.00_);_(\$* \(#,##0.00\);_(\$* \-??_);_(@_)"/>
    <numFmt numFmtId="169" formatCode="d&quot; de &quot;mmm&quot; de &quot;yy"/>
    <numFmt numFmtId="170" formatCode="\Q#,##0_);[Red]&quot;(Q&quot;#,##0\)"/>
    <numFmt numFmtId="171" formatCode="_(* #,##0_);_(* \(#,##0\);_(* \-??_);_(@_)"/>
    <numFmt numFmtId="172" formatCode="#.##0"/>
    <numFmt numFmtId="173" formatCode="#,##0.00\ _€;[Red]#,##0.00\ _€"/>
    <numFmt numFmtId="174" formatCode="#.##000"/>
    <numFmt numFmtId="175" formatCode="[$$-409]#,##0"/>
    <numFmt numFmtId="176" formatCode="_-* #,##0.00\ _€_-;\-* #,##0.00\ _€_-;_-* \-??\ _€_-;_-@_-"/>
    <numFmt numFmtId="177" formatCode="000%"/>
    <numFmt numFmtId="178" formatCode="#"/>
    <numFmt numFmtId="179" formatCode="0.0"/>
    <numFmt numFmtId="180" formatCode="#.00"/>
    <numFmt numFmtId="181" formatCode="#.##"/>
    <numFmt numFmtId="182" formatCode="dd\/mm\/yyyy"/>
    <numFmt numFmtId="183" formatCode="[$$-409]#,##0_);\([$$-409]#,##0\)"/>
    <numFmt numFmtId="184" formatCode="d/mmm/yyyy;@"/>
    <numFmt numFmtId="185" formatCode="dd\/mm\/yy\ hh:mm"/>
    <numFmt numFmtId="186" formatCode="000"/>
    <numFmt numFmtId="187" formatCode=";;;"/>
    <numFmt numFmtId="188" formatCode=";;;&quot;Financial Variance in %&quot;"/>
    <numFmt numFmtId="189" formatCode="0.0%"/>
    <numFmt numFmtId="190" formatCode="0.000"/>
    <numFmt numFmtId="191" formatCode="#.0"/>
    <numFmt numFmtId="192" formatCode="&quot;$&quot;#,##0.00"/>
    <numFmt numFmtId="193" formatCode="_-[$$-440A]* #,##0.00_-;\-[$$-440A]* #,##0.00_-;_-[$$-440A]* &quot;-&quot;??_-;_-@_-"/>
  </numFmts>
  <fonts count="119">
    <font>
      <sz val="11"/>
      <color indexed="8"/>
      <name val="Calibri"/>
      <family val="2"/>
    </font>
    <font>
      <sz val="10"/>
      <name val="Arial"/>
    </font>
    <font>
      <sz val="11"/>
      <color indexed="9"/>
      <name val="Calibri"/>
      <family val="2"/>
    </font>
    <font>
      <sz val="11"/>
      <color indexed="20"/>
      <name val="Calibri"/>
      <family val="2"/>
    </font>
    <font>
      <b/>
      <sz val="11"/>
      <color indexed="52"/>
      <name val="Calibri"/>
      <family val="2"/>
    </font>
    <font>
      <b/>
      <sz val="11"/>
      <color indexed="56"/>
      <name val="Calibri"/>
      <family val="2"/>
    </font>
    <font>
      <i/>
      <sz val="11"/>
      <color indexed="23"/>
      <name val="Calibri"/>
      <family val="2"/>
    </font>
    <font>
      <b/>
      <sz val="13"/>
      <color indexed="62"/>
      <name val="Calibri"/>
      <family val="2"/>
    </font>
    <font>
      <b/>
      <sz val="11"/>
      <color indexed="62"/>
      <name val="Calibri"/>
      <family val="2"/>
    </font>
    <font>
      <sz val="10"/>
      <name val="Arial"/>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charset val="2"/>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1"/>
      <color indexed="8"/>
      <name val="Calibri"/>
      <family val="2"/>
    </font>
    <font>
      <sz val="9"/>
      <color indexed="8"/>
      <name val="Calibri"/>
      <family val="2"/>
    </font>
    <font>
      <sz val="9"/>
      <name val="Calibri"/>
      <family val="2"/>
    </font>
    <font>
      <b/>
      <sz val="8"/>
      <name val="Calibri"/>
      <family val="2"/>
    </font>
    <font>
      <sz val="9"/>
      <color indexed="81"/>
      <name val="Tahoma"/>
      <family val="2"/>
    </font>
    <font>
      <b/>
      <sz val="9"/>
      <color indexed="81"/>
      <name val="Tahoma"/>
      <family val="2"/>
    </font>
    <font>
      <sz val="11"/>
      <color rgb="FFFF0000"/>
      <name val="Calibri"/>
      <family val="2"/>
    </font>
    <font>
      <sz val="11"/>
      <color theme="1"/>
      <name val="Calibri"/>
      <family val="2"/>
    </font>
    <font>
      <sz val="9"/>
      <color theme="1"/>
      <name val="Calibri"/>
      <family val="2"/>
    </font>
    <font>
      <b/>
      <i/>
      <sz val="8"/>
      <color theme="1"/>
      <name val="Calibri"/>
      <family val="2"/>
      <scheme val="minor"/>
    </font>
    <font>
      <b/>
      <sz val="9"/>
      <color theme="1"/>
      <name val="Calibri"/>
      <family val="2"/>
    </font>
    <font>
      <sz val="10"/>
      <color rgb="FFFF0000"/>
      <name val="Calibri"/>
      <family val="2"/>
    </font>
  </fonts>
  <fills count="39">
    <fill>
      <patternFill patternType="none"/>
    </fill>
    <fill>
      <patternFill patternType="gray125"/>
    </fill>
    <fill>
      <patternFill patternType="solid">
        <fgColor indexed="9"/>
        <bgColor indexed="28"/>
      </patternFill>
    </fill>
    <fill>
      <patternFill patternType="solid">
        <fgColor indexed="47"/>
        <bgColor indexed="33"/>
      </patternFill>
    </fill>
    <fill>
      <patternFill patternType="solid">
        <fgColor indexed="26"/>
        <bgColor indexed="28"/>
      </patternFill>
    </fill>
    <fill>
      <patternFill patternType="solid">
        <fgColor indexed="27"/>
        <bgColor indexed="42"/>
      </patternFill>
    </fill>
    <fill>
      <patternFill patternType="solid">
        <fgColor indexed="31"/>
        <bgColor indexed="14"/>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2"/>
        <bgColor indexed="36"/>
      </patternFill>
    </fill>
    <fill>
      <patternFill patternType="solid">
        <fgColor indexed="29"/>
        <bgColor indexed="10"/>
      </patternFill>
    </fill>
    <fill>
      <patternFill patternType="solid">
        <fgColor indexed="43"/>
        <bgColor indexed="34"/>
      </patternFill>
    </fill>
    <fill>
      <patternFill patternType="solid">
        <fgColor indexed="44"/>
        <bgColor indexed="35"/>
      </patternFill>
    </fill>
    <fill>
      <patternFill patternType="solid">
        <fgColor indexed="11"/>
        <bgColor indexed="19"/>
      </patternFill>
    </fill>
    <fill>
      <patternFill patternType="solid">
        <fgColor indexed="51"/>
        <bgColor indexed="13"/>
      </patternFill>
    </fill>
    <fill>
      <patternFill patternType="solid">
        <fgColor indexed="49"/>
        <bgColor indexed="40"/>
      </patternFill>
    </fill>
    <fill>
      <patternFill patternType="solid">
        <fgColor indexed="10"/>
        <bgColor indexed="29"/>
      </patternFill>
    </fill>
    <fill>
      <patternFill patternType="solid">
        <fgColor indexed="30"/>
        <bgColor indexed="21"/>
      </patternFill>
    </fill>
    <fill>
      <patternFill patternType="solid">
        <fgColor indexed="20"/>
        <bgColor indexed="16"/>
      </patternFill>
    </fill>
    <fill>
      <patternFill patternType="solid">
        <fgColor indexed="52"/>
        <bgColor indexed="51"/>
      </patternFill>
    </fill>
    <fill>
      <patternFill patternType="solid">
        <fgColor indexed="53"/>
        <bgColor indexed="61"/>
      </patternFill>
    </fill>
    <fill>
      <patternFill patternType="solid">
        <fgColor indexed="57"/>
        <bgColor indexed="19"/>
      </patternFill>
    </fill>
    <fill>
      <patternFill patternType="solid">
        <fgColor indexed="54"/>
        <bgColor indexed="23"/>
      </patternFill>
    </fill>
    <fill>
      <patternFill patternType="solid">
        <fgColor indexed="61"/>
        <bgColor indexed="10"/>
      </patternFill>
    </fill>
    <fill>
      <patternFill patternType="solid">
        <fgColor indexed="62"/>
        <bgColor indexed="56"/>
      </patternFill>
    </fill>
    <fill>
      <patternFill patternType="solid">
        <fgColor indexed="28"/>
        <bgColor indexed="9"/>
      </patternFill>
    </fill>
    <fill>
      <patternFill patternType="solid">
        <fgColor indexed="47"/>
        <bgColor indexed="64"/>
      </patternFill>
    </fill>
    <fill>
      <patternFill patternType="solid">
        <fgColor indexed="34"/>
        <bgColor indexed="43"/>
      </patternFill>
    </fill>
    <fill>
      <patternFill patternType="gray0625">
        <fgColor indexed="52"/>
      </patternFill>
    </fill>
    <fill>
      <patternFill patternType="solid">
        <fgColor indexed="43"/>
        <bgColor indexed="64"/>
      </patternFill>
    </fill>
    <fill>
      <patternFill patternType="solid">
        <fgColor indexed="43"/>
        <bgColor indexed="52"/>
      </patternFill>
    </fill>
    <fill>
      <patternFill patternType="solid">
        <fgColor indexed="25"/>
        <bgColor indexed="60"/>
      </patternFill>
    </fill>
    <fill>
      <patternFill patternType="solid">
        <fgColor indexed="18"/>
        <bgColor indexed="56"/>
      </patternFill>
    </fill>
    <fill>
      <patternFill patternType="solid">
        <fgColor indexed="43"/>
        <bgColor indexed="51"/>
      </patternFill>
    </fill>
    <fill>
      <patternFill patternType="gray0625">
        <fgColor indexed="52"/>
        <bgColor indexed="43"/>
      </patternFill>
    </fill>
    <fill>
      <patternFill patternType="solid">
        <fgColor theme="4" tint="0.79998168889431442"/>
        <bgColor indexed="19"/>
      </patternFill>
    </fill>
    <fill>
      <patternFill patternType="solid">
        <fgColor theme="4" tint="0.39997558519241921"/>
        <bgColor indexed="10"/>
      </patternFill>
    </fill>
    <fill>
      <patternFill patternType="solid">
        <fgColor theme="4" tint="0.59999389629810485"/>
        <bgColor indexed="51"/>
      </patternFill>
    </fill>
  </fills>
  <borders count="223">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16"/>
      </left>
      <right style="thin">
        <color indexed="16"/>
      </right>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thin">
        <color indexed="58"/>
      </left>
      <right style="thin">
        <color indexed="58"/>
      </right>
      <top style="thin">
        <color indexed="58"/>
      </top>
      <bottom style="thin">
        <color indexed="58"/>
      </bottom>
      <diagonal/>
    </border>
    <border>
      <left style="medium">
        <color indexed="32"/>
      </left>
      <right style="thin">
        <color indexed="32"/>
      </right>
      <top/>
      <bottom style="thin">
        <color indexed="32"/>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style="thin">
        <color indexed="32"/>
      </left>
      <right style="thin">
        <color indexed="32"/>
      </right>
      <top/>
      <bottom style="thin">
        <color indexed="32"/>
      </bottom>
      <diagonal/>
    </border>
    <border>
      <left style="thin">
        <color indexed="32"/>
      </left>
      <right/>
      <top/>
      <bottom style="thin">
        <color indexed="32"/>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0"/>
      </top>
      <bottom style="thin">
        <color indexed="30"/>
      </bottom>
      <diagonal/>
    </border>
    <border>
      <left style="thin">
        <color indexed="32"/>
      </left>
      <right style="medium">
        <color indexed="32"/>
      </right>
      <top style="medium">
        <color indexed="32"/>
      </top>
      <bottom style="thin">
        <color indexed="32"/>
      </bottom>
      <diagonal/>
    </border>
    <border>
      <left style="medium">
        <color indexed="32"/>
      </left>
      <right style="thin">
        <color indexed="32"/>
      </right>
      <top style="thin">
        <color indexed="32"/>
      </top>
      <bottom style="medium">
        <color indexed="32"/>
      </bottom>
      <diagonal/>
    </border>
    <border>
      <left style="thin">
        <color indexed="32"/>
      </left>
      <right style="medium">
        <color indexed="32"/>
      </right>
      <top style="thin">
        <color indexed="32"/>
      </top>
      <bottom style="medium">
        <color indexed="32"/>
      </bottom>
      <diagonal/>
    </border>
    <border>
      <left style="thin">
        <color indexed="9"/>
      </left>
      <right style="thin">
        <color indexed="9"/>
      </right>
      <top style="thin">
        <color indexed="9"/>
      </top>
      <bottom style="thin">
        <color indexed="9"/>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style="thin">
        <color indexed="16"/>
      </left>
      <right style="thin">
        <color indexed="16"/>
      </right>
      <top style="thin">
        <color indexed="16"/>
      </top>
      <bottom/>
      <diagonal/>
    </border>
    <border>
      <left style="thin">
        <color indexed="60"/>
      </left>
      <right style="thin">
        <color indexed="60"/>
      </right>
      <top style="thin">
        <color indexed="60"/>
      </top>
      <bottom style="medium">
        <color indexed="60"/>
      </bottom>
      <diagonal/>
    </border>
    <border>
      <left/>
      <right style="medium">
        <color indexed="51"/>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right style="thin">
        <color indexed="58"/>
      </right>
      <top style="thin">
        <color indexed="58"/>
      </top>
      <bottom style="thin">
        <color indexed="58"/>
      </bottom>
      <diagonal/>
    </border>
    <border>
      <left/>
      <right style="thin">
        <color indexed="58"/>
      </right>
      <top style="thin">
        <color indexed="58"/>
      </top>
      <bottom/>
      <diagonal/>
    </border>
    <border>
      <left style="medium">
        <color indexed="64"/>
      </left>
      <right style="thin">
        <color indexed="32"/>
      </right>
      <top style="medium">
        <color indexed="64"/>
      </top>
      <bottom style="thin">
        <color indexed="32"/>
      </bottom>
      <diagonal/>
    </border>
    <border>
      <left style="thin">
        <color indexed="32"/>
      </left>
      <right style="thin">
        <color indexed="32"/>
      </right>
      <top style="medium">
        <color indexed="64"/>
      </top>
      <bottom/>
      <diagonal/>
    </border>
    <border>
      <left style="thin">
        <color indexed="32"/>
      </left>
      <right style="thin">
        <color indexed="32"/>
      </right>
      <top style="medium">
        <color indexed="64"/>
      </top>
      <bottom style="thin">
        <color indexed="32"/>
      </bottom>
      <diagonal/>
    </border>
    <border>
      <left style="thin">
        <color indexed="64"/>
      </left>
      <right style="thin">
        <color indexed="64"/>
      </right>
      <top style="thin">
        <color indexed="64"/>
      </top>
      <bottom style="medium">
        <color indexed="64"/>
      </bottom>
      <diagonal/>
    </border>
    <border>
      <left/>
      <right style="thin">
        <color indexed="58"/>
      </right>
      <top style="thin">
        <color indexed="58"/>
      </top>
      <bottom style="medium">
        <color indexed="64"/>
      </bottom>
      <diagonal/>
    </border>
    <border>
      <left style="thin">
        <color indexed="32"/>
      </left>
      <right style="thin">
        <color indexed="32"/>
      </right>
      <top style="thin">
        <color indexed="32"/>
      </top>
      <bottom style="medium">
        <color indexed="32"/>
      </bottom>
      <diagonal/>
    </border>
    <border>
      <left style="medium">
        <color indexed="32"/>
      </left>
      <right style="thin">
        <color indexed="32"/>
      </right>
      <top style="medium">
        <color indexed="32"/>
      </top>
      <bottom/>
      <diagonal/>
    </border>
    <border>
      <left style="thin">
        <color indexed="32"/>
      </left>
      <right/>
      <top style="medium">
        <color indexed="32"/>
      </top>
      <bottom/>
      <diagonal/>
    </border>
    <border>
      <left style="thin">
        <color indexed="32"/>
      </left>
      <right style="thin">
        <color indexed="32"/>
      </right>
      <top style="medium">
        <color indexed="32"/>
      </top>
      <bottom/>
      <diagonal/>
    </border>
    <border>
      <left/>
      <right style="medium">
        <color indexed="32"/>
      </right>
      <top style="medium">
        <color indexed="32"/>
      </top>
      <bottom/>
      <diagonal/>
    </border>
    <border>
      <left style="thin">
        <color indexed="32"/>
      </left>
      <right/>
      <top style="medium">
        <color indexed="64"/>
      </top>
      <bottom style="thin">
        <color indexed="32"/>
      </bottom>
      <diagonal/>
    </border>
    <border>
      <left/>
      <right style="medium">
        <color indexed="64"/>
      </right>
      <top style="thin">
        <color indexed="32"/>
      </top>
      <bottom style="thin">
        <color indexed="32"/>
      </bottom>
      <diagonal/>
    </border>
    <border>
      <left/>
      <right style="thin">
        <color indexed="32"/>
      </right>
      <top/>
      <bottom/>
      <diagonal/>
    </border>
    <border>
      <left style="thin">
        <color indexed="32"/>
      </left>
      <right style="medium">
        <color indexed="64"/>
      </right>
      <top style="medium">
        <color indexed="64"/>
      </top>
      <bottom style="thin">
        <color indexed="32"/>
      </bottom>
      <diagonal/>
    </border>
    <border>
      <left style="thin">
        <color indexed="32"/>
      </left>
      <right/>
      <top style="thin">
        <color indexed="32"/>
      </top>
      <bottom style="medium">
        <color indexed="64"/>
      </bottom>
      <diagonal/>
    </border>
    <border>
      <left style="thin">
        <color indexed="64"/>
      </left>
      <right style="thin">
        <color indexed="64"/>
      </right>
      <top style="thin">
        <color indexed="64"/>
      </top>
      <bottom/>
      <diagonal/>
    </border>
    <border>
      <left style="thin">
        <color indexed="32"/>
      </left>
      <right style="medium">
        <color indexed="64"/>
      </right>
      <top style="thin">
        <color indexed="32"/>
      </top>
      <bottom style="thin">
        <color indexed="32"/>
      </bottom>
      <diagonal/>
    </border>
    <border>
      <left style="thin">
        <color indexed="58"/>
      </left>
      <right/>
      <top style="thin">
        <color indexed="58"/>
      </top>
      <bottom style="thin">
        <color indexed="58"/>
      </bottom>
      <diagonal/>
    </border>
    <border>
      <left style="thin">
        <color indexed="58"/>
      </left>
      <right/>
      <top style="thin">
        <color indexed="58"/>
      </top>
      <bottom style="medium">
        <color indexed="64"/>
      </bottom>
      <diagonal/>
    </border>
    <border>
      <left style="thin">
        <color indexed="60"/>
      </left>
      <right style="medium">
        <color indexed="60"/>
      </right>
      <top style="thin">
        <color indexed="60"/>
      </top>
      <bottom style="medium">
        <color indexed="60"/>
      </bottom>
      <diagonal/>
    </border>
    <border>
      <left style="thin">
        <color indexed="64"/>
      </left>
      <right style="medium">
        <color indexed="64"/>
      </right>
      <top style="thin">
        <color indexed="64"/>
      </top>
      <bottom style="medium">
        <color indexed="64"/>
      </bottom>
      <diagonal/>
    </border>
    <border>
      <left style="thin">
        <color indexed="32"/>
      </left>
      <right style="thin">
        <color indexed="32"/>
      </right>
      <top style="thin">
        <color indexed="32"/>
      </top>
      <bottom/>
      <diagonal/>
    </border>
    <border>
      <left/>
      <right/>
      <top style="thin">
        <color indexed="32"/>
      </top>
      <bottom/>
      <diagonal/>
    </border>
    <border>
      <left/>
      <right/>
      <top style="thin">
        <color indexed="58"/>
      </top>
      <bottom/>
      <diagonal/>
    </border>
    <border>
      <left/>
      <right/>
      <top/>
      <bottom style="thin">
        <color indexed="64"/>
      </bottom>
      <diagonal/>
    </border>
    <border>
      <left style="medium">
        <color indexed="64"/>
      </left>
      <right/>
      <top style="thin">
        <color indexed="32"/>
      </top>
      <bottom style="medium">
        <color indexed="32"/>
      </bottom>
      <diagonal/>
    </border>
    <border>
      <left style="medium">
        <color indexed="64"/>
      </left>
      <right/>
      <top style="thin">
        <color indexed="32"/>
      </top>
      <bottom style="medium">
        <color indexed="64"/>
      </bottom>
      <diagonal/>
    </border>
    <border>
      <left/>
      <right style="medium">
        <color indexed="64"/>
      </right>
      <top style="thin">
        <color indexed="32"/>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58"/>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51"/>
      </left>
      <right style="medium">
        <color indexed="51"/>
      </right>
      <top style="medium">
        <color indexed="51"/>
      </top>
      <bottom style="medium">
        <color indexed="51"/>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top style="thin">
        <color indexed="64"/>
      </top>
      <bottom/>
      <diagonal/>
    </border>
    <border>
      <left/>
      <right/>
      <top style="thin">
        <color indexed="64"/>
      </top>
      <bottom/>
      <diagonal/>
    </border>
    <border>
      <left/>
      <right style="medium">
        <color indexed="51"/>
      </right>
      <top style="thin">
        <color indexed="64"/>
      </top>
      <bottom/>
      <diagonal/>
    </border>
    <border>
      <left style="medium">
        <color indexed="51"/>
      </left>
      <right/>
      <top/>
      <bottom style="thin">
        <color indexed="64"/>
      </bottom>
      <diagonal/>
    </border>
    <border>
      <left/>
      <right style="medium">
        <color indexed="51"/>
      </right>
      <top/>
      <bottom style="thin">
        <color indexed="64"/>
      </bottom>
      <diagonal/>
    </border>
    <border>
      <left style="medium">
        <color indexed="51"/>
      </left>
      <right style="medium">
        <color indexed="51"/>
      </right>
      <top style="thin">
        <color indexed="64"/>
      </top>
      <bottom/>
      <diagonal/>
    </border>
    <border>
      <left style="medium">
        <color indexed="51"/>
      </left>
      <right style="medium">
        <color indexed="51"/>
      </right>
      <top/>
      <bottom style="thin">
        <color indexed="64"/>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right style="thin">
        <color indexed="32"/>
      </right>
      <top style="thin">
        <color indexed="32"/>
      </top>
      <bottom/>
      <diagonal/>
    </border>
    <border>
      <left/>
      <right style="thin">
        <color indexed="32"/>
      </right>
      <top/>
      <bottom style="thin">
        <color indexed="58"/>
      </bottom>
      <diagonal/>
    </border>
    <border>
      <left style="thin">
        <color indexed="32"/>
      </left>
      <right style="thin">
        <color indexed="32"/>
      </right>
      <top/>
      <bottom/>
      <diagonal/>
    </border>
    <border>
      <left style="thin">
        <color indexed="32"/>
      </left>
      <right style="thin">
        <color indexed="32"/>
      </right>
      <top/>
      <bottom style="thin">
        <color indexed="58"/>
      </bottom>
      <diagonal/>
    </border>
    <border>
      <left style="thin">
        <color indexed="32"/>
      </left>
      <right style="medium">
        <color indexed="64"/>
      </right>
      <top style="thin">
        <color indexed="32"/>
      </top>
      <bottom/>
      <diagonal/>
    </border>
    <border>
      <left style="thin">
        <color indexed="32"/>
      </left>
      <right style="medium">
        <color indexed="64"/>
      </right>
      <top/>
      <bottom/>
      <diagonal/>
    </border>
    <border>
      <left style="thin">
        <color indexed="32"/>
      </left>
      <right style="medium">
        <color indexed="64"/>
      </right>
      <top/>
      <bottom style="thin">
        <color indexed="32"/>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32"/>
      </left>
      <right style="medium">
        <color indexed="32"/>
      </right>
      <top style="medium">
        <color indexed="32"/>
      </top>
      <bottom style="medium">
        <color indexed="32"/>
      </bottom>
      <diagonal/>
    </border>
    <border>
      <left style="medium">
        <color indexed="16"/>
      </left>
      <right style="medium">
        <color indexed="16"/>
      </right>
      <top style="medium">
        <color indexed="16"/>
      </top>
      <bottom style="thin">
        <color indexed="32"/>
      </bottom>
      <diagonal/>
    </border>
    <border>
      <left style="medium">
        <color indexed="48"/>
      </left>
      <right style="thin">
        <color indexed="32"/>
      </right>
      <top style="medium">
        <color indexed="48"/>
      </top>
      <bottom style="thin">
        <color indexed="32"/>
      </bottom>
      <diagonal/>
    </border>
    <border>
      <left style="medium">
        <color indexed="32"/>
      </left>
      <right/>
      <top style="thin">
        <color indexed="32"/>
      </top>
      <bottom style="medium">
        <color indexed="32"/>
      </bottom>
      <diagonal/>
    </border>
    <border>
      <left/>
      <right style="medium">
        <color indexed="32"/>
      </right>
      <top style="thin">
        <color indexed="32"/>
      </top>
      <bottom style="medium">
        <color indexed="32"/>
      </bottom>
      <diagonal/>
    </border>
    <border>
      <left style="medium">
        <color indexed="32"/>
      </left>
      <right/>
      <top style="medium">
        <color indexed="32"/>
      </top>
      <bottom style="medium">
        <color indexed="32"/>
      </bottom>
      <diagonal/>
    </border>
    <border>
      <left/>
      <right/>
      <top style="medium">
        <color indexed="32"/>
      </top>
      <bottom style="medium">
        <color indexed="32"/>
      </bottom>
      <diagonal/>
    </border>
    <border>
      <left/>
      <right style="medium">
        <color indexed="32"/>
      </right>
      <top style="medium">
        <color indexed="32"/>
      </top>
      <bottom style="medium">
        <color indexed="32"/>
      </bottom>
      <diagonal/>
    </border>
    <border>
      <left style="medium">
        <color indexed="32"/>
      </left>
      <right/>
      <top style="medium">
        <color indexed="32"/>
      </top>
      <bottom style="thin">
        <color indexed="32"/>
      </bottom>
      <diagonal/>
    </border>
    <border>
      <left/>
      <right style="medium">
        <color indexed="32"/>
      </right>
      <top style="medium">
        <color indexed="32"/>
      </top>
      <bottom style="thin">
        <color indexed="32"/>
      </bottom>
      <diagonal/>
    </border>
    <border>
      <left style="medium">
        <color indexed="32"/>
      </left>
      <right/>
      <top style="thin">
        <color indexed="32"/>
      </top>
      <bottom style="thin">
        <color indexed="32"/>
      </bottom>
      <diagonal/>
    </border>
    <border>
      <left/>
      <right style="medium">
        <color indexed="32"/>
      </right>
      <top style="thin">
        <color indexed="32"/>
      </top>
      <bottom style="thin">
        <color indexed="32"/>
      </bottom>
      <diagonal/>
    </border>
    <border>
      <left style="thin">
        <color indexed="32"/>
      </left>
      <right style="medium">
        <color indexed="64"/>
      </right>
      <top/>
      <bottom style="medium">
        <color indexed="64"/>
      </bottom>
      <diagonal/>
    </border>
    <border>
      <left style="medium">
        <color indexed="64"/>
      </left>
      <right style="thin">
        <color indexed="32"/>
      </right>
      <top style="medium">
        <color indexed="64"/>
      </top>
      <bottom/>
      <diagonal/>
    </border>
    <border>
      <left style="medium">
        <color indexed="64"/>
      </left>
      <right style="thin">
        <color indexed="32"/>
      </right>
      <top/>
      <bottom/>
      <diagonal/>
    </border>
    <border>
      <left style="medium">
        <color indexed="64"/>
      </left>
      <right style="thin">
        <color indexed="32"/>
      </right>
      <top/>
      <bottom style="medium">
        <color indexed="64"/>
      </bottom>
      <diagonal/>
    </border>
    <border>
      <left style="thin">
        <color indexed="32"/>
      </left>
      <right style="medium">
        <color indexed="64"/>
      </right>
      <top style="medium">
        <color indexed="64"/>
      </top>
      <bottom/>
      <diagonal/>
    </border>
    <border>
      <left style="thin">
        <color indexed="32"/>
      </left>
      <right style="thin">
        <color indexed="32"/>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medium">
        <color indexed="51"/>
      </bottom>
      <diagonal/>
    </border>
    <border>
      <left style="medium">
        <color indexed="51"/>
      </left>
      <right style="medium">
        <color indexed="51"/>
      </right>
      <top style="hair">
        <color indexed="51"/>
      </top>
      <bottom style="hair">
        <color indexed="51"/>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right style="medium">
        <color indexed="52"/>
      </right>
      <top/>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medium">
        <color indexed="60"/>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hair">
        <color indexed="32"/>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right style="medium">
        <color indexed="32"/>
      </right>
      <top style="hair">
        <color indexed="32"/>
      </top>
      <bottom style="medium">
        <color indexed="32"/>
      </bottom>
      <diagonal/>
    </border>
    <border>
      <left/>
      <right style="medium">
        <color indexed="32"/>
      </right>
      <top style="hair">
        <color indexed="32"/>
      </top>
      <bottom style="hair">
        <color indexed="32"/>
      </bottom>
      <diagonal/>
    </border>
    <border>
      <left style="hair">
        <color indexed="32"/>
      </left>
      <right style="medium">
        <color indexed="32"/>
      </right>
      <top style="medium">
        <color indexed="57"/>
      </top>
      <bottom style="hair">
        <color indexed="32"/>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thin">
        <color indexed="64"/>
      </left>
      <right style="medium">
        <color theme="5"/>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medium">
        <color theme="5"/>
      </left>
      <right style="thin">
        <color indexed="64"/>
      </right>
      <top style="thin">
        <color indexed="64"/>
      </top>
      <bottom/>
      <diagonal/>
    </border>
    <border>
      <left style="thin">
        <color indexed="64"/>
      </left>
      <right style="medium">
        <color theme="5"/>
      </right>
      <top style="thin">
        <color indexed="64"/>
      </top>
      <bottom style="thin">
        <color indexed="64"/>
      </bottom>
      <diagonal/>
    </border>
    <border>
      <left style="thin">
        <color indexed="64"/>
      </left>
      <right style="medium">
        <color theme="5"/>
      </right>
      <top style="thin">
        <color indexed="64"/>
      </top>
      <bottom style="medium">
        <color theme="5"/>
      </bottom>
      <diagonal/>
    </border>
  </borders>
  <cellStyleXfs count="104">
    <xf numFmtId="0" fontId="0" fillId="0" borderId="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2" borderId="0" applyNumberFormat="0" applyBorder="0" applyAlignment="0" applyProtection="0"/>
    <xf numFmtId="0" fontId="107" fillId="5" borderId="0" applyNumberFormat="0" applyBorder="0" applyAlignment="0" applyProtection="0"/>
    <xf numFmtId="0" fontId="107" fillId="3"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5" borderId="0" applyNumberFormat="0" applyBorder="0" applyAlignment="0" applyProtection="0"/>
    <xf numFmtId="0" fontId="107" fillId="3"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0" borderId="0" applyNumberFormat="0" applyBorder="0" applyAlignment="0" applyProtection="0"/>
    <xf numFmtId="0" fontId="107" fillId="13" borderId="0" applyNumberFormat="0" applyBorder="0" applyAlignment="0" applyProtection="0"/>
    <xf numFmtId="0" fontId="107" fillId="3" borderId="0" applyNumberFormat="0" applyBorder="0" applyAlignment="0" applyProtection="0"/>
    <xf numFmtId="0" fontId="107" fillId="13" borderId="0" applyNumberFormat="0" applyBorder="0" applyAlignment="0" applyProtection="0"/>
    <xf numFmtId="0" fontId="107" fillId="11" borderId="0" applyNumberFormat="0" applyBorder="0" applyAlignment="0" applyProtection="0"/>
    <xf numFmtId="0" fontId="107" fillId="14" borderId="0" applyNumberFormat="0" applyBorder="0" applyAlignment="0" applyProtection="0"/>
    <xf numFmtId="0" fontId="107" fillId="9" borderId="0" applyNumberFormat="0" applyBorder="0" applyAlignment="0" applyProtection="0"/>
    <xf numFmtId="0" fontId="107" fillId="13" borderId="0" applyNumberFormat="0" applyBorder="0" applyAlignment="0" applyProtection="0"/>
    <xf numFmtId="0" fontId="10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4" fillId="10" borderId="1" applyNumberFormat="0" applyAlignment="0" applyProtection="0"/>
    <xf numFmtId="0" fontId="2" fillId="25"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166" fontId="107" fillId="0" borderId="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3" fillId="7" borderId="0" applyNumberFormat="0" applyBorder="0" applyAlignment="0" applyProtection="0"/>
    <xf numFmtId="167" fontId="107" fillId="0" borderId="0" applyFill="0" applyBorder="0" applyAlignment="0" applyProtection="0"/>
    <xf numFmtId="167" fontId="9" fillId="0" borderId="0" applyFill="0" applyBorder="0" applyAlignment="0" applyProtection="0"/>
    <xf numFmtId="164" fontId="1" fillId="0" borderId="0" applyFill="0" applyBorder="0" applyAlignment="0" applyProtection="0"/>
    <xf numFmtId="0" fontId="10" fillId="12" borderId="0" applyNumberFormat="0" applyBorder="0" applyAlignment="0" applyProtection="0"/>
    <xf numFmtId="167" fontId="10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0" fontId="9" fillId="0" borderId="0"/>
    <xf numFmtId="0" fontId="11" fillId="2" borderId="4" applyNumberFormat="0" applyAlignment="0" applyProtection="0"/>
    <xf numFmtId="9"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0" fontId="11" fillId="10" borderId="4"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5"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4" fillId="0" borderId="6" applyNumberFormat="0" applyFill="0" applyAlignment="0" applyProtection="0"/>
  </cellStyleXfs>
  <cellXfs count="805">
    <xf numFmtId="0" fontId="0" fillId="0" borderId="0" xfId="0"/>
    <xf numFmtId="167" fontId="19" fillId="0" borderId="0" xfId="70" applyFont="1" applyFill="1" applyAlignment="1">
      <alignment vertical="center"/>
    </xf>
    <xf numFmtId="0" fontId="21" fillId="0" borderId="0" xfId="0" applyFont="1"/>
    <xf numFmtId="167" fontId="21" fillId="0" borderId="0" xfId="0" applyNumberFormat="1" applyFont="1" applyAlignment="1"/>
    <xf numFmtId="167" fontId="21" fillId="0" borderId="0" xfId="0" applyNumberFormat="1" applyFont="1"/>
    <xf numFmtId="0" fontId="0" fillId="0" borderId="0" xfId="0" applyFill="1"/>
    <xf numFmtId="0" fontId="0" fillId="0" borderId="0" xfId="0" applyProtection="1"/>
    <xf numFmtId="167" fontId="18" fillId="0" borderId="0" xfId="69" applyFont="1" applyFill="1" applyAlignment="1" applyProtection="1">
      <alignment horizontal="center" vertical="center"/>
    </xf>
    <xf numFmtId="167" fontId="19" fillId="0" borderId="0" xfId="69" applyFont="1" applyFill="1" applyAlignment="1" applyProtection="1">
      <alignment vertical="center"/>
    </xf>
    <xf numFmtId="0" fontId="17" fillId="0" borderId="0" xfId="0" applyFont="1"/>
    <xf numFmtId="0" fontId="0" fillId="0" borderId="0" xfId="0" applyBorder="1"/>
    <xf numFmtId="0" fontId="17" fillId="0" borderId="0" xfId="0" applyFont="1" applyBorder="1"/>
    <xf numFmtId="0" fontId="0" fillId="0" borderId="0" xfId="0" applyBorder="1" applyAlignment="1">
      <alignment horizontal="center"/>
    </xf>
    <xf numFmtId="0" fontId="33" fillId="0" borderId="0" xfId="0" applyFont="1" applyFill="1"/>
    <xf numFmtId="0" fontId="0" fillId="0" borderId="0" xfId="0" applyFont="1"/>
    <xf numFmtId="0" fontId="25" fillId="12" borderId="7" xfId="0" applyFont="1" applyFill="1" applyBorder="1" applyAlignment="1">
      <alignment horizontal="justify" vertical="center" wrapText="1"/>
    </xf>
    <xf numFmtId="0" fontId="29" fillId="12" borderId="8" xfId="0" applyFont="1" applyFill="1" applyBorder="1" applyAlignment="1">
      <alignment horizontal="justify" vertical="center" wrapText="1"/>
    </xf>
    <xf numFmtId="0" fontId="29" fillId="12" borderId="9" xfId="0" applyFont="1" applyFill="1" applyBorder="1" applyAlignment="1">
      <alignment horizontal="justify" vertical="center" wrapText="1"/>
    </xf>
    <xf numFmtId="0" fontId="25" fillId="12" borderId="7" xfId="0" applyFont="1" applyFill="1" applyBorder="1" applyAlignment="1">
      <alignment horizontal="left" vertical="center" wrapText="1"/>
    </xf>
    <xf numFmtId="0" fontId="25" fillId="12" borderId="8" xfId="0" applyFont="1" applyFill="1" applyBorder="1" applyAlignment="1">
      <alignment horizontal="left" vertical="center" wrapText="1"/>
    </xf>
    <xf numFmtId="0" fontId="25" fillId="12" borderId="9" xfId="0" applyFont="1" applyFill="1" applyBorder="1" applyAlignment="1">
      <alignment horizontal="left" vertical="center" wrapText="1"/>
    </xf>
    <xf numFmtId="0" fontId="25" fillId="0" borderId="7"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5" fillId="0" borderId="7" xfId="0" applyFont="1" applyBorder="1" applyAlignment="1" applyProtection="1">
      <alignment horizontal="justify" vertical="center" wrapText="1"/>
      <protection locked="0"/>
    </xf>
    <xf numFmtId="0" fontId="29" fillId="0" borderId="8" xfId="0" applyFont="1" applyBorder="1" applyAlignment="1" applyProtection="1">
      <alignment horizontal="justify" vertical="center" wrapText="1"/>
      <protection locked="0"/>
    </xf>
    <xf numFmtId="0" fontId="29" fillId="0" borderId="9" xfId="0" applyFont="1" applyBorder="1" applyAlignment="1" applyProtection="1">
      <alignment horizontal="justify" vertical="center" wrapText="1"/>
      <protection locked="0"/>
    </xf>
    <xf numFmtId="0" fontId="28" fillId="0" borderId="7" xfId="0" applyFont="1" applyBorder="1" applyAlignment="1">
      <alignment vertical="center" wrapText="1"/>
    </xf>
    <xf numFmtId="0" fontId="28" fillId="0" borderId="8" xfId="0" applyFont="1" applyBorder="1" applyAlignment="1">
      <alignment vertical="center" wrapText="1"/>
    </xf>
    <xf numFmtId="0" fontId="25" fillId="0" borderId="8" xfId="0" applyFont="1" applyBorder="1" applyAlignment="1">
      <alignment horizontal="justify" vertical="center" wrapText="1"/>
    </xf>
    <xf numFmtId="0" fontId="29" fillId="0" borderId="8" xfId="0" applyFont="1" applyBorder="1" applyAlignment="1">
      <alignment horizontal="justify" vertical="center" wrapText="1"/>
    </xf>
    <xf numFmtId="0" fontId="25" fillId="0" borderId="9" xfId="0" applyFont="1" applyBorder="1" applyAlignment="1">
      <alignment horizontal="justify" vertical="center" wrapText="1"/>
    </xf>
    <xf numFmtId="0" fontId="25" fillId="0" borderId="7" xfId="0" applyFont="1" applyBorder="1" applyAlignment="1">
      <alignment horizontal="justify" vertical="center" wrapText="1"/>
    </xf>
    <xf numFmtId="167" fontId="38" fillId="0" borderId="0" xfId="61" applyFont="1" applyFill="1" applyAlignment="1" applyProtection="1">
      <alignment vertical="center"/>
    </xf>
    <xf numFmtId="167" fontId="39" fillId="0" borderId="0" xfId="0" applyNumberFormat="1" applyFont="1" applyAlignment="1" applyProtection="1">
      <alignment horizontal="right"/>
    </xf>
    <xf numFmtId="167" fontId="0" fillId="0" borderId="10" xfId="0" applyNumberFormat="1" applyFont="1" applyBorder="1" applyAlignment="1" applyProtection="1">
      <alignment horizontal="center"/>
      <protection locked="0"/>
    </xf>
    <xf numFmtId="167" fontId="39" fillId="0" borderId="0" xfId="0" applyNumberFormat="1" applyFont="1" applyBorder="1" applyAlignment="1" applyProtection="1">
      <alignment horizontal="right"/>
    </xf>
    <xf numFmtId="0" fontId="39" fillId="0" borderId="0" xfId="0" applyFont="1" applyAlignment="1" applyProtection="1">
      <alignment horizontal="right"/>
    </xf>
    <xf numFmtId="0" fontId="39" fillId="0" borderId="0" xfId="0" applyFont="1" applyProtection="1"/>
    <xf numFmtId="49" fontId="39" fillId="0" borderId="0" xfId="0" applyNumberFormat="1" applyFont="1" applyAlignment="1" applyProtection="1">
      <alignment horizontal="right"/>
    </xf>
    <xf numFmtId="0" fontId="39" fillId="0" borderId="0" xfId="0" applyFont="1" applyBorder="1" applyProtection="1"/>
    <xf numFmtId="169" fontId="0" fillId="0" borderId="0" xfId="0" applyNumberFormat="1" applyProtection="1"/>
    <xf numFmtId="169" fontId="0" fillId="0" borderId="10" xfId="95" applyNumberFormat="1" applyFont="1" applyFill="1" applyBorder="1" applyAlignment="1" applyProtection="1">
      <alignment horizontal="center"/>
      <protection locked="0"/>
    </xf>
    <xf numFmtId="167" fontId="39" fillId="0" borderId="11" xfId="0" applyNumberFormat="1" applyFont="1" applyBorder="1" applyAlignment="1" applyProtection="1">
      <alignment horizontal="right"/>
    </xf>
    <xf numFmtId="0" fontId="0" fillId="0" borderId="0" xfId="0" applyBorder="1" applyAlignment="1" applyProtection="1"/>
    <xf numFmtId="167" fontId="39" fillId="0" borderId="0" xfId="0" applyNumberFormat="1" applyFont="1" applyProtection="1"/>
    <xf numFmtId="0" fontId="0" fillId="0" borderId="0" xfId="0" applyAlignment="1" applyProtection="1"/>
    <xf numFmtId="0" fontId="0" fillId="3" borderId="10" xfId="0" applyFill="1" applyBorder="1" applyProtection="1"/>
    <xf numFmtId="0" fontId="0" fillId="13" borderId="10" xfId="0" applyFill="1" applyBorder="1" applyProtection="1"/>
    <xf numFmtId="0" fontId="0" fillId="0" borderId="0" xfId="0" applyFill="1" applyBorder="1"/>
    <xf numFmtId="167" fontId="41" fillId="0" borderId="12" xfId="101" applyNumberFormat="1" applyFont="1" applyFill="1" applyBorder="1" applyAlignment="1" applyProtection="1"/>
    <xf numFmtId="167" fontId="107" fillId="0" borderId="12" xfId="101" applyNumberFormat="1" applyFill="1" applyBorder="1" applyAlignment="1" applyProtection="1">
      <alignment vertical="center"/>
    </xf>
    <xf numFmtId="167" fontId="42" fillId="0" borderId="12" xfId="101" applyNumberFormat="1" applyFont="1" applyFill="1" applyBorder="1" applyAlignment="1" applyProtection="1">
      <alignment horizontal="left" vertical="center"/>
    </xf>
    <xf numFmtId="167" fontId="107" fillId="3" borderId="13" xfId="101" applyNumberFormat="1" applyFill="1" applyBorder="1" applyAlignment="1" applyProtection="1">
      <alignment vertical="center"/>
    </xf>
    <xf numFmtId="167" fontId="43" fillId="0" borderId="0" xfId="101" applyNumberFormat="1" applyFont="1" applyFill="1" applyBorder="1" applyAlignment="1" applyProtection="1">
      <alignment vertical="center"/>
      <protection locked="0"/>
    </xf>
    <xf numFmtId="167" fontId="23" fillId="0" borderId="10" xfId="0" applyNumberFormat="1" applyFont="1" applyBorder="1" applyAlignment="1" applyProtection="1">
      <alignment horizontal="center"/>
      <protection locked="0"/>
    </xf>
    <xf numFmtId="167" fontId="107" fillId="0" borderId="0" xfId="101" applyNumberFormat="1" applyFill="1" applyBorder="1" applyAlignment="1" applyProtection="1">
      <alignment vertical="center"/>
    </xf>
    <xf numFmtId="167" fontId="0" fillId="0" borderId="0" xfId="101" applyNumberFormat="1" applyFont="1" applyFill="1" applyBorder="1" applyAlignment="1" applyProtection="1">
      <alignment vertical="center"/>
    </xf>
    <xf numFmtId="167" fontId="107" fillId="0" borderId="0" xfId="101" applyNumberFormat="1" applyFill="1" applyBorder="1" applyAlignment="1" applyProtection="1">
      <alignment vertical="center"/>
      <protection locked="0"/>
    </xf>
    <xf numFmtId="167" fontId="41" fillId="0" borderId="0" xfId="101" applyNumberFormat="1" applyFont="1" applyFill="1" applyBorder="1" applyAlignment="1" applyProtection="1"/>
    <xf numFmtId="170" fontId="2" fillId="2" borderId="0" xfId="0" applyNumberFormat="1" applyFont="1" applyFill="1"/>
    <xf numFmtId="171" fontId="2" fillId="2" borderId="0" xfId="0" applyNumberFormat="1" applyFont="1" applyFill="1"/>
    <xf numFmtId="0" fontId="2" fillId="2" borderId="0" xfId="0" applyFont="1" applyFill="1"/>
    <xf numFmtId="167" fontId="44" fillId="0" borderId="14" xfId="0" applyNumberFormat="1" applyFont="1" applyBorder="1" applyAlignment="1" applyProtection="1">
      <alignment horizontal="left"/>
    </xf>
    <xf numFmtId="170" fontId="44" fillId="10" borderId="15" xfId="0" applyNumberFormat="1" applyFont="1" applyFill="1" applyBorder="1" applyAlignment="1" applyProtection="1">
      <alignment horizontal="center"/>
      <protection locked="0"/>
    </xf>
    <xf numFmtId="169" fontId="36" fillId="0" borderId="16" xfId="0" applyNumberFormat="1" applyFont="1" applyBorder="1" applyAlignment="1" applyProtection="1">
      <alignment horizontal="left"/>
    </xf>
    <xf numFmtId="172" fontId="36" fillId="3" borderId="15" xfId="0" applyNumberFormat="1" applyFont="1" applyFill="1" applyBorder="1" applyAlignment="1" applyProtection="1">
      <protection locked="0"/>
    </xf>
    <xf numFmtId="0" fontId="36" fillId="0" borderId="14" xfId="0" applyFont="1" applyBorder="1" applyAlignment="1" applyProtection="1">
      <alignment horizontal="left"/>
    </xf>
    <xf numFmtId="169" fontId="36" fillId="0" borderId="17" xfId="0" applyNumberFormat="1" applyFont="1" applyBorder="1" applyAlignment="1" applyProtection="1">
      <alignment horizontal="left"/>
    </xf>
    <xf numFmtId="172" fontId="36" fillId="0" borderId="10" xfId="0" applyNumberFormat="1" applyFont="1" applyFill="1" applyBorder="1" applyAlignment="1" applyProtection="1"/>
    <xf numFmtId="169" fontId="36" fillId="0" borderId="18" xfId="0" applyNumberFormat="1" applyFont="1" applyBorder="1" applyAlignment="1" applyProtection="1">
      <alignment horizontal="left"/>
    </xf>
    <xf numFmtId="172" fontId="36" fillId="0" borderId="19" xfId="0" applyNumberFormat="1" applyFont="1" applyFill="1" applyBorder="1" applyAlignment="1" applyProtection="1"/>
    <xf numFmtId="9" fontId="2" fillId="0" borderId="0" xfId="80" applyFont="1" applyFill="1" applyBorder="1" applyAlignment="1" applyProtection="1"/>
    <xf numFmtId="170" fontId="2" fillId="2" borderId="0" xfId="0" applyNumberFormat="1" applyFont="1" applyFill="1" applyProtection="1"/>
    <xf numFmtId="49" fontId="0" fillId="0" borderId="0" xfId="0" applyNumberFormat="1" applyProtection="1"/>
    <xf numFmtId="171" fontId="0" fillId="0" borderId="0" xfId="0" applyNumberFormat="1" applyProtection="1"/>
    <xf numFmtId="170" fontId="44" fillId="0" borderId="0" xfId="0" applyNumberFormat="1" applyFont="1" applyFill="1" applyBorder="1" applyAlignment="1">
      <alignment horizontal="center"/>
    </xf>
    <xf numFmtId="167" fontId="36" fillId="0" borderId="0" xfId="0" applyNumberFormat="1" applyFont="1" applyFill="1" applyBorder="1" applyAlignment="1"/>
    <xf numFmtId="167" fontId="45" fillId="0" borderId="20" xfId="0" applyNumberFormat="1" applyFont="1" applyFill="1" applyBorder="1" applyAlignment="1" applyProtection="1">
      <alignment vertical="center" wrapText="1"/>
    </xf>
    <xf numFmtId="0" fontId="45" fillId="0" borderId="21" xfId="0" applyNumberFormat="1" applyFont="1" applyFill="1" applyBorder="1" applyAlignment="1" applyProtection="1">
      <alignment horizontal="center" vertical="center" wrapText="1"/>
    </xf>
    <xf numFmtId="0" fontId="45" fillId="0" borderId="22"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46" fillId="0" borderId="0" xfId="0" applyFont="1" applyFill="1" applyBorder="1" applyAlignment="1" applyProtection="1">
      <alignment horizontal="center"/>
    </xf>
    <xf numFmtId="0" fontId="46" fillId="0" borderId="0" xfId="0" applyFont="1" applyFill="1" applyBorder="1" applyAlignment="1">
      <alignment horizontal="center"/>
    </xf>
    <xf numFmtId="167" fontId="46" fillId="0" borderId="23" xfId="0" applyNumberFormat="1" applyFont="1" applyFill="1" applyBorder="1" applyAlignment="1" applyProtection="1">
      <alignment wrapText="1"/>
      <protection locked="0"/>
    </xf>
    <xf numFmtId="173" fontId="0" fillId="3" borderId="24" xfId="57" applyNumberFormat="1" applyFont="1" applyFill="1" applyBorder="1" applyAlignment="1" applyProtection="1">
      <protection locked="0"/>
    </xf>
    <xf numFmtId="173" fontId="0" fillId="3" borderId="25" xfId="57" applyNumberFormat="1" applyFont="1" applyFill="1" applyBorder="1" applyAlignment="1" applyProtection="1">
      <protection locked="0"/>
    </xf>
    <xf numFmtId="174" fontId="0" fillId="0" borderId="0" xfId="0" applyNumberFormat="1" applyFill="1" applyBorder="1" applyProtection="1">
      <protection locked="0"/>
    </xf>
    <xf numFmtId="174" fontId="0" fillId="0" borderId="0" xfId="0" applyNumberFormat="1" applyProtection="1"/>
    <xf numFmtId="0" fontId="0" fillId="0" borderId="0" xfId="0" applyFill="1" applyBorder="1" applyAlignment="1" applyProtection="1">
      <alignment horizontal="center"/>
    </xf>
    <xf numFmtId="0" fontId="0" fillId="0" borderId="0" xfId="0" applyFill="1" applyBorder="1" applyAlignment="1">
      <alignment horizontal="center"/>
    </xf>
    <xf numFmtId="0" fontId="0" fillId="0" borderId="0" xfId="0" applyFill="1" applyBorder="1" applyProtection="1"/>
    <xf numFmtId="167" fontId="46" fillId="0" borderId="23" xfId="0" applyNumberFormat="1" applyFont="1" applyFill="1" applyBorder="1" applyAlignment="1" applyProtection="1">
      <protection locked="0"/>
    </xf>
    <xf numFmtId="0" fontId="0" fillId="0" borderId="0" xfId="0" applyNumberFormat="1" applyFill="1" applyBorder="1" applyProtection="1">
      <protection locked="0"/>
    </xf>
    <xf numFmtId="175" fontId="0" fillId="0" borderId="0" xfId="0" applyNumberFormat="1" applyFill="1" applyBorder="1" applyProtection="1">
      <protection locked="0"/>
    </xf>
    <xf numFmtId="0" fontId="0" fillId="0" borderId="0" xfId="0" applyFill="1" applyBorder="1" applyProtection="1">
      <protection locked="0"/>
    </xf>
    <xf numFmtId="174" fontId="0" fillId="3" borderId="24" xfId="57" applyNumberFormat="1" applyFont="1" applyFill="1" applyBorder="1" applyAlignment="1" applyProtection="1">
      <protection locked="0"/>
    </xf>
    <xf numFmtId="174" fontId="0" fillId="3" borderId="25" xfId="57" applyNumberFormat="1" applyFont="1" applyFill="1" applyBorder="1" applyAlignment="1" applyProtection="1">
      <protection locked="0"/>
    </xf>
    <xf numFmtId="172" fontId="0" fillId="0" borderId="0" xfId="0" applyNumberFormat="1" applyFill="1" applyBorder="1" applyProtection="1">
      <protection locked="0"/>
    </xf>
    <xf numFmtId="49" fontId="46" fillId="0" borderId="23" xfId="0" applyNumberFormat="1" applyFont="1" applyFill="1" applyBorder="1" applyAlignment="1" applyProtection="1">
      <protection locked="0"/>
    </xf>
    <xf numFmtId="0" fontId="46" fillId="0" borderId="23" xfId="0" applyFont="1" applyFill="1" applyBorder="1" applyAlignment="1" applyProtection="1">
      <alignment wrapText="1"/>
      <protection locked="0"/>
    </xf>
    <xf numFmtId="167" fontId="0" fillId="0" borderId="26" xfId="0" applyNumberFormat="1" applyFont="1" applyBorder="1" applyAlignment="1" applyProtection="1"/>
    <xf numFmtId="172" fontId="0" fillId="0" borderId="0" xfId="0" applyNumberFormat="1" applyFill="1" applyProtection="1"/>
    <xf numFmtId="172" fontId="0" fillId="0" borderId="0" xfId="0" applyNumberFormat="1" applyProtection="1"/>
    <xf numFmtId="172" fontId="2" fillId="2" borderId="0" xfId="0" applyNumberFormat="1" applyFont="1" applyFill="1" applyProtection="1"/>
    <xf numFmtId="172" fontId="10" fillId="0" borderId="0" xfId="0" applyNumberFormat="1" applyFont="1" applyAlignment="1" applyProtection="1">
      <alignment horizontal="right"/>
    </xf>
    <xf numFmtId="0" fontId="48" fillId="0" borderId="0" xfId="0" applyFont="1" applyFill="1" applyBorder="1" applyAlignment="1" applyProtection="1">
      <alignment horizontal="center" vertical="center"/>
    </xf>
    <xf numFmtId="169" fontId="49" fillId="0" borderId="0" xfId="0" applyNumberFormat="1" applyFont="1" applyFill="1" applyBorder="1" applyAlignment="1" applyProtection="1">
      <alignment horizontal="center" vertical="center" wrapText="1"/>
    </xf>
    <xf numFmtId="169" fontId="49"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xf>
    <xf numFmtId="0" fontId="10" fillId="0" borderId="0" xfId="0" applyFont="1" applyFill="1" applyBorder="1" applyAlignment="1" applyProtection="1">
      <protection locked="0"/>
    </xf>
    <xf numFmtId="171" fontId="2" fillId="0" borderId="0" xfId="0" applyNumberFormat="1" applyFont="1" applyFill="1" applyBorder="1" applyAlignment="1" applyProtection="1"/>
    <xf numFmtId="171" fontId="10" fillId="0" borderId="0" xfId="57" applyNumberFormat="1" applyFont="1" applyFill="1" applyBorder="1" applyAlignment="1" applyProtection="1">
      <protection locked="0"/>
    </xf>
    <xf numFmtId="177" fontId="10" fillId="0" borderId="0" xfId="80" applyNumberFormat="1" applyFont="1" applyFill="1" applyBorder="1" applyAlignment="1" applyProtection="1">
      <alignment horizontal="center"/>
    </xf>
    <xf numFmtId="177" fontId="10" fillId="0" borderId="0" xfId="80" applyNumberFormat="1" applyFont="1" applyFill="1" applyBorder="1" applyAlignment="1" applyProtection="1">
      <alignment horizontal="center"/>
      <protection locked="0"/>
    </xf>
    <xf numFmtId="0" fontId="51" fillId="0" borderId="0" xfId="0" applyFont="1" applyFill="1" applyBorder="1" applyAlignment="1" applyProtection="1">
      <alignment horizontal="left"/>
      <protection locked="0"/>
    </xf>
    <xf numFmtId="0" fontId="10" fillId="0" borderId="0" xfId="0" applyFont="1" applyFill="1" applyBorder="1" applyAlignment="1" applyProtection="1"/>
    <xf numFmtId="169" fontId="46" fillId="0" borderId="27" xfId="0" applyNumberFormat="1" applyFont="1" applyFill="1" applyBorder="1" applyAlignment="1" applyProtection="1"/>
    <xf numFmtId="167" fontId="46" fillId="0" borderId="10" xfId="0" applyNumberFormat="1" applyFont="1" applyFill="1" applyBorder="1" applyAlignment="1" applyProtection="1">
      <alignment horizontal="center"/>
    </xf>
    <xf numFmtId="167" fontId="46" fillId="0" borderId="28" xfId="0" applyNumberFormat="1" applyFont="1" applyFill="1" applyBorder="1" applyAlignment="1" applyProtection="1">
      <alignment horizontal="center"/>
    </xf>
    <xf numFmtId="167" fontId="46" fillId="0" borderId="27" xfId="0" applyNumberFormat="1" applyFont="1" applyFill="1" applyBorder="1" applyProtection="1"/>
    <xf numFmtId="1" fontId="0" fillId="3" borderId="10" xfId="0" applyNumberFormat="1" applyFill="1" applyBorder="1" applyAlignment="1" applyProtection="1">
      <alignment horizontal="center"/>
      <protection locked="0"/>
    </xf>
    <xf numFmtId="1" fontId="0" fillId="3" borderId="28" xfId="0" applyNumberFormat="1" applyFill="1" applyBorder="1" applyAlignment="1" applyProtection="1">
      <alignment horizontal="center"/>
      <protection locked="0"/>
    </xf>
    <xf numFmtId="167" fontId="46" fillId="0" borderId="29" xfId="0" applyNumberFormat="1" applyFont="1" applyFill="1" applyBorder="1" applyAlignment="1" applyProtection="1"/>
    <xf numFmtId="167" fontId="46" fillId="0" borderId="30" xfId="0" applyNumberFormat="1" applyFont="1" applyFill="1" applyBorder="1" applyProtection="1"/>
    <xf numFmtId="1" fontId="0" fillId="3" borderId="19" xfId="0" applyNumberFormat="1" applyFill="1" applyBorder="1" applyAlignment="1" applyProtection="1">
      <alignment horizontal="center"/>
      <protection locked="0"/>
    </xf>
    <xf numFmtId="1" fontId="0" fillId="3" borderId="31" xfId="0" applyNumberFormat="1" applyFill="1" applyBorder="1" applyAlignment="1" applyProtection="1">
      <alignment horizontal="center"/>
      <protection locked="0"/>
    </xf>
    <xf numFmtId="0" fontId="0" fillId="0" borderId="32" xfId="0" applyBorder="1" applyProtection="1"/>
    <xf numFmtId="167" fontId="52" fillId="0" borderId="32" xfId="101" applyNumberFormat="1" applyFont="1" applyFill="1" applyBorder="1" applyAlignment="1" applyProtection="1"/>
    <xf numFmtId="167" fontId="43" fillId="0" borderId="32" xfId="101" applyNumberFormat="1" applyFont="1" applyFill="1" applyBorder="1" applyAlignment="1" applyProtection="1">
      <alignment vertical="center"/>
    </xf>
    <xf numFmtId="167" fontId="53" fillId="0" borderId="32" xfId="101" applyNumberFormat="1" applyFont="1" applyFill="1" applyBorder="1" applyAlignment="1" applyProtection="1">
      <alignment vertical="center"/>
    </xf>
    <xf numFmtId="167" fontId="43" fillId="0" borderId="32" xfId="101" applyNumberFormat="1" applyFont="1" applyFill="1" applyBorder="1" applyAlignment="1" applyProtection="1">
      <alignment horizontal="center" vertical="center"/>
    </xf>
    <xf numFmtId="167" fontId="43" fillId="13" borderId="33" xfId="101" applyNumberFormat="1" applyFont="1" applyFill="1" applyBorder="1" applyAlignment="1" applyProtection="1">
      <alignment horizontal="center" vertical="center"/>
    </xf>
    <xf numFmtId="167" fontId="43" fillId="0" borderId="34" xfId="101" applyNumberFormat="1" applyFont="1" applyFill="1" applyBorder="1" applyAlignment="1" applyProtection="1">
      <alignment vertical="center"/>
    </xf>
    <xf numFmtId="167" fontId="43" fillId="0" borderId="0" xfId="101" applyNumberFormat="1" applyFont="1" applyFill="1" applyBorder="1" applyAlignment="1" applyProtection="1">
      <alignment horizontal="center" vertical="center"/>
      <protection locked="0"/>
    </xf>
    <xf numFmtId="167" fontId="52" fillId="0" borderId="0" xfId="101" applyNumberFormat="1" applyFont="1" applyFill="1" applyBorder="1" applyAlignment="1" applyProtection="1"/>
    <xf numFmtId="167" fontId="43" fillId="0" borderId="0" xfId="101" applyNumberFormat="1" applyFont="1" applyFill="1" applyBorder="1" applyAlignment="1" applyProtection="1">
      <alignment vertical="center"/>
    </xf>
    <xf numFmtId="167" fontId="54" fillId="0" borderId="0" xfId="101" applyNumberFormat="1" applyFont="1" applyFill="1" applyBorder="1" applyAlignment="1" applyProtection="1">
      <alignment vertical="center"/>
    </xf>
    <xf numFmtId="0" fontId="0" fillId="0" borderId="0" xfId="0" applyBorder="1" applyProtection="1"/>
    <xf numFmtId="0" fontId="14" fillId="0" borderId="0" xfId="0" applyFont="1" applyBorder="1" applyAlignment="1" applyProtection="1">
      <alignment horizontal="center"/>
    </xf>
    <xf numFmtId="167" fontId="14" fillId="0" borderId="35" xfId="0" applyNumberFormat="1" applyFont="1" applyBorder="1" applyAlignment="1" applyProtection="1">
      <alignment horizontal="center"/>
    </xf>
    <xf numFmtId="167" fontId="14" fillId="0" borderId="35" xfId="0" applyNumberFormat="1" applyFont="1" applyBorder="1" applyAlignment="1" applyProtection="1">
      <alignment horizontal="center" wrapText="1"/>
    </xf>
    <xf numFmtId="167" fontId="14" fillId="0" borderId="36" xfId="0" applyNumberFormat="1" applyFont="1" applyBorder="1" applyAlignment="1" applyProtection="1">
      <alignment horizontal="center"/>
    </xf>
    <xf numFmtId="0" fontId="0" fillId="0" borderId="0" xfId="0" applyFont="1" applyFill="1" applyBorder="1" applyAlignment="1" applyProtection="1">
      <alignment horizontal="center"/>
    </xf>
    <xf numFmtId="0" fontId="43" fillId="0" borderId="0" xfId="0" applyFont="1" applyFill="1" applyBorder="1" applyAlignment="1" applyProtection="1">
      <alignment horizontal="center" vertical="center"/>
    </xf>
    <xf numFmtId="167" fontId="0" fillId="0" borderId="37" xfId="0" applyNumberFormat="1" applyFont="1" applyBorder="1" applyAlignment="1" applyProtection="1">
      <alignment horizontal="left"/>
    </xf>
    <xf numFmtId="1" fontId="50" fillId="13" borderId="10" xfId="0" applyNumberFormat="1" applyFont="1" applyFill="1" applyBorder="1" applyAlignment="1" applyProtection="1">
      <alignment horizontal="center"/>
      <protection locked="0"/>
    </xf>
    <xf numFmtId="1" fontId="50" fillId="2" borderId="38" xfId="0" applyNumberFormat="1" applyFont="1" applyFill="1" applyBorder="1" applyAlignment="1" applyProtection="1">
      <alignment horizontal="center"/>
    </xf>
    <xf numFmtId="0" fontId="0" fillId="0" borderId="0" xfId="0" applyFill="1" applyBorder="1" applyAlignment="1" applyProtection="1">
      <alignment horizontal="left" vertical="top"/>
      <protection locked="0"/>
    </xf>
    <xf numFmtId="167" fontId="0" fillId="0" borderId="39" xfId="0" applyNumberFormat="1" applyFont="1" applyBorder="1" applyAlignment="1" applyProtection="1">
      <alignment horizontal="left"/>
    </xf>
    <xf numFmtId="1" fontId="50" fillId="13" borderId="40" xfId="0" applyNumberFormat="1" applyFont="1" applyFill="1" applyBorder="1" applyAlignment="1" applyProtection="1">
      <alignment horizontal="center"/>
      <protection locked="0"/>
    </xf>
    <xf numFmtId="1" fontId="50" fillId="2" borderId="41" xfId="0" applyNumberFormat="1" applyFont="1" applyFill="1" applyBorder="1" applyAlignment="1" applyProtection="1">
      <alignment horizontal="center"/>
    </xf>
    <xf numFmtId="0" fontId="0" fillId="0" borderId="42" xfId="0" applyBorder="1" applyProtection="1"/>
    <xf numFmtId="167" fontId="0" fillId="0" borderId="35" xfId="0" applyNumberFormat="1" applyFont="1" applyBorder="1" applyAlignment="1" applyProtection="1">
      <alignment horizontal="center"/>
    </xf>
    <xf numFmtId="167" fontId="0" fillId="0" borderId="36" xfId="0" applyNumberFormat="1" applyFont="1" applyBorder="1" applyAlignment="1" applyProtection="1">
      <alignment horizontal="center"/>
    </xf>
    <xf numFmtId="0" fontId="0" fillId="13" borderId="40" xfId="0" applyNumberFormat="1" applyFill="1" applyBorder="1" applyAlignment="1" applyProtection="1">
      <alignment horizontal="center"/>
      <protection locked="0"/>
    </xf>
    <xf numFmtId="0" fontId="0" fillId="0" borderId="41" xfId="0" applyNumberFormat="1" applyFill="1" applyBorder="1" applyAlignment="1" applyProtection="1">
      <alignment horizontal="center"/>
    </xf>
    <xf numFmtId="0" fontId="39" fillId="0" borderId="0" xfId="0" applyFont="1" applyFill="1" applyBorder="1" applyAlignment="1" applyProtection="1">
      <alignment horizontal="right"/>
    </xf>
    <xf numFmtId="169" fontId="0" fillId="0" borderId="0" xfId="0" applyNumberFormat="1" applyFont="1" applyFill="1" applyBorder="1" applyAlignment="1" applyProtection="1">
      <alignment horizontal="left"/>
    </xf>
    <xf numFmtId="167" fontId="0" fillId="0" borderId="36" xfId="0" applyNumberFormat="1" applyFont="1" applyBorder="1" applyAlignment="1" applyProtection="1">
      <alignment horizontal="center" wrapText="1"/>
    </xf>
    <xf numFmtId="0" fontId="0" fillId="13" borderId="41" xfId="0" applyNumberFormat="1" applyFill="1" applyBorder="1" applyAlignment="1" applyProtection="1">
      <alignment horizontal="center"/>
      <protection locked="0"/>
    </xf>
    <xf numFmtId="169" fontId="0" fillId="0" borderId="0" xfId="0" applyNumberFormat="1" applyFill="1" applyBorder="1" applyAlignment="1" applyProtection="1">
      <alignment horizontal="center"/>
      <protection locked="0"/>
    </xf>
    <xf numFmtId="167" fontId="44" fillId="0" borderId="35" xfId="0" applyNumberFormat="1" applyFont="1" applyBorder="1" applyAlignment="1" applyProtection="1">
      <alignment horizontal="center"/>
    </xf>
    <xf numFmtId="167" fontId="44" fillId="0" borderId="36" xfId="0" applyNumberFormat="1" applyFont="1" applyBorder="1" applyAlignment="1" applyProtection="1">
      <alignment horizontal="center"/>
    </xf>
    <xf numFmtId="1" fontId="0" fillId="13" borderId="10" xfId="0" applyNumberFormat="1" applyFill="1" applyBorder="1" applyAlignment="1" applyProtection="1">
      <alignment horizontal="center"/>
      <protection locked="0"/>
    </xf>
    <xf numFmtId="1" fontId="0" fillId="0" borderId="38" xfId="0" applyNumberFormat="1" applyFill="1" applyBorder="1" applyAlignment="1" applyProtection="1">
      <alignment horizontal="center"/>
    </xf>
    <xf numFmtId="1" fontId="0" fillId="13" borderId="40" xfId="0" applyNumberFormat="1" applyFill="1" applyBorder="1" applyAlignment="1" applyProtection="1">
      <alignment horizontal="center"/>
      <protection locked="0"/>
    </xf>
    <xf numFmtId="0" fontId="0" fillId="0" borderId="43" xfId="0" applyBorder="1" applyProtection="1"/>
    <xf numFmtId="170" fontId="44" fillId="10" borderId="44" xfId="0" applyNumberFormat="1" applyFont="1" applyFill="1" applyBorder="1" applyAlignment="1" applyProtection="1">
      <alignment horizontal="center"/>
      <protection locked="0"/>
    </xf>
    <xf numFmtId="170" fontId="44" fillId="10" borderId="45" xfId="0" applyNumberFormat="1" applyFont="1" applyFill="1" applyBorder="1" applyAlignment="1" applyProtection="1">
      <alignment horizontal="center"/>
      <protection locked="0"/>
    </xf>
    <xf numFmtId="170" fontId="0" fillId="0" borderId="46" xfId="0" applyNumberFormat="1" applyFont="1" applyFill="1" applyBorder="1" applyAlignment="1" applyProtection="1">
      <alignment horizontal="left"/>
    </xf>
    <xf numFmtId="172" fontId="0" fillId="13" borderId="47" xfId="0" applyNumberFormat="1" applyFill="1" applyBorder="1" applyAlignment="1" applyProtection="1">
      <alignment horizontal="right" wrapText="1"/>
    </xf>
    <xf numFmtId="172" fontId="0" fillId="13" borderId="10" xfId="0" applyNumberFormat="1" applyFill="1" applyBorder="1" applyAlignment="1" applyProtection="1">
      <alignment horizontal="right" wrapText="1"/>
      <protection locked="0"/>
    </xf>
    <xf numFmtId="170" fontId="0" fillId="0" borderId="48" xfId="0" applyNumberFormat="1" applyFont="1" applyBorder="1" applyAlignment="1" applyProtection="1">
      <alignment horizontal="left"/>
    </xf>
    <xf numFmtId="172" fontId="0" fillId="0" borderId="47" xfId="0" applyNumberFormat="1" applyBorder="1" applyAlignment="1" applyProtection="1">
      <alignment horizontal="right" wrapText="1"/>
    </xf>
    <xf numFmtId="172" fontId="0" fillId="0" borderId="10" xfId="0" applyNumberFormat="1" applyBorder="1" applyAlignment="1" applyProtection="1">
      <alignment horizontal="right" wrapText="1"/>
    </xf>
    <xf numFmtId="170" fontId="0" fillId="0" borderId="29" xfId="0" applyNumberFormat="1" applyFont="1" applyBorder="1" applyAlignment="1" applyProtection="1">
      <alignment horizontal="left" wrapText="1"/>
    </xf>
    <xf numFmtId="172" fontId="0" fillId="0" borderId="47" xfId="57" applyNumberFormat="1" applyFont="1" applyFill="1" applyBorder="1" applyAlignment="1" applyProtection="1">
      <alignment horizontal="right"/>
    </xf>
    <xf numFmtId="0" fontId="0" fillId="0" borderId="0" xfId="0" applyFill="1" applyBorder="1" applyAlignment="1" applyProtection="1">
      <alignment horizontal="center" wrapText="1"/>
    </xf>
    <xf numFmtId="167" fontId="0" fillId="0" borderId="0" xfId="57" applyFont="1" applyFill="1" applyBorder="1" applyAlignment="1" applyProtection="1"/>
    <xf numFmtId="167" fontId="0" fillId="0" borderId="0" xfId="0" applyNumberFormat="1" applyFill="1" applyBorder="1" applyProtection="1"/>
    <xf numFmtId="0" fontId="0" fillId="0" borderId="0" xfId="0" applyNumberFormat="1" applyFill="1" applyBorder="1" applyProtection="1"/>
    <xf numFmtId="167" fontId="55" fillId="0" borderId="49" xfId="101" applyNumberFormat="1" applyFont="1" applyFill="1" applyBorder="1" applyAlignment="1" applyProtection="1"/>
    <xf numFmtId="167" fontId="56" fillId="0" borderId="49" xfId="101" applyNumberFormat="1" applyFont="1" applyFill="1" applyBorder="1" applyAlignment="1" applyProtection="1"/>
    <xf numFmtId="167" fontId="43" fillId="0" borderId="49" xfId="101" applyNumberFormat="1" applyFont="1" applyFill="1" applyBorder="1" applyAlignment="1" applyProtection="1">
      <alignment vertical="center"/>
    </xf>
    <xf numFmtId="167" fontId="57" fillId="0" borderId="49" xfId="101" applyNumberFormat="1" applyFont="1" applyFill="1" applyBorder="1" applyAlignment="1" applyProtection="1">
      <alignment vertical="center"/>
    </xf>
    <xf numFmtId="167" fontId="4" fillId="0" borderId="49" xfId="101" applyNumberFormat="1" applyFont="1" applyFill="1" applyBorder="1" applyAlignment="1" applyProtection="1">
      <alignment vertical="center"/>
    </xf>
    <xf numFmtId="0" fontId="0" fillId="0" borderId="49" xfId="0" applyFill="1" applyBorder="1" applyProtection="1"/>
    <xf numFmtId="167" fontId="56" fillId="0" borderId="49" xfId="101" applyNumberFormat="1" applyFont="1" applyFill="1" applyBorder="1" applyAlignment="1" applyProtection="1">
      <alignment vertical="center"/>
    </xf>
    <xf numFmtId="0" fontId="0" fillId="0" borderId="49" xfId="0" applyBorder="1" applyProtection="1"/>
    <xf numFmtId="0" fontId="0" fillId="0" borderId="49" xfId="0" applyBorder="1"/>
    <xf numFmtId="167" fontId="58" fillId="0" borderId="50" xfId="0" applyNumberFormat="1" applyFont="1" applyFill="1" applyBorder="1" applyAlignment="1" applyProtection="1">
      <alignment horizontal="center" vertical="center"/>
    </xf>
    <xf numFmtId="167" fontId="58" fillId="0" borderId="51" xfId="0" applyNumberFormat="1" applyFont="1" applyFill="1" applyBorder="1" applyAlignment="1" applyProtection="1">
      <alignment horizontal="center" vertical="center" wrapText="1"/>
    </xf>
    <xf numFmtId="0" fontId="9" fillId="0" borderId="52" xfId="0" applyFont="1" applyFill="1" applyBorder="1" applyAlignment="1" applyProtection="1">
      <alignment horizontal="center"/>
    </xf>
    <xf numFmtId="170" fontId="14" fillId="10" borderId="53" xfId="0" applyNumberFormat="1" applyFont="1" applyFill="1" applyBorder="1" applyAlignment="1" applyProtection="1">
      <alignment horizontal="center"/>
      <protection locked="0"/>
    </xf>
    <xf numFmtId="167" fontId="58" fillId="0" borderId="54" xfId="0" applyNumberFormat="1" applyFont="1" applyFill="1" applyBorder="1" applyAlignment="1" applyProtection="1">
      <alignment horizontal="center" vertical="center"/>
    </xf>
    <xf numFmtId="0" fontId="58" fillId="0" borderId="55" xfId="0" applyFont="1" applyFill="1" applyBorder="1" applyAlignment="1" applyProtection="1">
      <alignment horizontal="center" vertical="center"/>
    </xf>
    <xf numFmtId="167" fontId="58" fillId="0" borderId="56" xfId="0" applyNumberFormat="1" applyFont="1" applyFill="1" applyBorder="1" applyAlignment="1" applyProtection="1">
      <alignment horizontal="center" vertical="center"/>
    </xf>
    <xf numFmtId="167" fontId="58" fillId="0" borderId="57" xfId="0" applyNumberFormat="1" applyFont="1" applyFill="1" applyBorder="1" applyAlignment="1" applyProtection="1">
      <alignment horizontal="center" vertical="center" wrapText="1"/>
    </xf>
    <xf numFmtId="0" fontId="9" fillId="0" borderId="58" xfId="0" applyFont="1" applyFill="1" applyBorder="1" applyAlignment="1" applyProtection="1">
      <alignment horizontal="center"/>
    </xf>
    <xf numFmtId="172" fontId="9" fillId="12" borderId="47" xfId="0" applyNumberFormat="1" applyFont="1" applyFill="1" applyBorder="1" applyAlignment="1" applyProtection="1">
      <alignment horizontal="center" vertical="center" wrapText="1"/>
    </xf>
    <xf numFmtId="179" fontId="9" fillId="12" borderId="47" xfId="0" applyNumberFormat="1" applyFont="1" applyFill="1" applyBorder="1" applyAlignment="1" applyProtection="1">
      <alignment horizontal="center" vertical="center" wrapText="1"/>
    </xf>
    <xf numFmtId="0" fontId="34" fillId="0" borderId="0" xfId="0" applyFont="1" applyProtection="1"/>
    <xf numFmtId="49" fontId="0" fillId="0" borderId="0" xfId="0" applyNumberFormat="1" applyFont="1" applyProtection="1"/>
    <xf numFmtId="49" fontId="58" fillId="0" borderId="50" xfId="0" applyNumberFormat="1" applyFont="1" applyFill="1" applyBorder="1" applyAlignment="1" applyProtection="1">
      <alignment horizontal="center" vertical="center"/>
    </xf>
    <xf numFmtId="49" fontId="58" fillId="0" borderId="51" xfId="0" applyNumberFormat="1" applyFont="1" applyFill="1" applyBorder="1" applyAlignment="1" applyProtection="1">
      <alignment horizontal="center" vertical="center" wrapText="1"/>
    </xf>
    <xf numFmtId="49" fontId="9" fillId="2" borderId="59" xfId="0" applyNumberFormat="1" applyFont="1" applyFill="1" applyBorder="1" applyProtection="1"/>
    <xf numFmtId="172" fontId="9" fillId="0" borderId="47" xfId="0" applyNumberFormat="1" applyFont="1" applyFill="1" applyBorder="1" applyAlignment="1" applyProtection="1">
      <alignment vertical="center"/>
    </xf>
    <xf numFmtId="172" fontId="9" fillId="0" borderId="10" xfId="0" applyNumberFormat="1" applyFont="1" applyFill="1" applyBorder="1" applyAlignment="1" applyProtection="1">
      <alignment vertical="center"/>
    </xf>
    <xf numFmtId="49" fontId="9" fillId="2" borderId="7" xfId="0" applyNumberFormat="1" applyFont="1" applyFill="1" applyBorder="1" applyProtection="1"/>
    <xf numFmtId="49" fontId="9" fillId="26" borderId="10" xfId="0" applyNumberFormat="1" applyFont="1" applyFill="1" applyBorder="1" applyProtection="1"/>
    <xf numFmtId="172" fontId="9" fillId="26" borderId="10" xfId="0" applyNumberFormat="1" applyFont="1" applyFill="1" applyBorder="1" applyAlignment="1" applyProtection="1">
      <alignment vertical="center"/>
    </xf>
    <xf numFmtId="49" fontId="9" fillId="2" borderId="60" xfId="0" applyNumberFormat="1" applyFont="1" applyFill="1" applyBorder="1" applyProtection="1"/>
    <xf numFmtId="172" fontId="9" fillId="0" borderId="61" xfId="0" applyNumberFormat="1" applyFont="1" applyFill="1" applyBorder="1" applyAlignment="1" applyProtection="1">
      <alignment vertical="center"/>
    </xf>
    <xf numFmtId="167" fontId="60" fillId="0" borderId="0" xfId="61" applyFont="1" applyFill="1" applyAlignment="1" applyProtection="1">
      <alignment vertical="center"/>
    </xf>
    <xf numFmtId="0" fontId="50" fillId="0" borderId="0" xfId="0" applyFont="1" applyProtection="1"/>
    <xf numFmtId="167" fontId="61" fillId="0" borderId="0" xfId="73" applyFont="1" applyFill="1" applyAlignment="1" applyProtection="1">
      <alignment horizontal="right" vertical="center"/>
    </xf>
    <xf numFmtId="0" fontId="2" fillId="0" borderId="0" xfId="0" applyFont="1" applyFill="1" applyBorder="1" applyAlignment="1" applyProtection="1">
      <alignment horizontal="center"/>
    </xf>
    <xf numFmtId="0" fontId="62" fillId="0" borderId="0" xfId="0" applyFont="1" applyFill="1" applyBorder="1" applyAlignment="1" applyProtection="1">
      <alignment horizontal="left"/>
    </xf>
    <xf numFmtId="0" fontId="63" fillId="0" borderId="0" xfId="0" applyFont="1" applyFill="1" applyAlignment="1" applyProtection="1"/>
    <xf numFmtId="0" fontId="2" fillId="0" borderId="0" xfId="0" applyFont="1" applyProtection="1"/>
    <xf numFmtId="167" fontId="64" fillId="0" borderId="0" xfId="73" applyFont="1" applyFill="1" applyAlignment="1" applyProtection="1"/>
    <xf numFmtId="167" fontId="64" fillId="0" borderId="0" xfId="73" applyFont="1" applyFill="1" applyAlignment="1" applyProtection="1">
      <alignment horizontal="center"/>
    </xf>
    <xf numFmtId="167" fontId="64" fillId="0" borderId="0" xfId="73" applyFont="1" applyFill="1" applyAlignment="1" applyProtection="1">
      <alignment horizontal="right"/>
    </xf>
    <xf numFmtId="167" fontId="64" fillId="0" borderId="0" xfId="73" applyFont="1" applyFill="1" applyBorder="1" applyAlignment="1" applyProtection="1">
      <alignment horizontal="center"/>
    </xf>
    <xf numFmtId="167" fontId="107" fillId="0" borderId="0" xfId="72" applyProtection="1"/>
    <xf numFmtId="0" fontId="2" fillId="0" borderId="0" xfId="0" applyFont="1" applyAlignment="1" applyProtection="1">
      <alignment horizontal="left" indent="1"/>
    </xf>
    <xf numFmtId="0" fontId="22" fillId="0" borderId="0" xfId="0" applyFont="1" applyAlignment="1" applyProtection="1">
      <alignment horizontal="left" indent="1"/>
    </xf>
    <xf numFmtId="167" fontId="0" fillId="0" borderId="62" xfId="95" applyNumberFormat="1" applyFont="1" applyFill="1" applyBorder="1" applyAlignment="1" applyProtection="1">
      <alignment horizontal="right"/>
    </xf>
    <xf numFmtId="182" fontId="34" fillId="13" borderId="62" xfId="95" applyNumberFormat="1" applyFont="1" applyFill="1" applyBorder="1" applyAlignment="1" applyProtection="1">
      <alignment horizontal="center" vertical="center"/>
    </xf>
    <xf numFmtId="167" fontId="61" fillId="0" borderId="62" xfId="95" applyNumberFormat="1" applyFont="1" applyFill="1" applyBorder="1" applyAlignment="1" applyProtection="1">
      <alignment horizontal="right"/>
    </xf>
    <xf numFmtId="167" fontId="34" fillId="13" borderId="62" xfId="95" applyNumberFormat="1" applyFont="1" applyFill="1" applyBorder="1" applyAlignment="1" applyProtection="1">
      <alignment horizontal="center" vertical="center"/>
    </xf>
    <xf numFmtId="169" fontId="34" fillId="13" borderId="62" xfId="95" applyNumberFormat="1" applyFont="1" applyFill="1" applyBorder="1" applyAlignment="1" applyProtection="1">
      <alignment horizontal="center" vertical="center"/>
    </xf>
    <xf numFmtId="167" fontId="2" fillId="0" borderId="0" xfId="72" applyFont="1" applyProtection="1"/>
    <xf numFmtId="184" fontId="34" fillId="13" borderId="62" xfId="95" applyNumberFormat="1" applyFont="1" applyFill="1" applyBorder="1" applyAlignment="1" applyProtection="1">
      <alignment horizontal="center"/>
    </xf>
    <xf numFmtId="172" fontId="34" fillId="13" borderId="62" xfId="95" applyNumberFormat="1" applyFont="1" applyFill="1" applyBorder="1" applyAlignment="1" applyProtection="1">
      <alignment horizontal="center"/>
    </xf>
    <xf numFmtId="167" fontId="34" fillId="13" borderId="62" xfId="95" applyNumberFormat="1" applyFont="1" applyFill="1" applyBorder="1" applyAlignment="1" applyProtection="1">
      <alignment horizontal="center"/>
    </xf>
    <xf numFmtId="0" fontId="2" fillId="0" borderId="0" xfId="0" applyFont="1" applyFill="1" applyBorder="1" applyProtection="1"/>
    <xf numFmtId="169" fontId="34" fillId="13" borderId="62" xfId="95" applyNumberFormat="1" applyFont="1" applyFill="1" applyBorder="1" applyAlignment="1" applyProtection="1">
      <alignment horizontal="center"/>
    </xf>
    <xf numFmtId="0" fontId="66" fillId="0" borderId="0" xfId="0" applyFont="1" applyFill="1" applyBorder="1" applyProtection="1"/>
    <xf numFmtId="0" fontId="22" fillId="0" borderId="0" xfId="72" applyNumberFormat="1" applyFont="1" applyBorder="1" applyProtection="1"/>
    <xf numFmtId="167" fontId="67" fillId="0" borderId="0" xfId="72" applyFont="1" applyProtection="1"/>
    <xf numFmtId="167" fontId="2" fillId="0" borderId="0" xfId="74" applyFont="1" applyProtection="1"/>
    <xf numFmtId="167" fontId="67" fillId="0" borderId="0" xfId="74" applyFont="1" applyProtection="1"/>
    <xf numFmtId="167" fontId="19" fillId="0" borderId="0" xfId="61" applyFont="1" applyFill="1" applyAlignment="1">
      <alignment vertical="center"/>
    </xf>
    <xf numFmtId="167" fontId="36" fillId="0" borderId="0" xfId="0" applyNumberFormat="1" applyFont="1" applyAlignment="1" applyProtection="1">
      <alignment horizontal="right"/>
    </xf>
    <xf numFmtId="167" fontId="36" fillId="0" borderId="0" xfId="0" applyNumberFormat="1" applyFont="1" applyBorder="1" applyAlignment="1" applyProtection="1">
      <alignment horizontal="right"/>
    </xf>
    <xf numFmtId="0" fontId="36" fillId="0" borderId="0" xfId="0" applyNumberFormat="1" applyFont="1" applyAlignment="1" applyProtection="1">
      <alignment horizontal="center"/>
    </xf>
    <xf numFmtId="0" fontId="66" fillId="0" borderId="0" xfId="0" applyFont="1"/>
    <xf numFmtId="169" fontId="36" fillId="0" borderId="0" xfId="0" applyNumberFormat="1" applyFont="1" applyAlignment="1" applyProtection="1">
      <alignment horizontal="center"/>
    </xf>
    <xf numFmtId="167" fontId="36" fillId="0" borderId="0" xfId="0" applyNumberFormat="1" applyFont="1" applyProtection="1"/>
    <xf numFmtId="171" fontId="36" fillId="0" borderId="0" xfId="57" applyNumberFormat="1" applyFont="1" applyFill="1" applyBorder="1" applyAlignment="1" applyProtection="1">
      <alignment horizontal="left"/>
    </xf>
    <xf numFmtId="167" fontId="36" fillId="0" borderId="0" xfId="0" applyNumberFormat="1" applyFont="1" applyBorder="1" applyProtection="1"/>
    <xf numFmtId="0" fontId="64" fillId="0" borderId="0" xfId="0" applyFont="1" applyBorder="1" applyAlignment="1" applyProtection="1">
      <alignment horizontal="center"/>
    </xf>
    <xf numFmtId="0" fontId="64" fillId="0" borderId="0" xfId="0" applyFont="1" applyAlignment="1" applyProtection="1">
      <alignment horizontal="center"/>
    </xf>
    <xf numFmtId="169" fontId="36" fillId="0" borderId="0" xfId="0" applyNumberFormat="1" applyFont="1" applyAlignment="1" applyProtection="1">
      <alignment horizontal="right"/>
    </xf>
    <xf numFmtId="169" fontId="36" fillId="0" borderId="0" xfId="0" applyNumberFormat="1" applyFont="1" applyAlignment="1" applyProtection="1">
      <alignment horizontal="left"/>
    </xf>
    <xf numFmtId="167" fontId="69" fillId="0" borderId="0" xfId="0" applyNumberFormat="1" applyFont="1" applyBorder="1" applyProtection="1"/>
    <xf numFmtId="0" fontId="70" fillId="0" borderId="0" xfId="0" applyFont="1" applyBorder="1" applyProtection="1"/>
    <xf numFmtId="0" fontId="2" fillId="0" borderId="0" xfId="0" applyFont="1"/>
    <xf numFmtId="167" fontId="72" fillId="0" borderId="0" xfId="0" applyNumberFormat="1" applyFont="1" applyProtection="1"/>
    <xf numFmtId="0" fontId="0" fillId="0" borderId="0" xfId="0" applyBorder="1" applyAlignment="1">
      <alignment horizontal="left" wrapText="1"/>
    </xf>
    <xf numFmtId="0" fontId="70" fillId="0" borderId="0" xfId="0" applyFont="1" applyFill="1" applyAlignment="1" applyProtection="1">
      <alignment horizontal="left"/>
      <protection locked="0"/>
    </xf>
    <xf numFmtId="0" fontId="70" fillId="0" borderId="0" xfId="0" applyFont="1" applyFill="1" applyBorder="1" applyAlignment="1" applyProtection="1">
      <alignment horizontal="left"/>
      <protection locked="0"/>
    </xf>
    <xf numFmtId="167" fontId="73" fillId="0" borderId="0" xfId="0" applyNumberFormat="1" applyFont="1" applyBorder="1" applyAlignment="1" applyProtection="1">
      <alignment vertical="center" wrapText="1"/>
    </xf>
    <xf numFmtId="167" fontId="73" fillId="0" borderId="43" xfId="0" applyNumberFormat="1" applyFont="1" applyFill="1" applyBorder="1" applyAlignment="1" applyProtection="1">
      <alignment horizontal="center" wrapText="1"/>
    </xf>
    <xf numFmtId="167" fontId="73" fillId="0" borderId="63" xfId="0" applyNumberFormat="1" applyFont="1" applyFill="1" applyBorder="1" applyAlignment="1" applyProtection="1">
      <alignment horizontal="center" wrapText="1"/>
    </xf>
    <xf numFmtId="0" fontId="73" fillId="0" borderId="0" xfId="0" applyFont="1" applyFill="1" applyBorder="1" applyAlignment="1" applyProtection="1">
      <alignment wrapText="1"/>
    </xf>
    <xf numFmtId="0" fontId="69" fillId="0" borderId="29" xfId="0" applyFont="1" applyFill="1" applyBorder="1" applyAlignment="1" applyProtection="1">
      <alignment horizontal="center"/>
    </xf>
    <xf numFmtId="0" fontId="69" fillId="0" borderId="64" xfId="0" applyFont="1" applyFill="1" applyBorder="1" applyAlignment="1" applyProtection="1">
      <alignment horizontal="center"/>
    </xf>
    <xf numFmtId="0" fontId="44" fillId="3" borderId="65" xfId="0" applyFont="1" applyFill="1" applyBorder="1" applyAlignment="1" applyProtection="1">
      <alignment horizontal="center"/>
    </xf>
    <xf numFmtId="0" fontId="70" fillId="0" borderId="0" xfId="0" applyFont="1" applyProtection="1"/>
    <xf numFmtId="167" fontId="0" fillId="0" borderId="0" xfId="0" applyNumberFormat="1"/>
    <xf numFmtId="167" fontId="19" fillId="0" borderId="0" xfId="71" applyFont="1" applyFill="1" applyAlignment="1">
      <alignment vertical="center"/>
    </xf>
    <xf numFmtId="167" fontId="36" fillId="0" borderId="0" xfId="0" applyNumberFormat="1" applyFont="1" applyAlignment="1">
      <alignment horizontal="right"/>
    </xf>
    <xf numFmtId="167" fontId="36" fillId="0" borderId="0" xfId="0" applyNumberFormat="1" applyFont="1"/>
    <xf numFmtId="167" fontId="72" fillId="0" borderId="0" xfId="0" applyNumberFormat="1" applyFont="1"/>
    <xf numFmtId="0" fontId="70" fillId="0" borderId="0" xfId="0" applyFont="1"/>
    <xf numFmtId="0" fontId="0" fillId="0" borderId="0" xfId="0" applyBorder="1" applyAlignment="1">
      <alignment horizontal="left"/>
    </xf>
    <xf numFmtId="185" fontId="0" fillId="0" borderId="0" xfId="0" applyNumberFormat="1"/>
    <xf numFmtId="0" fontId="14" fillId="0" borderId="0" xfId="0" applyFont="1" applyBorder="1" applyAlignment="1">
      <alignment horizontal="center"/>
    </xf>
    <xf numFmtId="186" fontId="107" fillId="0" borderId="0" xfId="95" applyNumberFormat="1" applyFill="1" applyBorder="1" applyAlignment="1" applyProtection="1">
      <alignment horizontal="center"/>
      <protection locked="0"/>
    </xf>
    <xf numFmtId="186" fontId="0" fillId="0" borderId="0" xfId="0" applyNumberFormat="1" applyFill="1"/>
    <xf numFmtId="169" fontId="0"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1" fontId="62" fillId="2" borderId="0" xfId="0" applyNumberFormat="1" applyFont="1" applyFill="1" applyBorder="1" applyAlignment="1">
      <alignment horizontal="center"/>
    </xf>
    <xf numFmtId="0" fontId="0" fillId="0" borderId="0" xfId="0" applyFont="1" applyBorder="1" applyAlignment="1"/>
    <xf numFmtId="0" fontId="0" fillId="0" borderId="0" xfId="0" applyFont="1" applyFill="1" applyBorder="1" applyAlignment="1"/>
    <xf numFmtId="0" fontId="36" fillId="0" borderId="0" xfId="0" applyFont="1" applyFill="1" applyBorder="1" applyAlignment="1" applyProtection="1">
      <alignment wrapText="1"/>
    </xf>
    <xf numFmtId="0" fontId="50" fillId="2" borderId="7" xfId="0" applyFont="1" applyFill="1" applyBorder="1" applyAlignment="1" applyProtection="1"/>
    <xf numFmtId="179" fontId="0" fillId="2" borderId="10" xfId="0" applyNumberFormat="1" applyFill="1" applyBorder="1" applyAlignment="1" applyProtection="1">
      <alignment horizontal="center"/>
    </xf>
    <xf numFmtId="179" fontId="0" fillId="0" borderId="10" xfId="0" applyNumberFormat="1" applyBorder="1" applyAlignment="1" applyProtection="1">
      <alignment horizontal="center"/>
    </xf>
    <xf numFmtId="0" fontId="36" fillId="0" borderId="0" xfId="0" applyFont="1" applyAlignment="1" applyProtection="1">
      <alignment horizontal="center"/>
    </xf>
    <xf numFmtId="167" fontId="36" fillId="0" borderId="0" xfId="0" applyNumberFormat="1" applyFont="1" applyAlignment="1" applyProtection="1"/>
    <xf numFmtId="169" fontId="36" fillId="0" borderId="0" xfId="0" applyNumberFormat="1" applyFont="1"/>
    <xf numFmtId="0" fontId="12" fillId="0" borderId="0" xfId="0" applyFont="1"/>
    <xf numFmtId="0" fontId="2" fillId="0" borderId="0" xfId="0" applyNumberFormat="1" applyFont="1"/>
    <xf numFmtId="167" fontId="14" fillId="0" borderId="0" xfId="0" applyNumberFormat="1" applyFont="1" applyAlignment="1" applyProtection="1">
      <alignment horizontal="center"/>
    </xf>
    <xf numFmtId="167" fontId="0" fillId="0" borderId="0" xfId="0" applyNumberFormat="1" applyAlignment="1" applyProtection="1">
      <alignment horizontal="right"/>
    </xf>
    <xf numFmtId="169" fontId="44" fillId="0" borderId="0" xfId="0" applyNumberFormat="1" applyFont="1" applyAlignment="1" applyProtection="1">
      <alignment horizontal="center"/>
    </xf>
    <xf numFmtId="0" fontId="70" fillId="0" borderId="10" xfId="0" applyFont="1" applyBorder="1" applyAlignment="1" applyProtection="1">
      <alignment horizontal="center" vertical="center" wrapText="1"/>
    </xf>
    <xf numFmtId="172" fontId="2" fillId="2" borderId="66" xfId="0" applyNumberFormat="1" applyFont="1" applyFill="1" applyBorder="1" applyAlignment="1">
      <alignment horizontal="right"/>
    </xf>
    <xf numFmtId="172" fontId="2" fillId="2" borderId="66" xfId="57" applyNumberFormat="1" applyFont="1" applyFill="1" applyBorder="1" applyAlignment="1" applyProtection="1"/>
    <xf numFmtId="9" fontId="2" fillId="2" borderId="66" xfId="80" applyFont="1" applyFill="1" applyBorder="1" applyAlignment="1" applyProtection="1"/>
    <xf numFmtId="9" fontId="2" fillId="2" borderId="66" xfId="80" applyNumberFormat="1" applyFont="1" applyFill="1" applyBorder="1" applyAlignment="1" applyProtection="1"/>
    <xf numFmtId="9" fontId="2" fillId="2" borderId="66" xfId="80" applyFont="1" applyFill="1" applyBorder="1" applyAlignment="1" applyProtection="1">
      <alignment horizontal="center"/>
    </xf>
    <xf numFmtId="172" fontId="2" fillId="0" borderId="0" xfId="0" applyNumberFormat="1" applyFont="1"/>
    <xf numFmtId="172" fontId="2" fillId="2" borderId="66" xfId="0" applyNumberFormat="1" applyFont="1" applyFill="1" applyBorder="1"/>
    <xf numFmtId="167" fontId="2" fillId="0" borderId="0" xfId="0" applyNumberFormat="1" applyFont="1"/>
    <xf numFmtId="0" fontId="46" fillId="0" borderId="0" xfId="0" applyFont="1" applyFill="1" applyBorder="1" applyProtection="1"/>
    <xf numFmtId="0" fontId="77" fillId="0" borderId="0" xfId="0" applyFont="1"/>
    <xf numFmtId="0" fontId="77" fillId="0" borderId="0" xfId="0" applyFont="1" applyAlignment="1">
      <alignment horizontal="right"/>
    </xf>
    <xf numFmtId="0" fontId="77" fillId="0" borderId="0" xfId="0" applyFont="1" applyProtection="1"/>
    <xf numFmtId="0" fontId="77" fillId="0" borderId="0" xfId="0" applyFont="1" applyAlignment="1" applyProtection="1">
      <alignment horizontal="right"/>
    </xf>
    <xf numFmtId="167" fontId="37" fillId="0" borderId="0" xfId="71" applyFont="1" applyFill="1" applyAlignment="1">
      <alignment vertical="center"/>
    </xf>
    <xf numFmtId="0" fontId="77" fillId="0" borderId="0" xfId="0" applyFont="1" applyBorder="1" applyProtection="1"/>
    <xf numFmtId="0" fontId="78" fillId="0" borderId="0" xfId="0" applyFont="1" applyBorder="1" applyAlignment="1" applyProtection="1">
      <alignment horizontal="left" vertical="center"/>
    </xf>
    <xf numFmtId="0" fontId="78" fillId="0" borderId="0" xfId="0" applyFont="1" applyBorder="1" applyAlignment="1" applyProtection="1">
      <alignment horizontal="left"/>
    </xf>
    <xf numFmtId="187" fontId="78" fillId="0" borderId="0" xfId="0" applyNumberFormat="1" applyFont="1" applyBorder="1" applyAlignment="1" applyProtection="1">
      <alignment horizontal="left"/>
    </xf>
    <xf numFmtId="0" fontId="77" fillId="0" borderId="0" xfId="0" applyFont="1" applyBorder="1"/>
    <xf numFmtId="0" fontId="80" fillId="0" borderId="0" xfId="0" applyFont="1" applyProtection="1"/>
    <xf numFmtId="0" fontId="83" fillId="0" borderId="0" xfId="0" applyFont="1" applyFill="1" applyBorder="1" applyAlignment="1" applyProtection="1">
      <alignment horizontal="right"/>
    </xf>
    <xf numFmtId="0" fontId="80" fillId="0" borderId="0" xfId="0" applyFont="1"/>
    <xf numFmtId="0" fontId="58" fillId="0" borderId="67" xfId="0" applyFont="1" applyFill="1" applyBorder="1" applyAlignment="1" applyProtection="1">
      <alignment horizontal="center" vertical="center" wrapText="1"/>
    </xf>
    <xf numFmtId="0" fontId="84" fillId="0" borderId="68" xfId="0" applyNumberFormat="1" applyFont="1" applyFill="1" applyBorder="1" applyAlignment="1" applyProtection="1">
      <alignment horizontal="right"/>
    </xf>
    <xf numFmtId="9" fontId="85" fillId="0" borderId="0" xfId="0" applyNumberFormat="1" applyFont="1" applyFill="1" applyBorder="1" applyAlignment="1" applyProtection="1"/>
    <xf numFmtId="0" fontId="58" fillId="0" borderId="69" xfId="0" applyFont="1" applyFill="1" applyBorder="1" applyAlignment="1" applyProtection="1">
      <alignment horizontal="center"/>
    </xf>
    <xf numFmtId="0" fontId="84" fillId="0" borderId="70" xfId="0" applyNumberFormat="1" applyFont="1" applyFill="1" applyBorder="1" applyAlignment="1" applyProtection="1">
      <alignment horizontal="right"/>
    </xf>
    <xf numFmtId="0" fontId="58" fillId="0" borderId="71" xfId="0" applyFont="1" applyFill="1" applyBorder="1" applyAlignment="1" applyProtection="1">
      <alignment horizontal="center"/>
    </xf>
    <xf numFmtId="0" fontId="84" fillId="0" borderId="72" xfId="0" applyNumberFormat="1" applyFont="1" applyFill="1" applyBorder="1" applyAlignment="1" applyProtection="1">
      <alignment horizontal="right"/>
    </xf>
    <xf numFmtId="0" fontId="86" fillId="0" borderId="0" xfId="0" applyFont="1" applyFill="1" applyBorder="1" applyAlignment="1" applyProtection="1">
      <alignment horizontal="center"/>
    </xf>
    <xf numFmtId="0" fontId="84" fillId="0" borderId="0" xfId="0" applyNumberFormat="1" applyFont="1" applyFill="1" applyBorder="1" applyAlignment="1" applyProtection="1">
      <alignment horizontal="right"/>
    </xf>
    <xf numFmtId="0" fontId="25" fillId="0" borderId="0" xfId="0" applyFont="1" applyFill="1" applyBorder="1" applyAlignment="1" applyProtection="1">
      <alignment horizontal="center" vertical="center"/>
    </xf>
    <xf numFmtId="9" fontId="85" fillId="0" borderId="0" xfId="0" applyNumberFormat="1" applyFont="1" applyFill="1" applyBorder="1" applyAlignment="1" applyProtection="1">
      <alignment horizontal="center"/>
    </xf>
    <xf numFmtId="0" fontId="80" fillId="0" borderId="0" xfId="0" applyFont="1" applyFill="1"/>
    <xf numFmtId="188" fontId="87" fillId="2" borderId="0" xfId="0" applyNumberFormat="1" applyFont="1" applyFill="1" applyBorder="1" applyAlignment="1" applyProtection="1">
      <alignment vertical="center"/>
    </xf>
    <xf numFmtId="0" fontId="84" fillId="2" borderId="0" xfId="0" applyNumberFormat="1" applyFont="1" applyFill="1" applyBorder="1" applyAlignment="1" applyProtection="1">
      <alignment horizontal="right"/>
    </xf>
    <xf numFmtId="0" fontId="25"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179" fontId="87" fillId="2" borderId="0" xfId="80" applyNumberFormat="1" applyFont="1" applyFill="1" applyBorder="1" applyAlignment="1" applyProtection="1">
      <alignment horizontal="right"/>
    </xf>
    <xf numFmtId="9" fontId="89" fillId="2" borderId="0" xfId="0" applyNumberFormat="1" applyFont="1" applyFill="1" applyBorder="1" applyProtection="1"/>
    <xf numFmtId="0" fontId="90" fillId="2" borderId="0" xfId="0" applyFont="1" applyFill="1" applyBorder="1" applyAlignment="1" applyProtection="1">
      <alignment horizontal="center" vertical="center"/>
    </xf>
    <xf numFmtId="9" fontId="89" fillId="2" borderId="0" xfId="0" applyNumberFormat="1" applyFont="1" applyFill="1" applyBorder="1" applyAlignment="1" applyProtection="1">
      <alignment horizontal="left"/>
    </xf>
    <xf numFmtId="0" fontId="70" fillId="0" borderId="0" xfId="0" applyFont="1" applyBorder="1" applyAlignment="1" applyProtection="1">
      <alignment horizontal="center" vertical="center"/>
    </xf>
    <xf numFmtId="0" fontId="87" fillId="2" borderId="0" xfId="0" applyFont="1" applyFill="1" applyBorder="1" applyAlignment="1" applyProtection="1">
      <alignment horizontal="left" vertical="center"/>
    </xf>
    <xf numFmtId="172" fontId="91" fillId="0" borderId="0" xfId="0" applyNumberFormat="1" applyFont="1" applyFill="1" applyBorder="1" applyAlignment="1" applyProtection="1">
      <alignment horizontal="right" vertical="center"/>
    </xf>
    <xf numFmtId="0" fontId="92" fillId="2" borderId="0" xfId="0" applyFont="1" applyFill="1" applyBorder="1" applyAlignment="1" applyProtection="1">
      <alignment horizontal="left" vertical="center"/>
    </xf>
    <xf numFmtId="0" fontId="58" fillId="0" borderId="73" xfId="0" applyNumberFormat="1" applyFont="1" applyFill="1" applyBorder="1" applyAlignment="1" applyProtection="1">
      <alignment horizontal="center"/>
    </xf>
    <xf numFmtId="0" fontId="84" fillId="0" borderId="74" xfId="0" applyNumberFormat="1" applyFont="1" applyFill="1" applyBorder="1" applyAlignment="1" applyProtection="1">
      <alignment horizontal="right"/>
    </xf>
    <xf numFmtId="9" fontId="89" fillId="0" borderId="0" xfId="0" applyNumberFormat="1" applyFont="1" applyFill="1" applyBorder="1" applyProtection="1"/>
    <xf numFmtId="0" fontId="58" fillId="0" borderId="75" xfId="0" applyNumberFormat="1" applyFont="1" applyFill="1" applyBorder="1" applyAlignment="1" applyProtection="1">
      <alignment horizontal="center"/>
    </xf>
    <xf numFmtId="0" fontId="84" fillId="0" borderId="76" xfId="0" applyNumberFormat="1" applyFont="1" applyFill="1" applyBorder="1" applyAlignment="1" applyProtection="1">
      <alignment horizontal="right"/>
    </xf>
    <xf numFmtId="0" fontId="77" fillId="0" borderId="0" xfId="0" applyNumberFormat="1" applyFont="1" applyBorder="1"/>
    <xf numFmtId="0" fontId="58" fillId="0" borderId="75" xfId="0" applyNumberFormat="1" applyFont="1" applyFill="1" applyBorder="1" applyAlignment="1" applyProtection="1">
      <alignment horizontal="center" vertical="center"/>
    </xf>
    <xf numFmtId="0" fontId="58" fillId="0" borderId="77" xfId="0" applyNumberFormat="1" applyFont="1" applyFill="1" applyBorder="1" applyAlignment="1" applyProtection="1">
      <alignment horizontal="center" vertical="center"/>
    </xf>
    <xf numFmtId="0" fontId="84" fillId="0" borderId="78" xfId="0" applyNumberFormat="1" applyFont="1" applyFill="1" applyBorder="1" applyAlignment="1" applyProtection="1">
      <alignment horizontal="right"/>
    </xf>
    <xf numFmtId="0" fontId="94" fillId="0" borderId="0" xfId="0" applyFont="1" applyFill="1" applyBorder="1" applyProtection="1"/>
    <xf numFmtId="0" fontId="95" fillId="0" borderId="0" xfId="0" applyFont="1" applyFill="1" applyBorder="1" applyProtection="1"/>
    <xf numFmtId="0" fontId="96" fillId="0" borderId="0" xfId="0" applyFont="1" applyFill="1" applyBorder="1" applyAlignment="1" applyProtection="1">
      <alignment horizontal="center" vertical="center"/>
    </xf>
    <xf numFmtId="0" fontId="97" fillId="0" borderId="0" xfId="0" applyFont="1" applyFill="1" applyBorder="1" applyAlignment="1" applyProtection="1">
      <alignment horizontal="center" vertical="center"/>
    </xf>
    <xf numFmtId="0" fontId="97" fillId="0" borderId="0" xfId="0" applyFont="1" applyFill="1" applyBorder="1" applyAlignment="1" applyProtection="1">
      <alignment horizontal="right" vertical="center" indent="1"/>
    </xf>
    <xf numFmtId="0" fontId="98" fillId="0" borderId="0" xfId="0" applyFont="1" applyFill="1" applyBorder="1" applyAlignment="1" applyProtection="1">
      <alignment horizontal="center"/>
    </xf>
    <xf numFmtId="0" fontId="99" fillId="0" borderId="79" xfId="0" applyNumberFormat="1" applyFont="1" applyFill="1" applyBorder="1" applyAlignment="1" applyProtection="1">
      <alignment horizontal="center" vertical="center"/>
    </xf>
    <xf numFmtId="0" fontId="70" fillId="0" borderId="80" xfId="0" applyNumberFormat="1" applyFont="1" applyFill="1" applyBorder="1" applyAlignment="1" applyProtection="1">
      <alignment vertical="center"/>
    </xf>
    <xf numFmtId="0" fontId="99" fillId="0" borderId="81" xfId="0" applyNumberFormat="1" applyFont="1" applyFill="1" applyBorder="1" applyAlignment="1" applyProtection="1">
      <alignment horizontal="center" vertical="center"/>
    </xf>
    <xf numFmtId="0" fontId="70" fillId="0" borderId="82" xfId="0" applyNumberFormat="1" applyFont="1" applyFill="1" applyBorder="1" applyAlignment="1" applyProtection="1">
      <alignment vertical="center"/>
    </xf>
    <xf numFmtId="0" fontId="99" fillId="0" borderId="83" xfId="0" applyNumberFormat="1" applyFont="1" applyFill="1" applyBorder="1" applyAlignment="1" applyProtection="1">
      <alignment horizontal="center" vertical="center"/>
    </xf>
    <xf numFmtId="0" fontId="70" fillId="0" borderId="84" xfId="0" applyNumberFormat="1" applyFont="1" applyFill="1" applyBorder="1" applyAlignment="1" applyProtection="1">
      <alignment vertical="center"/>
    </xf>
    <xf numFmtId="0" fontId="70" fillId="0" borderId="85" xfId="0" applyNumberFormat="1" applyFont="1" applyFill="1" applyBorder="1" applyAlignment="1" applyProtection="1">
      <alignment vertical="center"/>
    </xf>
    <xf numFmtId="169" fontId="0" fillId="0" borderId="0" xfId="0" applyNumberFormat="1"/>
    <xf numFmtId="0" fontId="20" fillId="0" borderId="0" xfId="0" applyFont="1" applyAlignment="1">
      <alignment horizontal="center"/>
    </xf>
    <xf numFmtId="0" fontId="79" fillId="10" borderId="86" xfId="0" applyNumberFormat="1" applyFont="1" applyFill="1" applyBorder="1" applyAlignment="1">
      <alignment vertical="center"/>
    </xf>
    <xf numFmtId="0" fontId="79" fillId="10" borderId="86" xfId="0" applyFont="1" applyFill="1" applyBorder="1" applyAlignment="1">
      <alignment vertical="center"/>
    </xf>
    <xf numFmtId="0" fontId="14" fillId="0" borderId="0" xfId="0" applyFont="1"/>
    <xf numFmtId="0" fontId="46" fillId="0" borderId="0" xfId="0" applyFont="1"/>
    <xf numFmtId="0" fontId="100" fillId="0" borderId="0" xfId="78" applyNumberFormat="1" applyFont="1" applyFill="1" applyBorder="1" applyAlignment="1">
      <alignment horizontal="center" vertical="center" wrapText="1"/>
    </xf>
    <xf numFmtId="0" fontId="100" fillId="8" borderId="87" xfId="78" applyNumberFormat="1" applyFont="1" applyFill="1" applyBorder="1" applyAlignment="1">
      <alignment horizontal="center" vertical="center" wrapText="1"/>
    </xf>
    <xf numFmtId="0" fontId="102" fillId="0" borderId="0" xfId="0" applyNumberFormat="1" applyFont="1" applyAlignment="1"/>
    <xf numFmtId="0" fontId="102" fillId="0" borderId="0" xfId="0" applyFont="1" applyAlignment="1"/>
    <xf numFmtId="0" fontId="102" fillId="0" borderId="0" xfId="0" applyFont="1" applyAlignment="1">
      <alignment horizontal="center"/>
    </xf>
    <xf numFmtId="0" fontId="103" fillId="0" borderId="0" xfId="0" applyFont="1" applyBorder="1"/>
    <xf numFmtId="0" fontId="104" fillId="10" borderId="86" xfId="0" applyFont="1" applyFill="1" applyBorder="1" applyAlignment="1">
      <alignment vertical="center"/>
    </xf>
    <xf numFmtId="0" fontId="45" fillId="0" borderId="0" xfId="0" applyFont="1"/>
    <xf numFmtId="0" fontId="105" fillId="10" borderId="10" xfId="0" applyFont="1" applyFill="1" applyBorder="1" applyAlignment="1" applyProtection="1">
      <alignment horizontal="center"/>
    </xf>
    <xf numFmtId="0" fontId="105" fillId="10" borderId="10" xfId="0" applyFont="1" applyFill="1" applyBorder="1" applyAlignment="1">
      <alignment horizontal="center"/>
    </xf>
    <xf numFmtId="0" fontId="0" fillId="0" borderId="10" xfId="0" applyNumberFormat="1" applyFont="1" applyBorder="1"/>
    <xf numFmtId="0" fontId="0" fillId="0" borderId="10" xfId="0" applyNumberFormat="1" applyFont="1" applyBorder="1" applyAlignment="1">
      <alignment horizontal="center"/>
    </xf>
    <xf numFmtId="0" fontId="67" fillId="0" borderId="10" xfId="0" applyFont="1" applyFill="1" applyBorder="1" applyAlignment="1" applyProtection="1">
      <alignment horizontal="center"/>
    </xf>
    <xf numFmtId="0" fontId="67" fillId="0" borderId="10" xfId="0" applyFont="1" applyBorder="1" applyAlignment="1" applyProtection="1">
      <alignment horizontal="center"/>
    </xf>
    <xf numFmtId="0" fontId="106" fillId="0" borderId="10" xfId="0" applyFont="1" applyBorder="1" applyAlignment="1" applyProtection="1">
      <alignment horizontal="left" indent="1"/>
    </xf>
    <xf numFmtId="0" fontId="0" fillId="0" borderId="10" xfId="0" applyFont="1" applyBorder="1" applyAlignment="1">
      <alignment horizontal="center"/>
    </xf>
    <xf numFmtId="0" fontId="67" fillId="0" borderId="0" xfId="0" applyFont="1" applyFill="1" applyBorder="1" applyAlignment="1" applyProtection="1"/>
    <xf numFmtId="0" fontId="67" fillId="0" borderId="10" xfId="0" applyFont="1" applyFill="1" applyBorder="1" applyProtection="1"/>
    <xf numFmtId="167" fontId="67" fillId="0" borderId="10" xfId="74" applyFont="1" applyBorder="1" applyProtection="1"/>
    <xf numFmtId="0" fontId="0" fillId="0" borderId="10" xfId="0" applyFont="1" applyBorder="1"/>
    <xf numFmtId="0" fontId="0" fillId="0" borderId="10" xfId="0" applyBorder="1"/>
    <xf numFmtId="3" fontId="36" fillId="27" borderId="88" xfId="0" applyNumberFormat="1" applyFont="1" applyFill="1" applyBorder="1" applyAlignment="1" applyProtection="1">
      <protection locked="0"/>
    </xf>
    <xf numFmtId="3" fontId="36" fillId="27" borderId="15" xfId="0" applyNumberFormat="1" applyFont="1" applyFill="1" applyBorder="1" applyAlignment="1" applyProtection="1">
      <protection locked="0"/>
    </xf>
    <xf numFmtId="165" fontId="0" fillId="0" borderId="89" xfId="0" applyNumberFormat="1" applyBorder="1" applyProtection="1"/>
    <xf numFmtId="165" fontId="36" fillId="0" borderId="10" xfId="0" applyNumberFormat="1" applyFont="1" applyFill="1" applyBorder="1" applyAlignment="1" applyProtection="1"/>
    <xf numFmtId="170" fontId="14" fillId="10" borderId="0" xfId="0" applyNumberFormat="1" applyFont="1" applyFill="1" applyBorder="1" applyAlignment="1" applyProtection="1">
      <alignment horizontal="center"/>
      <protection locked="0"/>
    </xf>
    <xf numFmtId="170" fontId="14" fillId="10" borderId="90" xfId="0" applyNumberFormat="1" applyFont="1" applyFill="1" applyBorder="1" applyAlignment="1" applyProtection="1">
      <alignment horizontal="center"/>
      <protection locked="0"/>
    </xf>
    <xf numFmtId="172" fontId="9" fillId="12" borderId="91" xfId="0" applyNumberFormat="1" applyFont="1" applyFill="1" applyBorder="1" applyAlignment="1" applyProtection="1">
      <alignment horizontal="center" vertical="center" wrapText="1"/>
    </xf>
    <xf numFmtId="180" fontId="9" fillId="12" borderId="91" xfId="0" applyNumberFormat="1" applyFont="1" applyFill="1" applyBorder="1" applyAlignment="1" applyProtection="1">
      <alignment horizontal="center" vertical="center" wrapText="1"/>
    </xf>
    <xf numFmtId="172" fontId="9" fillId="12" borderId="91" xfId="0" applyNumberFormat="1" applyFont="1" applyFill="1" applyBorder="1" applyAlignment="1" applyProtection="1">
      <alignment vertical="center"/>
      <protection locked="0"/>
    </xf>
    <xf numFmtId="172" fontId="9" fillId="28" borderId="91" xfId="0" applyNumberFormat="1" applyFont="1" applyFill="1" applyBorder="1" applyAlignment="1" applyProtection="1">
      <alignment vertical="center"/>
      <protection locked="0"/>
    </xf>
    <xf numFmtId="172" fontId="9" fillId="28" borderId="91" xfId="0" applyNumberFormat="1" applyFont="1" applyFill="1" applyBorder="1" applyAlignment="1" applyProtection="1">
      <alignment horizontal="right" vertical="center"/>
      <protection locked="0"/>
    </xf>
    <xf numFmtId="181" fontId="9" fillId="12" borderId="91" xfId="0" applyNumberFormat="1" applyFont="1" applyFill="1" applyBorder="1" applyAlignment="1" applyProtection="1">
      <alignment horizontal="center" vertical="center" wrapText="1"/>
    </xf>
    <xf numFmtId="178" fontId="9" fillId="12" borderId="91" xfId="0" applyNumberFormat="1" applyFont="1" applyFill="1" applyBorder="1" applyAlignment="1" applyProtection="1">
      <alignment horizontal="center" vertical="center" wrapText="1"/>
    </xf>
    <xf numFmtId="49" fontId="9" fillId="0" borderId="91" xfId="0" applyNumberFormat="1" applyFont="1" applyFill="1" applyBorder="1" applyAlignment="1" applyProtection="1">
      <alignment horizontal="left"/>
    </xf>
    <xf numFmtId="49" fontId="9" fillId="29" borderId="91" xfId="0" applyNumberFormat="1" applyFont="1" applyFill="1" applyBorder="1" applyAlignment="1" applyProtection="1">
      <alignment horizontal="left"/>
    </xf>
    <xf numFmtId="4" fontId="9" fillId="30" borderId="91" xfId="0" applyNumberFormat="1" applyFont="1" applyFill="1" applyBorder="1" applyAlignment="1" applyProtection="1">
      <alignment horizontal="center" vertical="center" wrapText="1"/>
    </xf>
    <xf numFmtId="3" fontId="9" fillId="30" borderId="91" xfId="0" applyNumberFormat="1" applyFont="1" applyFill="1" applyBorder="1" applyAlignment="1" applyProtection="1">
      <alignment horizontal="center" vertical="center" wrapText="1"/>
    </xf>
    <xf numFmtId="3" fontId="9" fillId="31" borderId="91" xfId="0" applyNumberFormat="1" applyFont="1" applyFill="1" applyBorder="1" applyAlignment="1" applyProtection="1">
      <alignment horizontal="center" vertical="center" wrapText="1"/>
    </xf>
    <xf numFmtId="178" fontId="36" fillId="0" borderId="10" xfId="0" applyNumberFormat="1" applyFont="1" applyBorder="1" applyAlignment="1" applyProtection="1">
      <alignment horizontal="center" vertical="center" wrapText="1"/>
    </xf>
    <xf numFmtId="167" fontId="69" fillId="12" borderId="0" xfId="0" applyNumberFormat="1" applyFont="1" applyFill="1" applyAlignment="1" applyProtection="1">
      <alignment horizontal="left" vertical="top"/>
      <protection locked="0"/>
    </xf>
    <xf numFmtId="0" fontId="72" fillId="12" borderId="0" xfId="0" applyNumberFormat="1" applyFont="1" applyFill="1" applyAlignment="1" applyProtection="1">
      <alignment horizontal="left" vertical="center"/>
      <protection locked="0"/>
    </xf>
    <xf numFmtId="1" fontId="44" fillId="3" borderId="65" xfId="0" applyNumberFormat="1" applyFont="1" applyFill="1" applyBorder="1" applyAlignment="1" applyProtection="1">
      <alignment horizontal="center"/>
    </xf>
    <xf numFmtId="191" fontId="36" fillId="0" borderId="10" xfId="0" applyNumberFormat="1" applyFont="1" applyBorder="1" applyAlignment="1" applyProtection="1">
      <alignment horizontal="center" vertical="center" wrapText="1"/>
    </xf>
    <xf numFmtId="0" fontId="72" fillId="12" borderId="0" xfId="0" applyNumberFormat="1" applyFont="1" applyFill="1" applyBorder="1" applyAlignment="1" applyProtection="1">
      <alignment horizontal="left" vertical="center"/>
      <protection locked="0"/>
    </xf>
    <xf numFmtId="0" fontId="110" fillId="12" borderId="0" xfId="0" applyNumberFormat="1" applyFont="1" applyFill="1" applyBorder="1" applyAlignment="1" applyProtection="1">
      <alignment horizontal="left" vertical="center"/>
      <protection locked="0"/>
    </xf>
    <xf numFmtId="172" fontId="2" fillId="2" borderId="92" xfId="0" applyNumberFormat="1" applyFont="1" applyFill="1" applyBorder="1" applyAlignment="1">
      <alignment horizontal="right"/>
    </xf>
    <xf numFmtId="0" fontId="2" fillId="2" borderId="92" xfId="0" applyFont="1" applyFill="1" applyBorder="1"/>
    <xf numFmtId="0" fontId="109" fillId="0" borderId="91" xfId="0" applyFont="1" applyBorder="1" applyAlignment="1">
      <alignment wrapText="1"/>
    </xf>
    <xf numFmtId="0" fontId="0" fillId="0" borderId="93" xfId="0" applyBorder="1" applyAlignment="1">
      <alignment vertical="center" wrapText="1"/>
    </xf>
    <xf numFmtId="190" fontId="0" fillId="0" borderId="0" xfId="0" applyNumberFormat="1" applyProtection="1"/>
    <xf numFmtId="0" fontId="50" fillId="0" borderId="0" xfId="0" applyFont="1" applyFill="1" applyBorder="1" applyAlignment="1" applyProtection="1">
      <alignment horizontal="center" wrapText="1"/>
    </xf>
    <xf numFmtId="2" fontId="0" fillId="0" borderId="0" xfId="0" applyNumberFormat="1" applyBorder="1" applyProtection="1"/>
    <xf numFmtId="1" fontId="0" fillId="0" borderId="0" xfId="0" applyNumberFormat="1" applyFill="1" applyBorder="1"/>
    <xf numFmtId="0" fontId="0" fillId="13" borderId="94" xfId="0" applyNumberFormat="1" applyFill="1" applyBorder="1" applyAlignment="1" applyProtection="1">
      <alignment horizontal="center" vertical="center"/>
    </xf>
    <xf numFmtId="0" fontId="0" fillId="13" borderId="95" xfId="0" applyNumberFormat="1" applyFill="1" applyBorder="1" applyAlignment="1" applyProtection="1">
      <alignment horizontal="center" vertical="center"/>
    </xf>
    <xf numFmtId="167" fontId="0" fillId="13" borderId="91" xfId="0" applyNumberFormat="1" applyFont="1" applyFill="1" applyBorder="1" applyAlignment="1" applyProtection="1">
      <alignment wrapText="1"/>
      <protection locked="0"/>
    </xf>
    <xf numFmtId="49" fontId="0" fillId="13" borderId="91" xfId="0" applyNumberFormat="1" applyFont="1" applyFill="1" applyBorder="1" applyAlignment="1" applyProtection="1">
      <alignment horizontal="left" wrapText="1"/>
      <protection locked="0"/>
    </xf>
    <xf numFmtId="49" fontId="0" fillId="13" borderId="91" xfId="0" applyNumberFormat="1" applyFont="1" applyFill="1" applyBorder="1" applyAlignment="1" applyProtection="1">
      <alignment horizontal="left" wrapText="1"/>
    </xf>
    <xf numFmtId="167" fontId="0" fillId="0" borderId="96" xfId="0" applyNumberFormat="1" applyFont="1" applyFill="1" applyBorder="1" applyAlignment="1" applyProtection="1">
      <alignment horizontal="left"/>
    </xf>
    <xf numFmtId="167" fontId="0" fillId="0" borderId="97" xfId="0" applyNumberFormat="1" applyFont="1" applyFill="1" applyBorder="1" applyAlignment="1" applyProtection="1">
      <alignment horizontal="center" wrapText="1"/>
    </xf>
    <xf numFmtId="167" fontId="36" fillId="0" borderId="98" xfId="0" applyNumberFormat="1" applyFont="1" applyBorder="1" applyAlignment="1">
      <alignment horizontal="center" wrapText="1"/>
    </xf>
    <xf numFmtId="167" fontId="0" fillId="0" borderId="98" xfId="0" applyNumberFormat="1" applyFont="1" applyBorder="1" applyAlignment="1">
      <alignment horizontal="center" wrapText="1"/>
    </xf>
    <xf numFmtId="49" fontId="0" fillId="13" borderId="99" xfId="0" applyNumberFormat="1" applyFont="1" applyFill="1" applyBorder="1" applyAlignment="1" applyProtection="1">
      <alignment horizontal="left" wrapText="1"/>
    </xf>
    <xf numFmtId="0" fontId="0" fillId="13" borderId="100" xfId="0" applyNumberFormat="1" applyFill="1" applyBorder="1" applyAlignment="1" applyProtection="1">
      <alignment horizontal="center" vertical="center"/>
    </xf>
    <xf numFmtId="0" fontId="50" fillId="2" borderId="101" xfId="0" applyFont="1" applyFill="1" applyBorder="1" applyAlignment="1" applyProtection="1"/>
    <xf numFmtId="0" fontId="36" fillId="0" borderId="102" xfId="0" applyFont="1" applyFill="1" applyBorder="1" applyAlignment="1" applyProtection="1">
      <alignment horizontal="center" vertical="center" wrapText="1"/>
    </xf>
    <xf numFmtId="0" fontId="36" fillId="0" borderId="103" xfId="0" applyFont="1" applyFill="1" applyBorder="1" applyAlignment="1" applyProtection="1">
      <alignment horizontal="center" vertical="center" wrapText="1"/>
    </xf>
    <xf numFmtId="0" fontId="70" fillId="0" borderId="104" xfId="0" applyFont="1" applyFill="1" applyBorder="1" applyAlignment="1" applyProtection="1">
      <alignment horizontal="center" vertical="center" wrapText="1"/>
    </xf>
    <xf numFmtId="0" fontId="36" fillId="0" borderId="104" xfId="0" applyNumberFormat="1" applyFont="1" applyFill="1" applyBorder="1" applyAlignment="1" applyProtection="1">
      <alignment horizontal="center" vertical="center" wrapText="1"/>
    </xf>
    <xf numFmtId="0" fontId="70" fillId="0" borderId="105" xfId="0" applyNumberFormat="1" applyFont="1" applyFill="1" applyBorder="1" applyAlignment="1" applyProtection="1">
      <alignment horizontal="center" vertical="center" wrapText="1"/>
    </xf>
    <xf numFmtId="0" fontId="50" fillId="2" borderId="106" xfId="0" applyFont="1" applyFill="1" applyBorder="1" applyAlignment="1" applyProtection="1"/>
    <xf numFmtId="179" fontId="2" fillId="32" borderId="107" xfId="0" applyNumberFormat="1" applyFont="1" applyFill="1" applyBorder="1" applyAlignment="1" applyProtection="1">
      <alignment horizontal="center"/>
    </xf>
    <xf numFmtId="167" fontId="50" fillId="0" borderId="0" xfId="0" applyNumberFormat="1" applyFont="1" applyFill="1" applyBorder="1" applyAlignment="1" applyProtection="1"/>
    <xf numFmtId="176" fontId="50" fillId="3" borderId="91" xfId="57" applyNumberFormat="1" applyFont="1" applyFill="1" applyBorder="1" applyAlignment="1" applyProtection="1">
      <protection locked="0"/>
    </xf>
    <xf numFmtId="176" fontId="50" fillId="3" borderId="91" xfId="57" applyNumberFormat="1" applyFont="1" applyFill="1" applyBorder="1" applyAlignment="1" applyProtection="1">
      <alignment horizontal="center" vertical="center"/>
      <protection locked="0"/>
    </xf>
    <xf numFmtId="0" fontId="45" fillId="0" borderId="214" xfId="0" applyFont="1" applyBorder="1" applyAlignment="1" applyProtection="1">
      <alignment vertical="distributed" wrapText="1"/>
    </xf>
    <xf numFmtId="167" fontId="47" fillId="0" borderId="215" xfId="0" applyNumberFormat="1" applyFont="1" applyFill="1" applyBorder="1" applyAlignment="1" applyProtection="1">
      <alignment horizontal="center" vertical="center" wrapText="1"/>
    </xf>
    <xf numFmtId="169" fontId="47" fillId="0" borderId="216" xfId="0" applyNumberFormat="1" applyFont="1" applyFill="1" applyBorder="1" applyAlignment="1" applyProtection="1">
      <alignment horizontal="center" vertical="center" wrapText="1"/>
    </xf>
    <xf numFmtId="167" fontId="10" fillId="0" borderId="217" xfId="0" applyNumberFormat="1" applyFont="1" applyBorder="1" applyAlignment="1" applyProtection="1"/>
    <xf numFmtId="167" fontId="10" fillId="0" borderId="218" xfId="0" applyNumberFormat="1" applyFont="1" applyBorder="1" applyAlignment="1" applyProtection="1"/>
    <xf numFmtId="176" fontId="50" fillId="3" borderId="219" xfId="57" applyNumberFormat="1" applyFont="1" applyFill="1" applyBorder="1" applyAlignment="1" applyProtection="1">
      <protection locked="0"/>
    </xf>
    <xf numFmtId="176" fontId="50" fillId="3" borderId="219" xfId="57" applyNumberFormat="1" applyFont="1" applyFill="1" applyBorder="1" applyAlignment="1" applyProtection="1">
      <alignment horizontal="center" vertical="center"/>
      <protection locked="0"/>
    </xf>
    <xf numFmtId="167" fontId="46" fillId="0" borderId="108" xfId="0" applyNumberFormat="1" applyFont="1" applyFill="1" applyBorder="1" applyProtection="1"/>
    <xf numFmtId="167" fontId="0" fillId="0" borderId="98" xfId="0" applyNumberFormat="1" applyFont="1" applyBorder="1" applyAlignment="1">
      <alignment horizontal="center" vertical="center" wrapText="1"/>
    </xf>
    <xf numFmtId="167" fontId="0" fillId="0" borderId="109" xfId="0" applyNumberFormat="1" applyFont="1" applyFill="1" applyBorder="1" applyAlignment="1" applyProtection="1">
      <alignment horizontal="center" vertical="center" wrapText="1"/>
    </xf>
    <xf numFmtId="171" fontId="50" fillId="0" borderId="0" xfId="0" applyNumberFormat="1" applyFont="1" applyFill="1" applyBorder="1" applyAlignment="1" applyProtection="1"/>
    <xf numFmtId="49" fontId="50" fillId="2" borderId="101" xfId="0" applyNumberFormat="1" applyFont="1" applyFill="1" applyBorder="1" applyAlignment="1" applyProtection="1"/>
    <xf numFmtId="1" fontId="0" fillId="13" borderId="94" xfId="0" applyNumberFormat="1" applyFill="1" applyBorder="1" applyAlignment="1" applyProtection="1">
      <alignment horizontal="center" vertical="center"/>
    </xf>
    <xf numFmtId="167" fontId="0" fillId="0" borderId="97" xfId="0" applyNumberFormat="1" applyFont="1" applyBorder="1" applyAlignment="1">
      <alignment horizontal="center" wrapText="1"/>
    </xf>
    <xf numFmtId="0" fontId="50" fillId="2" borderId="110" xfId="0" applyFont="1" applyFill="1" applyBorder="1" applyAlignment="1" applyProtection="1"/>
    <xf numFmtId="0" fontId="113" fillId="0" borderId="0" xfId="0" applyFont="1" applyProtection="1"/>
    <xf numFmtId="167" fontId="10" fillId="0" borderId="220" xfId="0" applyNumberFormat="1" applyFont="1" applyBorder="1" applyAlignment="1" applyProtection="1"/>
    <xf numFmtId="176" fontId="50" fillId="3" borderId="111" xfId="57" applyNumberFormat="1" applyFont="1" applyFill="1" applyBorder="1" applyAlignment="1" applyProtection="1">
      <protection locked="0"/>
    </xf>
    <xf numFmtId="176" fontId="50" fillId="3" borderId="111" xfId="57" applyNumberFormat="1" applyFont="1" applyFill="1" applyBorder="1" applyAlignment="1" applyProtection="1">
      <alignment horizontal="center" vertical="center"/>
      <protection locked="0"/>
    </xf>
    <xf numFmtId="0" fontId="50" fillId="0" borderId="91" xfId="0" applyFont="1" applyBorder="1" applyAlignment="1">
      <alignment horizontal="center" wrapText="1"/>
    </xf>
    <xf numFmtId="3" fontId="50" fillId="13" borderId="94" xfId="0" applyNumberFormat="1" applyFont="1" applyFill="1" applyBorder="1" applyAlignment="1" applyProtection="1">
      <alignment horizontal="center" vertical="center"/>
    </xf>
    <xf numFmtId="2" fontId="50" fillId="0" borderId="10" xfId="0" applyNumberFormat="1" applyFont="1" applyFill="1" applyBorder="1" applyAlignment="1" applyProtection="1">
      <alignment horizontal="center" vertical="center"/>
    </xf>
    <xf numFmtId="0" fontId="50" fillId="13" borderId="47" xfId="0" applyNumberFormat="1" applyFont="1" applyFill="1" applyBorder="1" applyAlignment="1" applyProtection="1">
      <alignment horizontal="center" vertical="center"/>
    </xf>
    <xf numFmtId="179" fontId="50" fillId="0" borderId="112" xfId="0" applyNumberFormat="1" applyFont="1" applyFill="1" applyBorder="1" applyAlignment="1" applyProtection="1">
      <alignment horizontal="center" vertical="center"/>
    </xf>
    <xf numFmtId="1" fontId="50" fillId="0" borderId="91" xfId="0" applyNumberFormat="1" applyFont="1" applyFill="1" applyBorder="1" applyAlignment="1" applyProtection="1">
      <alignment horizontal="center" vertical="center"/>
    </xf>
    <xf numFmtId="0" fontId="50" fillId="0" borderId="99" xfId="0" applyFont="1" applyBorder="1" applyAlignment="1">
      <alignment horizontal="center" wrapText="1"/>
    </xf>
    <xf numFmtId="178" fontId="114" fillId="13" borderId="113" xfId="0" applyNumberFormat="1" applyFont="1" applyFill="1" applyBorder="1" applyAlignment="1" applyProtection="1">
      <alignment horizontal="center" vertical="center"/>
    </xf>
    <xf numFmtId="178" fontId="114" fillId="13" borderId="114" xfId="0" applyNumberFormat="1" applyFont="1" applyFill="1" applyBorder="1" applyAlignment="1" applyProtection="1">
      <alignment horizontal="center" vertical="center"/>
    </xf>
    <xf numFmtId="3" fontId="0" fillId="0" borderId="0" xfId="0" applyNumberFormat="1" applyProtection="1"/>
    <xf numFmtId="43" fontId="0" fillId="0" borderId="0" xfId="0" applyNumberFormat="1" applyProtection="1"/>
    <xf numFmtId="176" fontId="50" fillId="0" borderId="0" xfId="57" applyNumberFormat="1" applyFont="1" applyFill="1" applyBorder="1" applyAlignment="1" applyProtection="1">
      <alignment horizontal="center" vertical="center"/>
      <protection locked="0"/>
    </xf>
    <xf numFmtId="193" fontId="1" fillId="0" borderId="221" xfId="59" applyNumberFormat="1" applyFill="1" applyBorder="1" applyAlignment="1" applyProtection="1"/>
    <xf numFmtId="193" fontId="1" fillId="0" borderId="222" xfId="59" applyNumberFormat="1" applyFill="1" applyBorder="1" applyAlignment="1" applyProtection="1"/>
    <xf numFmtId="193" fontId="0" fillId="0" borderId="0" xfId="0" applyNumberFormat="1" applyProtection="1"/>
    <xf numFmtId="193" fontId="1" fillId="0" borderId="0" xfId="59" applyNumberFormat="1" applyProtection="1"/>
    <xf numFmtId="0" fontId="0" fillId="0" borderId="0" xfId="0" applyFill="1" applyProtection="1"/>
    <xf numFmtId="3" fontId="50" fillId="13" borderId="99" xfId="0" applyNumberFormat="1" applyFont="1" applyFill="1" applyBorder="1" applyAlignment="1" applyProtection="1">
      <alignment vertical="center" wrapText="1"/>
    </xf>
    <xf numFmtId="2" fontId="50" fillId="0" borderId="99" xfId="0" applyNumberFormat="1" applyFont="1" applyFill="1" applyBorder="1" applyAlignment="1" applyProtection="1">
      <alignment vertical="center" wrapText="1"/>
    </xf>
    <xf numFmtId="0" fontId="50" fillId="13" borderId="99" xfId="0" applyNumberFormat="1" applyFont="1" applyFill="1" applyBorder="1" applyAlignment="1" applyProtection="1">
      <alignment vertical="center" wrapText="1"/>
    </xf>
    <xf numFmtId="192" fontId="0" fillId="0" borderId="115" xfId="0" applyNumberFormat="1" applyBorder="1" applyProtection="1"/>
    <xf numFmtId="42" fontId="1" fillId="0" borderId="0" xfId="59" applyNumberFormat="1" applyFill="1" applyBorder="1" applyAlignment="1" applyProtection="1">
      <alignment horizontal="center"/>
    </xf>
    <xf numFmtId="44" fontId="10" fillId="0" borderId="0" xfId="0" applyNumberFormat="1" applyFont="1" applyFill="1" applyBorder="1" applyAlignment="1" applyProtection="1">
      <alignment horizontal="center"/>
    </xf>
    <xf numFmtId="192" fontId="0" fillId="0" borderId="0" xfId="0" applyNumberFormat="1" applyProtection="1"/>
    <xf numFmtId="4" fontId="10" fillId="0" borderId="0" xfId="0" applyNumberFormat="1" applyFont="1" applyFill="1" applyBorder="1" applyAlignment="1" applyProtection="1">
      <alignment horizontal="center"/>
    </xf>
    <xf numFmtId="167" fontId="113" fillId="0" borderId="0" xfId="0" applyNumberFormat="1" applyFont="1" applyFill="1" applyBorder="1" applyAlignment="1" applyProtection="1"/>
    <xf numFmtId="170" fontId="113" fillId="0" borderId="0" xfId="0" applyNumberFormat="1" applyFont="1" applyBorder="1" applyProtection="1"/>
    <xf numFmtId="179" fontId="50" fillId="0" borderId="116" xfId="0" applyNumberFormat="1" applyFont="1" applyFill="1" applyBorder="1" applyAlignment="1" applyProtection="1">
      <alignment vertical="center"/>
    </xf>
    <xf numFmtId="3" fontId="36" fillId="0" borderId="10" xfId="0" applyNumberFormat="1" applyFont="1" applyFill="1" applyBorder="1" applyAlignment="1" applyProtection="1"/>
    <xf numFmtId="9" fontId="76" fillId="36" borderId="10" xfId="80" applyFont="1" applyFill="1" applyBorder="1" applyAlignment="1" applyProtection="1">
      <alignment horizontal="center" vertical="center" wrapText="1"/>
    </xf>
    <xf numFmtId="0" fontId="36" fillId="0" borderId="0" xfId="0" applyFont="1"/>
    <xf numFmtId="167" fontId="118" fillId="0" borderId="0" xfId="61" applyFont="1" applyFill="1" applyAlignment="1">
      <alignment vertical="center"/>
    </xf>
    <xf numFmtId="49" fontId="50" fillId="0" borderId="0" xfId="0" applyNumberFormat="1" applyFont="1" applyFill="1" applyBorder="1" applyAlignment="1" applyProtection="1">
      <alignment wrapText="1"/>
    </xf>
    <xf numFmtId="9" fontId="107" fillId="0" borderId="0" xfId="80" applyFill="1" applyBorder="1" applyProtection="1"/>
    <xf numFmtId="167" fontId="18" fillId="33" borderId="0" xfId="70" applyFont="1" applyFill="1" applyBorder="1" applyAlignment="1">
      <alignment horizontal="center" vertical="center"/>
    </xf>
    <xf numFmtId="167" fontId="20" fillId="0" borderId="0" xfId="0" applyNumberFormat="1" applyFont="1" applyBorder="1" applyAlignment="1">
      <alignment horizontal="center"/>
    </xf>
    <xf numFmtId="167" fontId="28" fillId="0" borderId="10" xfId="0" applyNumberFormat="1" applyFont="1" applyBorder="1" applyAlignment="1">
      <alignment horizontal="justify" vertical="center" wrapText="1"/>
    </xf>
    <xf numFmtId="9" fontId="29" fillId="0" borderId="10" xfId="80" applyFont="1" applyFill="1" applyBorder="1" applyAlignment="1" applyProtection="1">
      <alignment horizontal="justify" vertical="center" wrapText="1"/>
    </xf>
    <xf numFmtId="9" fontId="25" fillId="0" borderId="10" xfId="0" applyNumberFormat="1" applyFont="1" applyBorder="1" applyAlignment="1">
      <alignment horizontal="left" vertical="center" wrapText="1"/>
    </xf>
    <xf numFmtId="167" fontId="18" fillId="25" borderId="0" xfId="69" applyFont="1" applyFill="1" applyBorder="1" applyAlignment="1" applyProtection="1">
      <alignment horizontal="center" vertical="center"/>
    </xf>
    <xf numFmtId="0" fontId="26" fillId="0" borderId="0" xfId="0" applyNumberFormat="1" applyFont="1" applyBorder="1" applyAlignment="1">
      <alignment horizontal="center"/>
    </xf>
    <xf numFmtId="0" fontId="27" fillId="3" borderId="10" xfId="0" applyNumberFormat="1" applyFont="1" applyFill="1" applyBorder="1" applyAlignment="1">
      <alignment horizontal="center"/>
    </xf>
    <xf numFmtId="167" fontId="28" fillId="0" borderId="10" xfId="0" applyNumberFormat="1" applyFont="1" applyBorder="1" applyAlignment="1">
      <alignment horizontal="left" vertical="center" wrapText="1"/>
    </xf>
    <xf numFmtId="0" fontId="29" fillId="0" borderId="10" xfId="0" applyFont="1" applyBorder="1" applyAlignment="1">
      <alignment horizontal="justify" vertical="center" wrapText="1"/>
    </xf>
    <xf numFmtId="0" fontId="25" fillId="0" borderId="10" xfId="0" applyFont="1" applyBorder="1" applyAlignment="1">
      <alignment horizontal="left" vertical="center" wrapText="1"/>
    </xf>
    <xf numFmtId="0" fontId="25" fillId="0" borderId="10" xfId="0" applyNumberFormat="1"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118" xfId="0" applyBorder="1" applyAlignment="1">
      <alignment horizontal="center"/>
    </xf>
    <xf numFmtId="0" fontId="0" fillId="0" borderId="118" xfId="0" applyBorder="1" applyAlignment="1">
      <alignment horizontal="center" wrapText="1"/>
    </xf>
    <xf numFmtId="0" fontId="27" fillId="13" borderId="10" xfId="0" applyNumberFormat="1" applyFont="1" applyFill="1" applyBorder="1" applyAlignment="1">
      <alignment horizontal="center"/>
    </xf>
    <xf numFmtId="0" fontId="25" fillId="0" borderId="10" xfId="0" applyFont="1" applyBorder="1" applyAlignment="1">
      <alignment horizontal="justify" vertical="center" wrapText="1"/>
    </xf>
    <xf numFmtId="0" fontId="25" fillId="0" borderId="117" xfId="0" applyFont="1" applyBorder="1" applyAlignment="1">
      <alignment horizontal="justify" wrapText="1"/>
    </xf>
    <xf numFmtId="0" fontId="29" fillId="0" borderId="58" xfId="0" applyFont="1" applyBorder="1" applyAlignment="1">
      <alignment horizontal="justify" vertical="center" wrapText="1"/>
    </xf>
    <xf numFmtId="0" fontId="25" fillId="0" borderId="10" xfId="0" applyNumberFormat="1" applyFont="1" applyBorder="1" applyAlignment="1">
      <alignment horizontal="justify" vertical="center" wrapText="1"/>
    </xf>
    <xf numFmtId="0" fontId="14" fillId="12" borderId="10" xfId="0" applyNumberFormat="1" applyFont="1" applyFill="1" applyBorder="1" applyAlignment="1">
      <alignment horizontal="center" vertical="center" wrapText="1"/>
    </xf>
    <xf numFmtId="0" fontId="34" fillId="12" borderId="10" xfId="0" applyNumberFormat="1" applyFont="1" applyFill="1" applyBorder="1" applyAlignment="1">
      <alignment horizontal="center" vertical="center"/>
    </xf>
    <xf numFmtId="0" fontId="32" fillId="0" borderId="58" xfId="0" applyNumberFormat="1" applyFont="1" applyBorder="1" applyAlignment="1">
      <alignment horizontal="justify" vertical="center" wrapText="1"/>
    </xf>
    <xf numFmtId="0" fontId="32" fillId="0" borderId="10" xfId="0" applyNumberFormat="1" applyFont="1" applyBorder="1" applyAlignment="1">
      <alignment horizontal="left" vertical="center" wrapText="1"/>
    </xf>
    <xf numFmtId="0" fontId="32" fillId="0" borderId="10" xfId="0" applyNumberFormat="1" applyFont="1" applyBorder="1" applyAlignment="1">
      <alignment horizontal="justify" vertical="center" wrapText="1"/>
    </xf>
    <xf numFmtId="0" fontId="29" fillId="0" borderId="10" xfId="0" applyFont="1" applyBorder="1" applyAlignment="1" applyProtection="1">
      <alignment vertical="center" wrapText="1"/>
      <protection locked="0"/>
    </xf>
    <xf numFmtId="0" fontId="25" fillId="0" borderId="10" xfId="0" applyFont="1" applyBorder="1" applyAlignment="1" applyProtection="1">
      <alignment horizontal="left" vertical="center" wrapText="1"/>
      <protection locked="0"/>
    </xf>
    <xf numFmtId="0" fontId="25" fillId="0" borderId="10" xfId="0" applyFont="1" applyBorder="1" applyAlignment="1" applyProtection="1">
      <alignment horizontal="justify" vertical="center" wrapText="1"/>
      <protection locked="0"/>
    </xf>
    <xf numFmtId="0" fontId="29" fillId="2" borderId="10" xfId="0" applyFont="1" applyFill="1" applyBorder="1" applyAlignment="1" applyProtection="1">
      <alignment vertical="center" wrapText="1"/>
      <protection locked="0"/>
    </xf>
    <xf numFmtId="0" fontId="29" fillId="12" borderId="10" xfId="0" applyFont="1" applyFill="1" applyBorder="1" applyAlignment="1">
      <alignment vertical="center" wrapText="1"/>
    </xf>
    <xf numFmtId="0" fontId="35" fillId="2" borderId="10" xfId="0" applyFont="1" applyFill="1" applyBorder="1" applyAlignment="1" applyProtection="1">
      <alignment vertical="center" wrapText="1"/>
      <protection locked="0"/>
    </xf>
    <xf numFmtId="0" fontId="25" fillId="0" borderId="10" xfId="0" applyNumberFormat="1" applyFont="1" applyBorder="1" applyAlignment="1" applyProtection="1">
      <alignment horizontal="left" vertical="center" wrapText="1"/>
      <protection locked="0"/>
    </xf>
    <xf numFmtId="0" fontId="34"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28" fillId="0" borderId="10" xfId="0" applyFont="1" applyBorder="1" applyAlignment="1" applyProtection="1">
      <alignment vertical="center" wrapText="1"/>
      <protection locked="0"/>
    </xf>
    <xf numFmtId="167" fontId="0" fillId="0" borderId="62" xfId="95" applyNumberFormat="1" applyFont="1" applyFill="1" applyBorder="1" applyAlignment="1" applyProtection="1">
      <alignment horizontal="right"/>
    </xf>
    <xf numFmtId="183" fontId="34" fillId="13" borderId="62" xfId="95" applyNumberFormat="1" applyFont="1" applyFill="1" applyBorder="1" applyAlignment="1" applyProtection="1">
      <alignment horizontal="center" vertical="center"/>
    </xf>
    <xf numFmtId="167" fontId="34" fillId="13" borderId="62" xfId="95" applyNumberFormat="1" applyFont="1" applyFill="1" applyBorder="1" applyAlignment="1" applyProtection="1">
      <alignment horizontal="center"/>
    </xf>
    <xf numFmtId="167" fontId="18" fillId="25" borderId="0" xfId="61" applyFont="1" applyFill="1" applyBorder="1" applyAlignment="1" applyProtection="1">
      <alignment horizontal="center" vertical="center"/>
    </xf>
    <xf numFmtId="167" fontId="20" fillId="13" borderId="0" xfId="73" applyFont="1" applyFill="1" applyBorder="1" applyAlignment="1" applyProtection="1">
      <alignment horizontal="center" vertical="center" wrapText="1"/>
    </xf>
    <xf numFmtId="167" fontId="61" fillId="0" borderId="0" xfId="73" applyFont="1" applyFill="1" applyBorder="1" applyAlignment="1" applyProtection="1">
      <alignment horizontal="right" vertical="center"/>
    </xf>
    <xf numFmtId="167" fontId="34" fillId="13" borderId="0" xfId="73" applyFont="1" applyFill="1" applyBorder="1" applyAlignment="1" applyProtection="1">
      <alignment horizontal="center" vertical="center" wrapText="1"/>
    </xf>
    <xf numFmtId="169" fontId="34" fillId="13" borderId="62" xfId="95" applyNumberFormat="1" applyFont="1" applyFill="1" applyBorder="1" applyAlignment="1" applyProtection="1">
      <alignment horizontal="center"/>
    </xf>
    <xf numFmtId="167" fontId="65" fillId="33" borderId="62" xfId="95" applyNumberFormat="1" applyFont="1" applyFill="1" applyBorder="1" applyAlignment="1" applyProtection="1">
      <alignment horizontal="center"/>
    </xf>
    <xf numFmtId="167" fontId="40" fillId="0" borderId="146" xfId="0" applyNumberFormat="1" applyFont="1" applyBorder="1" applyAlignment="1" applyProtection="1">
      <alignment horizontal="right"/>
    </xf>
    <xf numFmtId="167" fontId="39" fillId="0" borderId="108" xfId="0" applyNumberFormat="1" applyFont="1" applyBorder="1" applyAlignment="1" applyProtection="1">
      <alignment horizontal="right"/>
    </xf>
    <xf numFmtId="49" fontId="14" fillId="0" borderId="10" xfId="0" applyNumberFormat="1" applyFont="1" applyBorder="1" applyAlignment="1" applyProtection="1">
      <alignment horizontal="center"/>
      <protection locked="0"/>
    </xf>
    <xf numFmtId="167" fontId="37" fillId="25" borderId="0" xfId="61" applyFont="1" applyFill="1" applyBorder="1" applyAlignment="1" applyProtection="1">
      <alignment horizontal="center" vertical="center"/>
    </xf>
    <xf numFmtId="0" fontId="0" fillId="0" borderId="155" xfId="0" applyBorder="1" applyAlignment="1" applyProtection="1">
      <alignment horizontal="center"/>
    </xf>
    <xf numFmtId="167" fontId="0" fillId="0" borderId="10" xfId="0" applyNumberFormat="1" applyFont="1" applyBorder="1" applyAlignment="1" applyProtection="1">
      <alignment horizontal="center"/>
      <protection locked="0"/>
    </xf>
    <xf numFmtId="167" fontId="39" fillId="0" borderId="0" xfId="0" applyNumberFormat="1" applyFont="1" applyBorder="1" applyAlignment="1" applyProtection="1">
      <alignment horizontal="right"/>
    </xf>
    <xf numFmtId="49" fontId="36" fillId="0" borderId="47" xfId="0" applyNumberFormat="1" applyFont="1" applyBorder="1" applyAlignment="1" applyProtection="1">
      <alignment horizontal="center" wrapText="1"/>
      <protection locked="0"/>
    </xf>
    <xf numFmtId="169" fontId="0" fillId="0" borderId="10" xfId="95" applyNumberFormat="1" applyFont="1" applyFill="1" applyBorder="1" applyAlignment="1" applyProtection="1">
      <alignment horizontal="center"/>
      <protection locked="0"/>
    </xf>
    <xf numFmtId="167" fontId="39" fillId="0" borderId="146" xfId="0" applyNumberFormat="1" applyFont="1" applyBorder="1" applyAlignment="1" applyProtection="1">
      <alignment horizontal="right"/>
    </xf>
    <xf numFmtId="49" fontId="0" fillId="0" borderId="10" xfId="0" applyNumberFormat="1" applyFont="1" applyBorder="1" applyAlignment="1" applyProtection="1">
      <alignment horizontal="center"/>
      <protection locked="0"/>
    </xf>
    <xf numFmtId="168" fontId="0" fillId="0" borderId="47" xfId="0" applyNumberFormat="1" applyFill="1" applyBorder="1" applyAlignment="1" applyProtection="1">
      <alignment horizontal="center"/>
      <protection locked="0"/>
    </xf>
    <xf numFmtId="167" fontId="2" fillId="22" borderId="10" xfId="95" applyNumberFormat="1" applyFont="1" applyFill="1" applyBorder="1" applyAlignment="1" applyProtection="1">
      <alignment horizontal="center"/>
      <protection locked="0"/>
    </xf>
    <xf numFmtId="167" fontId="39" fillId="0" borderId="11" xfId="0" applyNumberFormat="1" applyFont="1" applyBorder="1" applyAlignment="1" applyProtection="1">
      <alignment horizontal="right"/>
    </xf>
    <xf numFmtId="49" fontId="0" fillId="0" borderId="47" xfId="0" applyNumberFormat="1" applyFont="1" applyBorder="1" applyAlignment="1" applyProtection="1">
      <alignment horizontal="center"/>
      <protection locked="0"/>
    </xf>
    <xf numFmtId="0" fontId="0" fillId="12" borderId="10" xfId="0" applyFill="1" applyBorder="1" applyAlignment="1" applyProtection="1">
      <alignment horizontal="center"/>
    </xf>
    <xf numFmtId="170" fontId="0" fillId="10" borderId="90" xfId="0" applyNumberFormat="1" applyFont="1" applyFill="1" applyBorder="1" applyAlignment="1" applyProtection="1">
      <alignment horizontal="center" vertical="center" textRotation="90"/>
    </xf>
    <xf numFmtId="49" fontId="9" fillId="30" borderId="135" xfId="0" applyNumberFormat="1" applyFont="1" applyFill="1" applyBorder="1" applyAlignment="1" applyProtection="1">
      <alignment horizontal="left" vertical="center" wrapText="1"/>
    </xf>
    <xf numFmtId="49" fontId="9" fillId="30" borderId="136" xfId="0" applyNumberFormat="1" applyFont="1" applyFill="1" applyBorder="1" applyAlignment="1" applyProtection="1">
      <alignment horizontal="left" vertical="center" wrapText="1"/>
    </xf>
    <xf numFmtId="49" fontId="9" fillId="30" borderId="137" xfId="0" applyNumberFormat="1" applyFont="1" applyFill="1" applyBorder="1" applyAlignment="1" applyProtection="1">
      <alignment horizontal="left" vertical="center" wrapText="1"/>
    </xf>
    <xf numFmtId="49" fontId="9" fillId="30" borderId="138" xfId="0" applyNumberFormat="1" applyFont="1" applyFill="1" applyBorder="1" applyAlignment="1" applyProtection="1">
      <alignment horizontal="left" vertical="center" wrapText="1"/>
    </xf>
    <xf numFmtId="49" fontId="9" fillId="30" borderId="120" xfId="0" applyNumberFormat="1" applyFont="1" applyFill="1" applyBorder="1" applyAlignment="1" applyProtection="1">
      <alignment horizontal="left" vertical="center" wrapText="1"/>
    </xf>
    <xf numFmtId="49" fontId="9" fillId="30" borderId="139" xfId="0" applyNumberFormat="1" applyFont="1" applyFill="1" applyBorder="1" applyAlignment="1" applyProtection="1">
      <alignment horizontal="left" vertical="center" wrapText="1"/>
    </xf>
    <xf numFmtId="0" fontId="9" fillId="30" borderId="140" xfId="0" applyNumberFormat="1" applyFont="1" applyFill="1" applyBorder="1" applyAlignment="1" applyProtection="1">
      <alignment horizontal="center" vertical="center" wrapText="1"/>
    </xf>
    <xf numFmtId="0" fontId="9" fillId="30" borderId="141" xfId="0" applyNumberFormat="1" applyFont="1" applyFill="1" applyBorder="1" applyAlignment="1" applyProtection="1">
      <alignment horizontal="center" vertical="center" wrapText="1"/>
    </xf>
    <xf numFmtId="167" fontId="0" fillId="0" borderId="37" xfId="0" applyNumberFormat="1" applyFont="1" applyBorder="1" applyAlignment="1" applyProtection="1">
      <alignment horizontal="left"/>
    </xf>
    <xf numFmtId="3" fontId="0" fillId="0" borderId="0" xfId="0" applyNumberFormat="1" applyAlignment="1" applyProtection="1">
      <alignment horizontal="center" wrapText="1"/>
    </xf>
    <xf numFmtId="167" fontId="0" fillId="0" borderId="39" xfId="0" applyNumberFormat="1" applyFont="1" applyBorder="1" applyAlignment="1" applyProtection="1">
      <alignment horizontal="left"/>
    </xf>
    <xf numFmtId="167" fontId="23" fillId="0" borderId="151" xfId="0" applyNumberFormat="1" applyFont="1" applyBorder="1" applyAlignment="1" applyProtection="1">
      <alignment horizontal="right"/>
    </xf>
    <xf numFmtId="167" fontId="14" fillId="0" borderId="152" xfId="0" applyNumberFormat="1" applyFont="1" applyBorder="1" applyAlignment="1" applyProtection="1">
      <alignment horizontal="center"/>
    </xf>
    <xf numFmtId="0" fontId="0" fillId="24" borderId="153" xfId="0" applyFill="1" applyBorder="1" applyAlignment="1" applyProtection="1">
      <alignment horizontal="center"/>
    </xf>
    <xf numFmtId="167" fontId="46" fillId="0" borderId="154" xfId="0" applyNumberFormat="1" applyFont="1" applyBorder="1" applyAlignment="1" applyProtection="1">
      <alignment horizontal="center" wrapText="1"/>
    </xf>
    <xf numFmtId="0" fontId="114" fillId="0" borderId="0" xfId="0" applyFont="1" applyAlignment="1" applyProtection="1">
      <alignment horizontal="center" wrapText="1"/>
    </xf>
    <xf numFmtId="0" fontId="0" fillId="0" borderId="0" xfId="0" applyBorder="1" applyAlignment="1" applyProtection="1">
      <alignment horizontal="center" wrapText="1"/>
    </xf>
    <xf numFmtId="49" fontId="9" fillId="30" borderId="142" xfId="0" applyNumberFormat="1" applyFont="1" applyFill="1" applyBorder="1" applyAlignment="1" applyProtection="1">
      <alignment horizontal="center" vertical="center" wrapText="1"/>
    </xf>
    <xf numFmtId="49" fontId="9" fillId="30" borderId="143" xfId="0" applyNumberFormat="1" applyFont="1" applyFill="1" applyBorder="1" applyAlignment="1" applyProtection="1">
      <alignment horizontal="center" vertical="center" wrapText="1"/>
    </xf>
    <xf numFmtId="3" fontId="50" fillId="13" borderId="111" xfId="0" applyNumberFormat="1" applyFont="1" applyFill="1" applyBorder="1" applyAlignment="1" applyProtection="1">
      <alignment horizontal="center" vertical="center" wrapText="1"/>
    </xf>
    <xf numFmtId="3" fontId="50" fillId="13" borderId="93" xfId="0" applyNumberFormat="1" applyFont="1" applyFill="1" applyBorder="1" applyAlignment="1" applyProtection="1">
      <alignment horizontal="center" vertical="center" wrapText="1"/>
    </xf>
    <xf numFmtId="2" fontId="50" fillId="0" borderId="111" xfId="0" applyNumberFormat="1" applyFont="1" applyFill="1" applyBorder="1" applyAlignment="1" applyProtection="1">
      <alignment horizontal="center" vertical="center" wrapText="1"/>
    </xf>
    <xf numFmtId="2" fontId="50" fillId="0" borderId="93" xfId="0" applyNumberFormat="1" applyFont="1" applyFill="1" applyBorder="1" applyAlignment="1" applyProtection="1">
      <alignment horizontal="center" vertical="center" wrapText="1"/>
    </xf>
    <xf numFmtId="0" fontId="50" fillId="13" borderId="111" xfId="0" applyNumberFormat="1" applyFont="1" applyFill="1" applyBorder="1" applyAlignment="1" applyProtection="1">
      <alignment horizontal="center" vertical="center" wrapText="1"/>
    </xf>
    <xf numFmtId="0" fontId="50" fillId="13" borderId="93" xfId="0" applyNumberFormat="1" applyFont="1" applyFill="1" applyBorder="1" applyAlignment="1" applyProtection="1">
      <alignment horizontal="center" vertical="center" wrapText="1"/>
    </xf>
    <xf numFmtId="0" fontId="50" fillId="13" borderId="119" xfId="0" applyNumberFormat="1" applyFont="1" applyFill="1" applyBorder="1" applyAlignment="1" applyProtection="1">
      <alignment horizontal="center" vertical="center"/>
    </xf>
    <xf numFmtId="0" fontId="50" fillId="13" borderId="0" xfId="0" applyNumberFormat="1" applyFont="1" applyFill="1" applyBorder="1" applyAlignment="1" applyProtection="1">
      <alignment horizontal="center" vertical="center"/>
    </xf>
    <xf numFmtId="0" fontId="50" fillId="13" borderId="120" xfId="0" applyNumberFormat="1" applyFont="1" applyFill="1" applyBorder="1" applyAlignment="1" applyProtection="1">
      <alignment horizontal="center" vertical="center"/>
    </xf>
    <xf numFmtId="167" fontId="0" fillId="0" borderId="121" xfId="0" applyNumberFormat="1" applyFont="1" applyFill="1" applyBorder="1" applyAlignment="1" applyProtection="1">
      <alignment horizontal="left" vertical="center"/>
      <protection locked="0"/>
    </xf>
    <xf numFmtId="167" fontId="0" fillId="0" borderId="122" xfId="0" applyNumberFormat="1" applyFont="1" applyFill="1" applyBorder="1" applyAlignment="1" applyProtection="1">
      <alignment horizontal="left" vertical="center"/>
      <protection locked="0"/>
    </xf>
    <xf numFmtId="179" fontId="50" fillId="0" borderId="123" xfId="0" applyNumberFormat="1" applyFont="1" applyFill="1" applyBorder="1" applyAlignment="1" applyProtection="1">
      <alignment horizontal="center" vertical="center"/>
    </xf>
    <xf numFmtId="179" fontId="50" fillId="0" borderId="124" xfId="0" applyNumberFormat="1" applyFont="1" applyFill="1" applyBorder="1" applyAlignment="1" applyProtection="1">
      <alignment horizontal="center" vertical="center"/>
    </xf>
    <xf numFmtId="179" fontId="50" fillId="0" borderId="125" xfId="0" applyNumberFormat="1" applyFont="1" applyFill="1" applyBorder="1" applyAlignment="1" applyProtection="1">
      <alignment horizontal="center" vertical="center"/>
    </xf>
    <xf numFmtId="2" fontId="50" fillId="0" borderId="118" xfId="0" applyNumberFormat="1" applyFont="1" applyFill="1" applyBorder="1" applyAlignment="1" applyProtection="1">
      <alignment horizontal="center" vertical="center"/>
    </xf>
    <xf numFmtId="2" fontId="50" fillId="0" borderId="0" xfId="0" applyNumberFormat="1" applyFont="1" applyFill="1" applyBorder="1" applyAlignment="1" applyProtection="1">
      <alignment horizontal="center" vertical="center"/>
    </xf>
    <xf numFmtId="2" fontId="50" fillId="0" borderId="120" xfId="0" applyNumberFormat="1" applyFont="1" applyFill="1" applyBorder="1" applyAlignment="1" applyProtection="1">
      <alignment horizontal="center" vertical="center"/>
    </xf>
    <xf numFmtId="3" fontId="50" fillId="13" borderId="126" xfId="0" applyNumberFormat="1" applyFont="1" applyFill="1" applyBorder="1" applyAlignment="1" applyProtection="1">
      <alignment horizontal="center" vertical="center"/>
    </xf>
    <xf numFmtId="3" fontId="50" fillId="13" borderId="127" xfId="0" applyNumberFormat="1" applyFont="1" applyFill="1" applyBorder="1" applyAlignment="1" applyProtection="1">
      <alignment horizontal="center" vertical="center"/>
    </xf>
    <xf numFmtId="3" fontId="50" fillId="13" borderId="128" xfId="0" applyNumberFormat="1" applyFont="1" applyFill="1" applyBorder="1" applyAlignment="1" applyProtection="1">
      <alignment horizontal="center" vertical="center"/>
    </xf>
    <xf numFmtId="179" fontId="50" fillId="0" borderId="129" xfId="0" applyNumberFormat="1" applyFont="1" applyFill="1" applyBorder="1" applyAlignment="1" applyProtection="1">
      <alignment horizontal="center" vertical="center"/>
    </xf>
    <xf numFmtId="179" fontId="50" fillId="0" borderId="130" xfId="0" applyNumberFormat="1" applyFont="1" applyFill="1" applyBorder="1" applyAlignment="1" applyProtection="1">
      <alignment horizontal="center" vertical="center"/>
    </xf>
    <xf numFmtId="49" fontId="9" fillId="35" borderId="135" xfId="0" applyNumberFormat="1" applyFont="1" applyFill="1" applyBorder="1" applyAlignment="1" applyProtection="1">
      <alignment horizontal="left" vertical="center" wrapText="1"/>
    </xf>
    <xf numFmtId="49" fontId="9" fillId="35" borderId="136" xfId="0" applyNumberFormat="1" applyFont="1" applyFill="1" applyBorder="1" applyAlignment="1" applyProtection="1">
      <alignment horizontal="left" vertical="center" wrapText="1"/>
    </xf>
    <xf numFmtId="49" fontId="9" fillId="35" borderId="137" xfId="0" applyNumberFormat="1" applyFont="1" applyFill="1" applyBorder="1" applyAlignment="1" applyProtection="1">
      <alignment horizontal="left" vertical="center" wrapText="1"/>
    </xf>
    <xf numFmtId="49" fontId="9" fillId="35" borderId="138" xfId="0" applyNumberFormat="1" applyFont="1" applyFill="1" applyBorder="1" applyAlignment="1" applyProtection="1">
      <alignment horizontal="left" vertical="center" wrapText="1"/>
    </xf>
    <xf numFmtId="49" fontId="9" fillId="35" borderId="120" xfId="0" applyNumberFormat="1" applyFont="1" applyFill="1" applyBorder="1" applyAlignment="1" applyProtection="1">
      <alignment horizontal="left" vertical="center" wrapText="1"/>
    </xf>
    <xf numFmtId="49" fontId="9" fillId="35" borderId="139" xfId="0" applyNumberFormat="1" applyFont="1" applyFill="1" applyBorder="1" applyAlignment="1" applyProtection="1">
      <alignment horizontal="left" vertical="center" wrapText="1"/>
    </xf>
    <xf numFmtId="167" fontId="58" fillId="0" borderId="50" xfId="0" applyNumberFormat="1" applyFont="1" applyFill="1" applyBorder="1" applyAlignment="1" applyProtection="1">
      <alignment horizontal="center" vertical="center"/>
    </xf>
    <xf numFmtId="0" fontId="9" fillId="30" borderId="135" xfId="0" applyNumberFormat="1" applyFont="1" applyFill="1" applyBorder="1" applyAlignment="1" applyProtection="1">
      <alignment horizontal="left" vertical="center" wrapText="1"/>
    </xf>
    <xf numFmtId="0" fontId="9" fillId="30" borderId="136" xfId="0" applyNumberFormat="1" applyFont="1" applyFill="1" applyBorder="1" applyAlignment="1" applyProtection="1">
      <alignment horizontal="left" vertical="center" wrapText="1"/>
    </xf>
    <xf numFmtId="0" fontId="9" fillId="30" borderId="137" xfId="0" applyNumberFormat="1" applyFont="1" applyFill="1" applyBorder="1" applyAlignment="1" applyProtection="1">
      <alignment horizontal="left" vertical="center" wrapText="1"/>
    </xf>
    <xf numFmtId="0" fontId="9" fillId="30" borderId="138" xfId="0" applyNumberFormat="1" applyFont="1" applyFill="1" applyBorder="1" applyAlignment="1" applyProtection="1">
      <alignment horizontal="left" vertical="center" wrapText="1"/>
    </xf>
    <xf numFmtId="0" fontId="9" fillId="30" borderId="120" xfId="0" applyNumberFormat="1" applyFont="1" applyFill="1" applyBorder="1" applyAlignment="1" applyProtection="1">
      <alignment horizontal="left" vertical="center" wrapText="1"/>
    </xf>
    <xf numFmtId="0" fontId="9" fillId="30" borderId="139" xfId="0" applyNumberFormat="1" applyFont="1" applyFill="1" applyBorder="1" applyAlignment="1" applyProtection="1">
      <alignment horizontal="left" vertical="center" wrapText="1"/>
    </xf>
    <xf numFmtId="49" fontId="9" fillId="34" borderId="135" xfId="0" applyNumberFormat="1" applyFont="1" applyFill="1" applyBorder="1" applyAlignment="1" applyProtection="1">
      <alignment horizontal="left" vertical="center" wrapText="1"/>
    </xf>
    <xf numFmtId="49" fontId="9" fillId="34" borderId="136" xfId="0" applyNumberFormat="1" applyFont="1" applyFill="1" applyBorder="1" applyAlignment="1" applyProtection="1">
      <alignment horizontal="left" vertical="center" wrapText="1"/>
    </xf>
    <xf numFmtId="49" fontId="9" fillId="34" borderId="137" xfId="0" applyNumberFormat="1" applyFont="1" applyFill="1" applyBorder="1" applyAlignment="1" applyProtection="1">
      <alignment horizontal="left" vertical="center" wrapText="1"/>
    </xf>
    <xf numFmtId="49" fontId="9" fillId="34" borderId="138" xfId="0" applyNumberFormat="1" applyFont="1" applyFill="1" applyBorder="1" applyAlignment="1" applyProtection="1">
      <alignment horizontal="left" vertical="center" wrapText="1"/>
    </xf>
    <xf numFmtId="49" fontId="9" fillId="34" borderId="120" xfId="0" applyNumberFormat="1" applyFont="1" applyFill="1" applyBorder="1" applyAlignment="1" applyProtection="1">
      <alignment horizontal="left" vertical="center" wrapText="1"/>
    </xf>
    <xf numFmtId="49" fontId="9" fillId="34" borderId="139" xfId="0" applyNumberFormat="1" applyFont="1" applyFill="1" applyBorder="1" applyAlignment="1" applyProtection="1">
      <alignment horizontal="left" vertical="center" wrapText="1"/>
    </xf>
    <xf numFmtId="0" fontId="9" fillId="35" borderId="135" xfId="0" applyNumberFormat="1" applyFont="1" applyFill="1" applyBorder="1" applyAlignment="1" applyProtection="1">
      <alignment horizontal="left" vertical="center" wrapText="1"/>
    </xf>
    <xf numFmtId="0" fontId="9" fillId="35" borderId="136" xfId="0" applyNumberFormat="1" applyFont="1" applyFill="1" applyBorder="1" applyAlignment="1" applyProtection="1">
      <alignment horizontal="left" vertical="center" wrapText="1"/>
    </xf>
    <xf numFmtId="0" fontId="9" fillId="35" borderId="137" xfId="0" applyNumberFormat="1" applyFont="1" applyFill="1" applyBorder="1" applyAlignment="1" applyProtection="1">
      <alignment horizontal="left" vertical="center" wrapText="1"/>
    </xf>
    <xf numFmtId="0" fontId="9" fillId="35" borderId="138" xfId="0" applyNumberFormat="1" applyFont="1" applyFill="1" applyBorder="1" applyAlignment="1" applyProtection="1">
      <alignment horizontal="left" vertical="center" wrapText="1"/>
    </xf>
    <xf numFmtId="0" fontId="9" fillId="35" borderId="120" xfId="0" applyNumberFormat="1" applyFont="1" applyFill="1" applyBorder="1" applyAlignment="1" applyProtection="1">
      <alignment horizontal="left" vertical="center" wrapText="1"/>
    </xf>
    <xf numFmtId="0" fontId="9" fillId="35" borderId="139" xfId="0" applyNumberFormat="1" applyFont="1" applyFill="1" applyBorder="1" applyAlignment="1" applyProtection="1">
      <alignment horizontal="left" vertical="center" wrapText="1"/>
    </xf>
    <xf numFmtId="3" fontId="50" fillId="13" borderId="144" xfId="0" applyNumberFormat="1" applyFont="1" applyFill="1" applyBorder="1" applyAlignment="1" applyProtection="1">
      <alignment horizontal="center" vertical="center"/>
    </xf>
    <xf numFmtId="3" fontId="50" fillId="13" borderId="108" xfId="0" applyNumberFormat="1" applyFont="1" applyFill="1" applyBorder="1" applyAlignment="1" applyProtection="1">
      <alignment horizontal="center" vertical="center"/>
    </xf>
    <xf numFmtId="3" fontId="50" fillId="13" borderId="145" xfId="0" applyNumberFormat="1" applyFont="1" applyFill="1" applyBorder="1" applyAlignment="1" applyProtection="1">
      <alignment horizontal="center" vertical="center"/>
    </xf>
    <xf numFmtId="2" fontId="50" fillId="0" borderId="117" xfId="0" applyNumberFormat="1" applyFont="1" applyFill="1" applyBorder="1" applyAlignment="1" applyProtection="1">
      <alignment horizontal="center" vertical="center"/>
    </xf>
    <xf numFmtId="2" fontId="50" fillId="0" borderId="146" xfId="0" applyNumberFormat="1" applyFont="1" applyFill="1" applyBorder="1" applyAlignment="1" applyProtection="1">
      <alignment horizontal="center" vertical="center"/>
    </xf>
    <xf numFmtId="2" fontId="50" fillId="0" borderId="58" xfId="0" applyNumberFormat="1" applyFont="1" applyFill="1" applyBorder="1" applyAlignment="1" applyProtection="1">
      <alignment horizontal="center" vertical="center"/>
    </xf>
    <xf numFmtId="0" fontId="50" fillId="13" borderId="117" xfId="0" applyNumberFormat="1" applyFont="1" applyFill="1" applyBorder="1" applyAlignment="1" applyProtection="1">
      <alignment horizontal="center" vertical="center"/>
    </xf>
    <xf numFmtId="0" fontId="50" fillId="13" borderId="146" xfId="0" applyNumberFormat="1" applyFont="1" applyFill="1" applyBorder="1" applyAlignment="1" applyProtection="1">
      <alignment horizontal="center" vertical="center"/>
    </xf>
    <xf numFmtId="0" fontId="50" fillId="13" borderId="147" xfId="0" applyNumberFormat="1" applyFont="1" applyFill="1" applyBorder="1" applyAlignment="1" applyProtection="1">
      <alignment horizontal="center" vertical="center"/>
    </xf>
    <xf numFmtId="179" fontId="50" fillId="0" borderId="148" xfId="0" applyNumberFormat="1" applyFont="1" applyFill="1" applyBorder="1" applyAlignment="1" applyProtection="1">
      <alignment horizontal="center" vertical="center"/>
    </xf>
    <xf numFmtId="179" fontId="50" fillId="0" borderId="149" xfId="0" applyNumberFormat="1" applyFont="1" applyFill="1" applyBorder="1" applyAlignment="1" applyProtection="1">
      <alignment horizontal="center" vertical="center"/>
    </xf>
    <xf numFmtId="179" fontId="50" fillId="0" borderId="150" xfId="0" applyNumberFormat="1" applyFont="1" applyFill="1" applyBorder="1" applyAlignment="1" applyProtection="1">
      <alignment horizontal="center" vertical="center"/>
    </xf>
    <xf numFmtId="0" fontId="9" fillId="0" borderId="131" xfId="0" applyFont="1" applyFill="1" applyBorder="1" applyAlignment="1" applyProtection="1">
      <alignment horizontal="left" vertical="center" wrapText="1"/>
    </xf>
    <xf numFmtId="0" fontId="9" fillId="0" borderId="132" xfId="0" applyFont="1" applyFill="1" applyBorder="1" applyAlignment="1" applyProtection="1">
      <alignment horizontal="center" vertical="center" wrapText="1"/>
    </xf>
    <xf numFmtId="0" fontId="9" fillId="0" borderId="133" xfId="0" applyFont="1" applyFill="1" applyBorder="1" applyAlignment="1" applyProtection="1">
      <alignment horizontal="center" vertical="center" wrapText="1"/>
    </xf>
    <xf numFmtId="0" fontId="9" fillId="0" borderId="134" xfId="0" applyFont="1" applyFill="1" applyBorder="1" applyAlignment="1" applyProtection="1">
      <alignment horizontal="left" vertical="center" wrapText="1"/>
    </xf>
    <xf numFmtId="0" fontId="9" fillId="26" borderId="131" xfId="0" applyFont="1" applyFill="1" applyBorder="1" applyAlignment="1" applyProtection="1">
      <alignment horizontal="left" vertical="center" wrapText="1"/>
    </xf>
    <xf numFmtId="0" fontId="9" fillId="26" borderId="132" xfId="0" applyFont="1" applyFill="1" applyBorder="1" applyAlignment="1" applyProtection="1">
      <alignment horizontal="center" vertical="center" wrapText="1"/>
    </xf>
    <xf numFmtId="0" fontId="9" fillId="26" borderId="133" xfId="0" applyFont="1" applyFill="1" applyBorder="1" applyAlignment="1" applyProtection="1">
      <alignment horizontal="center" vertical="center" wrapText="1"/>
    </xf>
    <xf numFmtId="0" fontId="109" fillId="12" borderId="47" xfId="0" applyFont="1" applyFill="1" applyBorder="1" applyAlignment="1" applyProtection="1">
      <alignment horizontal="left" vertical="center" wrapText="1"/>
      <protection locked="0"/>
    </xf>
    <xf numFmtId="0" fontId="115" fillId="12" borderId="47" xfId="0" quotePrefix="1" applyFont="1" applyFill="1" applyBorder="1" applyAlignment="1" applyProtection="1">
      <alignment horizontal="left" vertical="center" wrapText="1"/>
      <protection locked="0"/>
    </xf>
    <xf numFmtId="0" fontId="115" fillId="12" borderId="47" xfId="0" applyFont="1" applyFill="1" applyBorder="1" applyAlignment="1" applyProtection="1">
      <alignment horizontal="left" vertical="center" wrapText="1"/>
      <protection locked="0"/>
    </xf>
    <xf numFmtId="0" fontId="115" fillId="12" borderId="10" xfId="0" quotePrefix="1" applyFont="1" applyFill="1" applyBorder="1" applyAlignment="1" applyProtection="1">
      <alignment horizontal="left" vertical="center" wrapText="1"/>
      <protection locked="0"/>
    </xf>
    <xf numFmtId="0" fontId="115" fillId="12" borderId="10" xfId="0" applyFont="1" applyFill="1" applyBorder="1" applyAlignment="1" applyProtection="1">
      <alignment horizontal="left" vertical="center" wrapText="1"/>
      <protection locked="0"/>
    </xf>
    <xf numFmtId="0" fontId="108" fillId="12" borderId="11" xfId="0" quotePrefix="1" applyFont="1" applyFill="1" applyBorder="1" applyAlignment="1" applyProtection="1">
      <alignment horizontal="justify" vertical="center" wrapText="1"/>
      <protection locked="0"/>
    </xf>
    <xf numFmtId="0" fontId="108" fillId="12" borderId="0" xfId="0" quotePrefix="1" applyFont="1" applyFill="1" applyBorder="1" applyAlignment="1" applyProtection="1">
      <alignment horizontal="justify" vertical="center" wrapText="1"/>
      <protection locked="0"/>
    </xf>
    <xf numFmtId="0" fontId="74" fillId="0" borderId="156" xfId="0" applyFont="1" applyFill="1" applyBorder="1" applyAlignment="1" applyProtection="1">
      <alignment horizontal="left" wrapText="1"/>
    </xf>
    <xf numFmtId="0" fontId="74" fillId="0" borderId="157" xfId="0" applyFont="1" applyFill="1" applyBorder="1" applyAlignment="1" applyProtection="1">
      <alignment horizontal="left" wrapText="1"/>
    </xf>
    <xf numFmtId="167" fontId="73" fillId="0" borderId="158" xfId="0" applyNumberFormat="1" applyFont="1" applyBorder="1" applyAlignment="1" applyProtection="1">
      <alignment horizontal="center" vertical="center" wrapText="1"/>
    </xf>
    <xf numFmtId="167" fontId="73" fillId="0" borderId="159" xfId="0" applyNumberFormat="1" applyFont="1" applyBorder="1" applyAlignment="1" applyProtection="1">
      <alignment horizontal="center" vertical="center" wrapText="1"/>
    </xf>
    <xf numFmtId="167" fontId="73" fillId="0" borderId="160" xfId="0" applyNumberFormat="1" applyFont="1" applyBorder="1" applyAlignment="1" applyProtection="1">
      <alignment horizontal="center" vertical="center" wrapText="1"/>
    </xf>
    <xf numFmtId="0" fontId="0" fillId="0" borderId="161" xfId="0" applyBorder="1" applyAlignment="1" applyProtection="1">
      <alignment horizontal="center"/>
    </xf>
    <xf numFmtId="0" fontId="0" fillId="0" borderId="162" xfId="0" applyBorder="1" applyAlignment="1" applyProtection="1">
      <alignment horizontal="center"/>
    </xf>
    <xf numFmtId="0" fontId="74" fillId="0" borderId="163" xfId="0" applyFont="1" applyFill="1" applyBorder="1" applyAlignment="1" applyProtection="1">
      <alignment horizontal="left" wrapText="1"/>
    </xf>
    <xf numFmtId="0" fontId="74" fillId="0" borderId="164" xfId="0" applyFont="1" applyFill="1" applyBorder="1" applyAlignment="1" applyProtection="1">
      <alignment horizontal="left" wrapText="1"/>
    </xf>
    <xf numFmtId="167" fontId="36" fillId="0" borderId="0" xfId="0" applyNumberFormat="1" applyFont="1" applyBorder="1" applyAlignment="1" applyProtection="1">
      <alignment horizontal="left"/>
    </xf>
    <xf numFmtId="167" fontId="14" fillId="0" borderId="0" xfId="0" applyNumberFormat="1" applyFont="1" applyBorder="1" applyAlignment="1" applyProtection="1">
      <alignment horizontal="center"/>
    </xf>
    <xf numFmtId="167" fontId="36" fillId="0" borderId="0" xfId="0" applyNumberFormat="1" applyFont="1" applyBorder="1" applyAlignment="1" applyProtection="1">
      <alignment horizontal="right"/>
    </xf>
    <xf numFmtId="0" fontId="68" fillId="0" borderId="0" xfId="0" applyFont="1" applyBorder="1" applyAlignment="1" applyProtection="1">
      <alignment horizontal="center"/>
    </xf>
    <xf numFmtId="167" fontId="2" fillId="33" borderId="0" xfId="95" applyNumberFormat="1" applyFont="1" applyFill="1" applyBorder="1" applyAlignment="1" applyProtection="1">
      <alignment horizontal="center"/>
    </xf>
    <xf numFmtId="167" fontId="14" fillId="0" borderId="0" xfId="0" applyNumberFormat="1" applyFont="1" applyBorder="1" applyAlignment="1" applyProtection="1">
      <alignment horizontal="center" wrapText="1"/>
    </xf>
    <xf numFmtId="167" fontId="37" fillId="25" borderId="0" xfId="71" applyFont="1" applyFill="1" applyBorder="1" applyAlignment="1">
      <alignment horizontal="center" vertical="center"/>
    </xf>
    <xf numFmtId="167" fontId="36" fillId="0" borderId="0" xfId="0" applyNumberFormat="1" applyFont="1" applyBorder="1" applyAlignment="1">
      <alignment horizontal="left"/>
    </xf>
    <xf numFmtId="167" fontId="14" fillId="0" borderId="0" xfId="0" applyNumberFormat="1" applyFont="1" applyBorder="1" applyAlignment="1">
      <alignment horizontal="center"/>
    </xf>
    <xf numFmtId="167" fontId="36" fillId="0" borderId="0" xfId="0" applyNumberFormat="1" applyFont="1" applyBorder="1" applyAlignment="1">
      <alignment horizontal="right"/>
    </xf>
    <xf numFmtId="179" fontId="0" fillId="2" borderId="97" xfId="0" applyNumberFormat="1" applyFill="1" applyBorder="1" applyAlignment="1" applyProtection="1">
      <alignment horizontal="center" vertical="center"/>
    </xf>
    <xf numFmtId="179" fontId="0" fillId="2" borderId="146" xfId="0" applyNumberFormat="1" applyFill="1" applyBorder="1" applyAlignment="1" applyProtection="1">
      <alignment horizontal="center" vertical="center"/>
    </xf>
    <xf numFmtId="179" fontId="0" fillId="2" borderId="58" xfId="0" applyNumberFormat="1" applyFill="1" applyBorder="1" applyAlignment="1" applyProtection="1">
      <alignment horizontal="center" vertical="center"/>
    </xf>
    <xf numFmtId="0" fontId="70" fillId="12" borderId="10" xfId="0" applyFont="1" applyFill="1" applyBorder="1" applyAlignment="1" applyProtection="1">
      <alignment horizontal="left" wrapText="1"/>
      <protection locked="0"/>
    </xf>
    <xf numFmtId="0" fontId="68" fillId="0" borderId="0" xfId="0" applyFont="1" applyBorder="1" applyAlignment="1">
      <alignment horizontal="center"/>
    </xf>
    <xf numFmtId="0" fontId="70" fillId="12" borderId="47" xfId="0" applyFont="1" applyFill="1" applyBorder="1" applyAlignment="1" applyProtection="1">
      <alignment horizontal="left" wrapText="1"/>
      <protection locked="0"/>
    </xf>
    <xf numFmtId="0" fontId="14" fillId="0" borderId="0" xfId="0" applyFont="1" applyBorder="1" applyAlignment="1">
      <alignment horizontal="center"/>
    </xf>
    <xf numFmtId="179" fontId="2" fillId="32" borderId="148" xfId="0" applyNumberFormat="1" applyFont="1" applyFill="1" applyBorder="1" applyAlignment="1" applyProtection="1">
      <alignment horizontal="center" vertical="center"/>
    </xf>
    <xf numFmtId="179" fontId="2" fillId="32" borderId="149" xfId="0" applyNumberFormat="1" applyFont="1" applyFill="1" applyBorder="1" applyAlignment="1" applyProtection="1">
      <alignment horizontal="center" vertical="center"/>
    </xf>
    <xf numFmtId="179" fontId="2" fillId="32" borderId="165" xfId="0" applyNumberFormat="1" applyFont="1" applyFill="1" applyBorder="1" applyAlignment="1" applyProtection="1">
      <alignment horizontal="center" vertical="center"/>
    </xf>
    <xf numFmtId="0" fontId="71" fillId="12" borderId="7" xfId="0" applyFont="1" applyFill="1" applyBorder="1" applyAlignment="1" applyProtection="1">
      <alignment horizontal="left" vertical="center" wrapText="1"/>
      <protection locked="0"/>
    </xf>
    <xf numFmtId="0" fontId="71" fillId="12" borderId="8" xfId="0" applyFont="1" applyFill="1" applyBorder="1" applyAlignment="1" applyProtection="1">
      <alignment horizontal="left" vertical="center" wrapText="1"/>
      <protection locked="0"/>
    </xf>
    <xf numFmtId="0" fontId="71" fillId="12" borderId="9" xfId="0" applyFont="1" applyFill="1" applyBorder="1" applyAlignment="1" applyProtection="1">
      <alignment horizontal="left" vertical="center" wrapText="1"/>
      <protection locked="0"/>
    </xf>
    <xf numFmtId="0" fontId="0" fillId="0" borderId="166" xfId="0" applyFill="1" applyBorder="1" applyAlignment="1" applyProtection="1">
      <alignment horizontal="center" vertical="center" wrapText="1"/>
    </xf>
    <xf numFmtId="0" fontId="0" fillId="0" borderId="167" xfId="0" applyFill="1" applyBorder="1" applyAlignment="1" applyProtection="1">
      <alignment horizontal="center" vertical="center" wrapText="1"/>
    </xf>
    <xf numFmtId="0" fontId="0" fillId="0" borderId="167" xfId="0" applyBorder="1" applyAlignment="1">
      <alignment wrapText="1"/>
    </xf>
    <xf numFmtId="0" fontId="0" fillId="0" borderId="168" xfId="0" applyBorder="1" applyAlignment="1">
      <alignment wrapText="1"/>
    </xf>
    <xf numFmtId="179" fontId="0" fillId="0" borderId="97" xfId="0" applyNumberFormat="1" applyBorder="1" applyAlignment="1" applyProtection="1">
      <alignment horizontal="center" vertical="center"/>
    </xf>
    <xf numFmtId="179" fontId="0" fillId="0" borderId="146" xfId="0" applyNumberFormat="1" applyBorder="1" applyAlignment="1" applyProtection="1">
      <alignment horizontal="center" vertical="center"/>
    </xf>
    <xf numFmtId="179" fontId="0" fillId="0" borderId="58" xfId="0" applyNumberFormat="1" applyBorder="1" applyAlignment="1" applyProtection="1">
      <alignment horizontal="center" vertical="center"/>
    </xf>
    <xf numFmtId="179" fontId="0" fillId="0" borderId="117" xfId="0" applyNumberFormat="1" applyBorder="1" applyAlignment="1" applyProtection="1">
      <alignment horizontal="center" vertical="center"/>
    </xf>
    <xf numFmtId="179" fontId="2" fillId="32" borderId="169" xfId="0" applyNumberFormat="1" applyFont="1" applyFill="1" applyBorder="1" applyAlignment="1" applyProtection="1">
      <alignment horizontal="center" vertical="center"/>
    </xf>
    <xf numFmtId="179" fontId="2" fillId="32" borderId="150" xfId="0" applyNumberFormat="1" applyFont="1" applyFill="1" applyBorder="1" applyAlignment="1" applyProtection="1">
      <alignment horizontal="center" vertical="center"/>
    </xf>
    <xf numFmtId="179" fontId="0" fillId="2" borderId="117" xfId="0" applyNumberFormat="1" applyFill="1" applyBorder="1" applyAlignment="1" applyProtection="1">
      <alignment horizontal="center" vertical="center"/>
    </xf>
    <xf numFmtId="179" fontId="0" fillId="2" borderId="170" xfId="0" applyNumberFormat="1" applyFill="1" applyBorder="1" applyAlignment="1" applyProtection="1">
      <alignment horizontal="center" vertical="center"/>
    </xf>
    <xf numFmtId="179" fontId="0" fillId="0" borderId="170" xfId="0" applyNumberFormat="1" applyBorder="1" applyAlignment="1" applyProtection="1">
      <alignment horizontal="center" vertical="center"/>
    </xf>
    <xf numFmtId="0" fontId="75" fillId="0" borderId="0" xfId="0" applyFont="1" applyBorder="1" applyAlignment="1">
      <alignment horizontal="center" wrapText="1"/>
    </xf>
    <xf numFmtId="0" fontId="108" fillId="0" borderId="111" xfId="0" applyFont="1" applyBorder="1" applyAlignment="1">
      <alignment horizontal="center" vertical="center" wrapText="1"/>
    </xf>
    <xf numFmtId="0" fontId="108" fillId="0" borderId="174" xfId="0" applyFont="1" applyBorder="1" applyAlignment="1">
      <alignment horizontal="center" vertical="center" wrapText="1"/>
    </xf>
    <xf numFmtId="0" fontId="108" fillId="0" borderId="93" xfId="0" applyFont="1" applyBorder="1" applyAlignment="1">
      <alignment horizontal="center" vertical="center" wrapText="1"/>
    </xf>
    <xf numFmtId="167" fontId="2" fillId="33" borderId="0" xfId="96" applyNumberFormat="1" applyFont="1" applyFill="1" applyBorder="1" applyAlignment="1" applyProtection="1">
      <alignment horizontal="center"/>
    </xf>
    <xf numFmtId="167" fontId="68" fillId="0" borderId="0" xfId="0" applyNumberFormat="1" applyFont="1" applyBorder="1" applyAlignment="1" applyProtection="1">
      <alignment horizontal="center"/>
    </xf>
    <xf numFmtId="0" fontId="70" fillId="12" borderId="7" xfId="0" applyFont="1" applyFill="1" applyBorder="1" applyAlignment="1" applyProtection="1">
      <alignment horizontal="left" vertical="center" wrapText="1"/>
      <protection locked="0"/>
    </xf>
    <xf numFmtId="0" fontId="70" fillId="12" borderId="8" xfId="0" applyFont="1" applyFill="1" applyBorder="1" applyAlignment="1" applyProtection="1">
      <alignment horizontal="left" vertical="center" wrapText="1"/>
      <protection locked="0"/>
    </xf>
    <xf numFmtId="0" fontId="70" fillId="12" borderId="9" xfId="0" applyFont="1" applyFill="1" applyBorder="1" applyAlignment="1" applyProtection="1">
      <alignment horizontal="left" vertical="center" wrapText="1"/>
      <protection locked="0"/>
    </xf>
    <xf numFmtId="0" fontId="70" fillId="0" borderId="7" xfId="0" applyFont="1" applyBorder="1" applyAlignment="1" applyProtection="1">
      <alignment horizontal="center" vertical="center"/>
    </xf>
    <xf numFmtId="0" fontId="70" fillId="0" borderId="8" xfId="0" applyFont="1" applyBorder="1" applyAlignment="1" applyProtection="1">
      <alignment horizontal="center" vertical="center"/>
    </xf>
    <xf numFmtId="0" fontId="70" fillId="0" borderId="7" xfId="0" applyFont="1" applyBorder="1" applyAlignment="1" applyProtection="1">
      <alignment vertical="center" wrapText="1"/>
    </xf>
    <xf numFmtId="0" fontId="70" fillId="0" borderId="8" xfId="0" applyFont="1" applyBorder="1" applyAlignment="1" applyProtection="1">
      <alignment vertical="center" wrapText="1"/>
    </xf>
    <xf numFmtId="0" fontId="70" fillId="0" borderId="9" xfId="0" applyFont="1" applyBorder="1" applyAlignment="1" applyProtection="1">
      <alignment vertical="center" wrapText="1"/>
    </xf>
    <xf numFmtId="9" fontId="51" fillId="0" borderId="7" xfId="80" applyFont="1" applyFill="1" applyBorder="1" applyAlignment="1" applyProtection="1">
      <alignment horizontal="center" vertical="center" wrapText="1"/>
    </xf>
    <xf numFmtId="9" fontId="51" fillId="0" borderId="8" xfId="80" applyFont="1" applyFill="1" applyBorder="1" applyAlignment="1" applyProtection="1">
      <alignment horizontal="center" vertical="center" wrapText="1"/>
    </xf>
    <xf numFmtId="9" fontId="51" fillId="0" borderId="9" xfId="80" applyFont="1" applyFill="1" applyBorder="1" applyAlignment="1" applyProtection="1">
      <alignment horizontal="center" vertical="center" wrapText="1"/>
    </xf>
    <xf numFmtId="9" fontId="71" fillId="30" borderId="171" xfId="80" applyFont="1" applyFill="1" applyBorder="1" applyAlignment="1" applyProtection="1">
      <alignment horizontal="left" vertical="top" wrapText="1"/>
      <protection locked="0"/>
    </xf>
    <xf numFmtId="9" fontId="71" fillId="30" borderId="172" xfId="80" applyFont="1" applyFill="1" applyBorder="1" applyAlignment="1" applyProtection="1">
      <alignment horizontal="left" vertical="top" wrapText="1"/>
      <protection locked="0"/>
    </xf>
    <xf numFmtId="9" fontId="71" fillId="30" borderId="173" xfId="80" applyFont="1" applyFill="1" applyBorder="1" applyAlignment="1" applyProtection="1">
      <alignment horizontal="left" vertical="top" wrapText="1"/>
      <protection locked="0"/>
    </xf>
    <xf numFmtId="0" fontId="20" fillId="0" borderId="55" xfId="0" applyFont="1" applyBorder="1" applyAlignment="1" applyProtection="1">
      <alignment horizontal="center"/>
    </xf>
    <xf numFmtId="0" fontId="70" fillId="0" borderId="7" xfId="0" applyFont="1" applyBorder="1" applyAlignment="1" applyProtection="1">
      <alignment horizontal="center" vertical="center" wrapText="1"/>
    </xf>
    <xf numFmtId="0" fontId="70" fillId="0" borderId="8"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9" fontId="117" fillId="37" borderId="7" xfId="80" applyFont="1" applyFill="1" applyBorder="1" applyAlignment="1" applyProtection="1">
      <alignment horizontal="center" vertical="center" wrapText="1"/>
    </xf>
    <xf numFmtId="9" fontId="117" fillId="37" borderId="9" xfId="80" applyFont="1" applyFill="1" applyBorder="1" applyAlignment="1" applyProtection="1">
      <alignment horizontal="center" vertical="center" wrapText="1"/>
    </xf>
    <xf numFmtId="167" fontId="37" fillId="25" borderId="0" xfId="71" applyFont="1" applyFill="1" applyBorder="1" applyAlignment="1" applyProtection="1">
      <alignment horizontal="center" vertical="center"/>
    </xf>
    <xf numFmtId="0" fontId="70" fillId="0" borderId="118" xfId="0" applyFont="1" applyBorder="1" applyAlignment="1" applyProtection="1">
      <alignment horizontal="left" vertical="center"/>
    </xf>
    <xf numFmtId="9" fontId="69" fillId="38" borderId="7" xfId="80" applyFont="1" applyFill="1" applyBorder="1" applyAlignment="1" applyProtection="1">
      <alignment horizontal="center" vertical="center" wrapText="1"/>
    </xf>
    <xf numFmtId="9" fontId="69" fillId="38" borderId="9" xfId="80" applyFont="1" applyFill="1" applyBorder="1" applyAlignment="1" applyProtection="1">
      <alignment horizontal="center" vertical="center" wrapText="1"/>
    </xf>
    <xf numFmtId="9" fontId="71" fillId="30" borderId="171" xfId="80" applyFont="1" applyFill="1" applyBorder="1" applyAlignment="1" applyProtection="1">
      <alignment horizontal="left" vertical="center" wrapText="1"/>
      <protection locked="0"/>
    </xf>
    <xf numFmtId="9" fontId="71" fillId="30" borderId="172" xfId="80" applyFont="1" applyFill="1" applyBorder="1" applyAlignment="1" applyProtection="1">
      <alignment horizontal="left" vertical="center" wrapText="1"/>
      <protection locked="0"/>
    </xf>
    <xf numFmtId="9" fontId="71" fillId="30" borderId="173" xfId="80" applyFont="1" applyFill="1" applyBorder="1" applyAlignment="1" applyProtection="1">
      <alignment horizontal="left" vertical="center" wrapText="1"/>
      <protection locked="0"/>
    </xf>
    <xf numFmtId="0" fontId="116" fillId="0" borderId="0" xfId="0" applyFont="1" applyAlignment="1" applyProtection="1">
      <alignment horizontal="left" vertical="center" wrapText="1"/>
    </xf>
    <xf numFmtId="189" fontId="36" fillId="0" borderId="7" xfId="80" applyNumberFormat="1" applyFont="1" applyFill="1" applyBorder="1" applyAlignment="1" applyProtection="1">
      <alignment horizontal="center" vertical="center" wrapText="1"/>
    </xf>
    <xf numFmtId="189" fontId="36" fillId="0" borderId="8" xfId="80" applyNumberFormat="1" applyFont="1" applyFill="1" applyBorder="1" applyAlignment="1" applyProtection="1">
      <alignment horizontal="center" vertical="center" wrapText="1"/>
    </xf>
    <xf numFmtId="189" fontId="36" fillId="0" borderId="9" xfId="80" applyNumberFormat="1" applyFont="1" applyFill="1" applyBorder="1" applyAlignment="1" applyProtection="1">
      <alignment horizontal="center" vertical="center" wrapText="1"/>
    </xf>
    <xf numFmtId="9" fontId="70" fillId="30" borderId="91" xfId="80" applyFont="1" applyFill="1" applyBorder="1" applyAlignment="1" applyProtection="1">
      <alignment horizontal="left" vertical="center" wrapText="1"/>
      <protection locked="0"/>
    </xf>
    <xf numFmtId="9" fontId="70" fillId="30" borderId="171" xfId="80" applyFont="1" applyFill="1" applyBorder="1" applyAlignment="1" applyProtection="1">
      <alignment horizontal="left" vertical="center" wrapText="1"/>
      <protection locked="0"/>
    </xf>
    <xf numFmtId="167" fontId="20" fillId="0" borderId="0" xfId="0" applyNumberFormat="1" applyFont="1" applyBorder="1" applyAlignment="1" applyProtection="1">
      <alignment horizontal="center"/>
    </xf>
    <xf numFmtId="172" fontId="68" fillId="0" borderId="0" xfId="0" applyNumberFormat="1" applyFont="1" applyBorder="1" applyAlignment="1" applyProtection="1">
      <alignment horizontal="center"/>
    </xf>
    <xf numFmtId="172" fontId="79" fillId="10" borderId="86" xfId="0" applyNumberFormat="1" applyFont="1" applyFill="1" applyBorder="1" applyAlignment="1" applyProtection="1">
      <alignment horizontal="center" vertical="center"/>
    </xf>
    <xf numFmtId="172" fontId="81" fillId="0" borderId="0" xfId="0" applyNumberFormat="1" applyFont="1" applyFill="1" applyBorder="1" applyAlignment="1" applyProtection="1">
      <alignment horizontal="center"/>
    </xf>
    <xf numFmtId="172" fontId="82" fillId="3" borderId="13" xfId="0" applyNumberFormat="1" applyFont="1" applyFill="1" applyBorder="1" applyAlignment="1" applyProtection="1">
      <alignment horizontal="center" vertical="center"/>
    </xf>
    <xf numFmtId="0" fontId="24" fillId="0" borderId="190" xfId="0" applyNumberFormat="1" applyFont="1" applyFill="1" applyBorder="1" applyAlignment="1" applyProtection="1">
      <alignment horizontal="left" vertical="top" wrapText="1"/>
    </xf>
    <xf numFmtId="49" fontId="9" fillId="3" borderId="191" xfId="0" applyNumberFormat="1" applyFont="1" applyFill="1" applyBorder="1" applyAlignment="1" applyProtection="1">
      <alignment horizontal="center" vertical="center"/>
      <protection locked="0"/>
    </xf>
    <xf numFmtId="0" fontId="24" fillId="0" borderId="192" xfId="0" applyNumberFormat="1" applyFont="1" applyFill="1" applyBorder="1" applyAlignment="1" applyProtection="1">
      <alignment horizontal="left" vertical="top" wrapText="1"/>
    </xf>
    <xf numFmtId="49" fontId="9" fillId="3" borderId="193" xfId="0" applyNumberFormat="1" applyFont="1" applyFill="1" applyBorder="1" applyAlignment="1" applyProtection="1">
      <alignment horizontal="center" vertical="center"/>
      <protection locked="0"/>
    </xf>
    <xf numFmtId="49" fontId="9" fillId="3" borderId="194" xfId="0" applyNumberFormat="1" applyFont="1" applyFill="1" applyBorder="1" applyAlignment="1" applyProtection="1">
      <alignment horizontal="center" vertical="center" wrapText="1"/>
      <protection locked="0"/>
    </xf>
    <xf numFmtId="49" fontId="9" fillId="3" borderId="194" xfId="0" applyNumberFormat="1" applyFont="1" applyFill="1" applyBorder="1" applyAlignment="1" applyProtection="1">
      <alignment horizontal="center" vertical="center"/>
      <protection locked="0"/>
    </xf>
    <xf numFmtId="0" fontId="24" fillId="0" borderId="185" xfId="0" applyNumberFormat="1" applyFont="1" applyFill="1" applyBorder="1" applyAlignment="1" applyProtection="1">
      <alignment horizontal="left" vertical="top" wrapText="1"/>
    </xf>
    <xf numFmtId="0" fontId="9" fillId="13" borderId="186" xfId="0" applyFont="1" applyFill="1" applyBorder="1" applyAlignment="1" applyProtection="1">
      <alignment horizontal="center" vertical="top" wrapText="1"/>
      <protection locked="0"/>
    </xf>
    <xf numFmtId="0" fontId="24" fillId="0" borderId="181" xfId="0" applyNumberFormat="1" applyFont="1" applyFill="1" applyBorder="1" applyAlignment="1" applyProtection="1">
      <alignment horizontal="left" vertical="top" wrapText="1"/>
    </xf>
    <xf numFmtId="0" fontId="9" fillId="13" borderId="182" xfId="0" applyFont="1" applyFill="1" applyBorder="1" applyAlignment="1" applyProtection="1">
      <alignment horizontal="center" vertical="top" wrapText="1"/>
      <protection locked="0"/>
    </xf>
    <xf numFmtId="172" fontId="81" fillId="0" borderId="187" xfId="0" applyNumberFormat="1" applyFont="1" applyFill="1" applyBorder="1" applyAlignment="1" applyProtection="1">
      <alignment horizontal="center"/>
    </xf>
    <xf numFmtId="172" fontId="93" fillId="13" borderId="188" xfId="0" applyNumberFormat="1" applyFont="1" applyFill="1" applyBorder="1" applyAlignment="1" applyProtection="1">
      <alignment horizontal="center" vertical="center"/>
    </xf>
    <xf numFmtId="172" fontId="93" fillId="13" borderId="189" xfId="0" applyNumberFormat="1" applyFont="1" applyFill="1" applyBorder="1" applyAlignment="1" applyProtection="1">
      <alignment horizontal="center" vertical="center"/>
    </xf>
    <xf numFmtId="0" fontId="24" fillId="0" borderId="183" xfId="0" applyNumberFormat="1" applyFont="1" applyFill="1" applyBorder="1" applyAlignment="1" applyProtection="1">
      <alignment horizontal="left" vertical="top" wrapText="1"/>
    </xf>
    <xf numFmtId="0" fontId="9" fillId="13" borderId="184" xfId="0" applyFont="1" applyFill="1" applyBorder="1" applyAlignment="1" applyProtection="1">
      <alignment horizontal="center" vertical="top" wrapText="1"/>
      <protection locked="0"/>
    </xf>
    <xf numFmtId="0" fontId="24" fillId="0" borderId="178" xfId="0" applyNumberFormat="1" applyFont="1" applyFill="1" applyBorder="1" applyAlignment="1" applyProtection="1">
      <alignment horizontal="left" vertical="center" wrapText="1"/>
    </xf>
    <xf numFmtId="0" fontId="9" fillId="12" borderId="179" xfId="0" applyFont="1" applyFill="1" applyBorder="1" applyAlignment="1" applyProtection="1">
      <alignment horizontal="center" vertical="top" wrapText="1"/>
      <protection locked="0"/>
    </xf>
    <xf numFmtId="0" fontId="9" fillId="0" borderId="175" xfId="80" applyNumberFormat="1" applyFont="1" applyFill="1" applyBorder="1" applyAlignment="1" applyProtection="1">
      <alignment horizontal="left" vertical="center" wrapText="1"/>
    </xf>
    <xf numFmtId="0" fontId="9" fillId="12" borderId="177" xfId="0" applyFont="1" applyFill="1" applyBorder="1" applyAlignment="1" applyProtection="1">
      <alignment horizontal="center" vertical="top" wrapText="1"/>
      <protection locked="0"/>
    </xf>
    <xf numFmtId="172" fontId="81" fillId="0" borderId="180" xfId="0" applyNumberFormat="1" applyFont="1" applyFill="1" applyBorder="1" applyAlignment="1" applyProtection="1">
      <alignment horizontal="center"/>
    </xf>
    <xf numFmtId="172" fontId="82" fillId="12" borderId="131" xfId="0" applyNumberFormat="1" applyFont="1" applyFill="1" applyBorder="1" applyAlignment="1" applyProtection="1">
      <alignment horizontal="center" vertical="center"/>
    </xf>
    <xf numFmtId="9" fontId="9" fillId="0" borderId="175" xfId="80" applyNumberFormat="1" applyFont="1" applyFill="1" applyBorder="1" applyAlignment="1" applyProtection="1">
      <alignment horizontal="left" vertical="center" wrapText="1"/>
    </xf>
    <xf numFmtId="0" fontId="9" fillId="12" borderId="176" xfId="0" applyFont="1" applyFill="1" applyBorder="1" applyAlignment="1" applyProtection="1">
      <alignment horizontal="center" vertical="top" wrapText="1"/>
      <protection locked="0"/>
    </xf>
    <xf numFmtId="167" fontId="2" fillId="33" borderId="0" xfId="97" applyNumberFormat="1" applyFont="1" applyFill="1" applyBorder="1" applyAlignment="1" applyProtection="1">
      <alignment horizontal="center"/>
      <protection locked="0"/>
    </xf>
    <xf numFmtId="0" fontId="0" fillId="12" borderId="10" xfId="0" applyFill="1" applyBorder="1" applyAlignment="1" applyProtection="1">
      <alignment horizontal="center"/>
      <protection locked="0"/>
    </xf>
    <xf numFmtId="0" fontId="100" fillId="8" borderId="203" xfId="78" applyNumberFormat="1" applyFont="1" applyFill="1" applyBorder="1" applyAlignment="1">
      <alignment horizontal="center" vertical="center" wrapText="1"/>
    </xf>
    <xf numFmtId="0" fontId="100" fillId="8" borderId="204" xfId="78" applyNumberFormat="1" applyFont="1" applyFill="1" applyBorder="1" applyAlignment="1">
      <alignment horizontal="center" vertical="center" wrapText="1"/>
    </xf>
    <xf numFmtId="0" fontId="100" fillId="8" borderId="205" xfId="78" applyNumberFormat="1" applyFont="1" applyFill="1" applyBorder="1" applyAlignment="1">
      <alignment horizontal="center" vertical="center" wrapText="1"/>
    </xf>
    <xf numFmtId="0" fontId="101" fillId="8" borderId="10" xfId="0" applyNumberFormat="1" applyFont="1" applyFill="1" applyBorder="1" applyAlignment="1">
      <alignment horizontal="center" vertical="center" textRotation="90"/>
    </xf>
    <xf numFmtId="0" fontId="46" fillId="0" borderId="210" xfId="0" applyFont="1" applyFill="1" applyBorder="1" applyAlignment="1" applyProtection="1">
      <alignment horizontal="left" vertical="center" wrapText="1"/>
      <protection locked="0"/>
    </xf>
    <xf numFmtId="0" fontId="46" fillId="0" borderId="212" xfId="0" applyFont="1" applyFill="1" applyBorder="1" applyAlignment="1" applyProtection="1">
      <alignment horizontal="left" wrapText="1"/>
      <protection locked="0"/>
    </xf>
    <xf numFmtId="0" fontId="46" fillId="0" borderId="213" xfId="0" applyFont="1" applyFill="1" applyBorder="1" applyAlignment="1" applyProtection="1">
      <alignment horizontal="left" wrapText="1"/>
      <protection locked="0"/>
    </xf>
    <xf numFmtId="0" fontId="46" fillId="0" borderId="200" xfId="0" applyFont="1" applyFill="1" applyBorder="1" applyAlignment="1" applyProtection="1">
      <alignment horizontal="left" vertical="top" wrapText="1"/>
      <protection locked="0"/>
    </xf>
    <xf numFmtId="0" fontId="46" fillId="0" borderId="201" xfId="0" applyFont="1" applyFill="1" applyBorder="1" applyAlignment="1" applyProtection="1">
      <alignment horizontal="left"/>
      <protection locked="0"/>
    </xf>
    <xf numFmtId="0" fontId="46" fillId="0" borderId="200" xfId="0" applyFont="1" applyFill="1" applyBorder="1" applyAlignment="1" applyProtection="1">
      <alignment horizontal="left"/>
      <protection locked="0"/>
    </xf>
    <xf numFmtId="0" fontId="46" fillId="0" borderId="211" xfId="0" applyFont="1" applyFill="1" applyBorder="1" applyAlignment="1" applyProtection="1">
      <alignment horizontal="left" wrapText="1"/>
      <protection locked="0"/>
    </xf>
    <xf numFmtId="0" fontId="46" fillId="0" borderId="200" xfId="0" applyFont="1" applyFill="1" applyBorder="1" applyAlignment="1" applyProtection="1">
      <alignment horizontal="left" wrapText="1"/>
      <protection locked="0"/>
    </xf>
    <xf numFmtId="0" fontId="46" fillId="0" borderId="201" xfId="0" applyFont="1" applyFill="1" applyBorder="1" applyAlignment="1" applyProtection="1">
      <alignment horizontal="left" wrapText="1"/>
      <protection locked="0"/>
    </xf>
    <xf numFmtId="0" fontId="46" fillId="0" borderId="202" xfId="0" applyFont="1" applyFill="1" applyBorder="1" applyAlignment="1" applyProtection="1">
      <alignment horizontal="left"/>
      <protection locked="0"/>
    </xf>
    <xf numFmtId="0" fontId="46" fillId="0" borderId="209" xfId="0" applyFont="1" applyFill="1" applyBorder="1" applyAlignment="1" applyProtection="1">
      <alignment horizontal="left" vertical="center" wrapText="1"/>
      <protection locked="0"/>
    </xf>
    <xf numFmtId="0" fontId="46" fillId="0" borderId="196" xfId="0" applyFont="1" applyFill="1" applyBorder="1" applyAlignment="1" applyProtection="1">
      <alignment horizontal="left"/>
      <protection locked="0"/>
    </xf>
    <xf numFmtId="0" fontId="46" fillId="0" borderId="197" xfId="0" applyFont="1" applyFill="1" applyBorder="1" applyAlignment="1" applyProtection="1">
      <alignment horizontal="left"/>
      <protection locked="0"/>
    </xf>
    <xf numFmtId="0" fontId="46" fillId="0" borderId="198" xfId="0" applyFont="1" applyFill="1" applyBorder="1" applyAlignment="1" applyProtection="1">
      <alignment horizontal="left"/>
      <protection locked="0"/>
    </xf>
    <xf numFmtId="0" fontId="46" fillId="0" borderId="206" xfId="0" applyFont="1" applyFill="1" applyBorder="1" applyAlignment="1" applyProtection="1">
      <alignment horizontal="left" vertical="top" wrapText="1"/>
      <protection locked="0"/>
    </xf>
    <xf numFmtId="0" fontId="46" fillId="0" borderId="207" xfId="0" applyFont="1" applyBorder="1" applyAlignment="1" applyProtection="1">
      <alignment horizontal="left"/>
      <protection locked="0"/>
    </xf>
    <xf numFmtId="0" fontId="46" fillId="0" borderId="82" xfId="0" applyFont="1" applyBorder="1" applyAlignment="1" applyProtection="1">
      <alignment horizontal="left"/>
      <protection locked="0"/>
    </xf>
    <xf numFmtId="0" fontId="46" fillId="0" borderId="208" xfId="0" applyFont="1" applyBorder="1" applyAlignment="1" applyProtection="1">
      <alignment horizontal="left"/>
      <protection locked="0"/>
    </xf>
    <xf numFmtId="0" fontId="46" fillId="0" borderId="199" xfId="0" applyFont="1" applyFill="1" applyBorder="1" applyAlignment="1" applyProtection="1">
      <alignment horizontal="left"/>
      <protection locked="0"/>
    </xf>
    <xf numFmtId="0" fontId="46" fillId="0" borderId="200" xfId="0" applyFont="1" applyBorder="1" applyAlignment="1" applyProtection="1">
      <alignment horizontal="left"/>
      <protection locked="0"/>
    </xf>
    <xf numFmtId="0" fontId="46" fillId="0" borderId="201" xfId="0" applyFont="1" applyBorder="1" applyAlignment="1" applyProtection="1">
      <alignment horizontal="left"/>
      <protection locked="0"/>
    </xf>
    <xf numFmtId="0" fontId="46" fillId="0" borderId="202" xfId="0" applyFont="1" applyBorder="1" applyAlignment="1" applyProtection="1">
      <alignment horizontal="left"/>
      <protection locked="0"/>
    </xf>
    <xf numFmtId="0" fontId="46" fillId="0" borderId="195" xfId="0" applyFont="1" applyFill="1" applyBorder="1" applyAlignment="1" applyProtection="1">
      <alignment horizontal="left"/>
      <protection locked="0"/>
    </xf>
    <xf numFmtId="0" fontId="46" fillId="0" borderId="196" xfId="0" applyFont="1" applyBorder="1" applyAlignment="1" applyProtection="1">
      <alignment horizontal="left"/>
      <protection locked="0"/>
    </xf>
    <xf numFmtId="0" fontId="46" fillId="0" borderId="197" xfId="0" applyFont="1" applyBorder="1" applyAlignment="1" applyProtection="1">
      <alignment horizontal="left"/>
      <protection locked="0"/>
    </xf>
    <xf numFmtId="0" fontId="46" fillId="0" borderId="198" xfId="0" applyFont="1" applyBorder="1" applyAlignment="1" applyProtection="1">
      <alignment horizontal="left"/>
      <protection locked="0"/>
    </xf>
    <xf numFmtId="167" fontId="18" fillId="25" borderId="0" xfId="61" applyFont="1" applyFill="1" applyBorder="1" applyAlignment="1">
      <alignment horizontal="center" vertical="center"/>
    </xf>
    <xf numFmtId="0" fontId="20" fillId="0" borderId="0" xfId="0" applyFont="1" applyBorder="1" applyAlignment="1">
      <alignment horizontal="center"/>
    </xf>
  </cellXfs>
  <cellStyles count="104">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cellStyle name="60% - Accent2" xfId="26"/>
    <cellStyle name="60% - Accent3" xfId="27"/>
    <cellStyle name="60% - Accent4" xfId="28"/>
    <cellStyle name="60% - Accent5" xfId="29"/>
    <cellStyle name="60% - Accent6" xfId="3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álculo" xfId="45" builtinId="22" customBuiltin="1"/>
    <cellStyle name="Énfasis1" xfId="46" builtinId="29" customBuiltin="1"/>
    <cellStyle name="Énfasis2" xfId="47" builtinId="33" customBuiltin="1"/>
    <cellStyle name="Énfasis3" xfId="48" builtinId="37" customBuiltin="1"/>
    <cellStyle name="Énfasis4" xfId="49" builtinId="41" customBuiltin="1"/>
    <cellStyle name="Énfasis5" xfId="50" builtinId="45" customBuiltin="1"/>
    <cellStyle name="Énfasis6" xfId="51" builtinId="49" customBuiltin="1"/>
    <cellStyle name="Euro" xfId="52"/>
    <cellStyle name="Explanatory Text" xfId="53"/>
    <cellStyle name="Heading 2" xfId="54"/>
    <cellStyle name="Heading 3" xfId="55"/>
    <cellStyle name="Incorrecto" xfId="56" builtinId="27" customBuiltin="1"/>
    <cellStyle name="Millares" xfId="57" builtinId="3"/>
    <cellStyle name="Millares 2" xfId="58"/>
    <cellStyle name="Moneda" xfId="59" builtinId="4"/>
    <cellStyle name="Neutral" xfId="60" builtinId="28" customBuiltin="1"/>
    <cellStyle name="Normal" xfId="0" builtinId="0"/>
    <cellStyle name="Normal 2" xfId="61"/>
    <cellStyle name="Normal 2 2" xfId="62"/>
    <cellStyle name="Normal 2 3" xfId="63"/>
    <cellStyle name="Normal 2 4" xfId="64"/>
    <cellStyle name="Normal 2 5" xfId="65"/>
    <cellStyle name="Normal 2 6" xfId="66"/>
    <cellStyle name="Normal 2 7" xfId="67"/>
    <cellStyle name="Normal 2 8" xfId="68"/>
    <cellStyle name="Normal 2_Dashboard ver 2.2 ES" xfId="69"/>
    <cellStyle name="Normal 2_Ficticia HIV Dashboard_ES - Set Up and Maintenance Guide" xfId="70"/>
    <cellStyle name="Normal 2_Prototipo" xfId="71"/>
    <cellStyle name="Normal 3" xfId="72"/>
    <cellStyle name="Normal 4" xfId="73"/>
    <cellStyle name="Normal 5" xfId="74"/>
    <cellStyle name="Normal 6" xfId="75"/>
    <cellStyle name="Normal 7" xfId="76"/>
    <cellStyle name="Normal 8" xfId="77"/>
    <cellStyle name="Normal_TZ_R3HIV_Phase_2_21_August_08" xfId="78"/>
    <cellStyle name="Output" xfId="79"/>
    <cellStyle name="Porcentaje" xfId="80" builtinId="5"/>
    <cellStyle name="Porcentual 2" xfId="81"/>
    <cellStyle name="Porcentual 3" xfId="82"/>
    <cellStyle name="Porcentual 4" xfId="83"/>
    <cellStyle name="Porcentual 5" xfId="84"/>
    <cellStyle name="Porcentual 6" xfId="85"/>
    <cellStyle name="Porcentual 7" xfId="86"/>
    <cellStyle name="Porcentual 8" xfId="87"/>
    <cellStyle name="Salida" xfId="88" builtinId="21" customBuiltin="1"/>
    <cellStyle name="Texto explicativo" xfId="89" builtinId="53" customBuiltin="1"/>
    <cellStyle name="Title" xfId="90"/>
    <cellStyle name="Título" xfId="91" builtinId="15" customBuiltin="1"/>
    <cellStyle name="Título 2" xfId="92" builtinId="17" customBuiltin="1"/>
    <cellStyle name="Título 3" xfId="93" builtinId="18" customBuiltin="1"/>
    <cellStyle name="Título 3 2" xfId="94"/>
    <cellStyle name="Título 3 3" xfId="95"/>
    <cellStyle name="Título 3 3_Prototipo" xfId="96"/>
    <cellStyle name="Título 3 3_PrototipoRep1" xfId="97"/>
    <cellStyle name="Título 3 4" xfId="98"/>
    <cellStyle name="Título 3 5" xfId="99"/>
    <cellStyle name="Título 3 6" xfId="100"/>
    <cellStyle name="Título 3 7" xfId="101"/>
    <cellStyle name="Título 3 8" xfId="102"/>
    <cellStyle name="Total" xfId="103" builtinId="25" customBuiltin="1"/>
  </cellStyles>
  <dxfs count="42">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theme="4" tint="0.39994506668294322"/>
          <bgColor theme="4" tint="0.39994506668294322"/>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10"/>
          <bgColor indexed="61"/>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10"/>
          <bgColor indexed="6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51"/>
          <bgColor indexed="13"/>
        </patternFill>
      </fill>
    </dxf>
    <dxf>
      <font>
        <b val="0"/>
        <condense val="0"/>
        <extend val="0"/>
        <sz val="11"/>
        <color indexed="8"/>
      </font>
      <fill>
        <patternFill patternType="solid">
          <fgColor indexed="19"/>
          <bgColor indexed="1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28"/>
          <bgColor indexed="9"/>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10"/>
          <bgColor indexed="61"/>
        </patternFill>
      </fill>
    </dxf>
    <dxf>
      <font>
        <b val="0"/>
        <condense val="0"/>
        <extend val="0"/>
        <sz val="11"/>
        <color indexed="9"/>
      </font>
      <fill>
        <patternFill patternType="solid">
          <fgColor indexed="58"/>
          <bgColor indexed="8"/>
        </patternFill>
      </fill>
    </dxf>
    <dxf>
      <font>
        <b val="0"/>
        <condense val="0"/>
        <extend val="0"/>
        <sz val="11"/>
        <color indexed="8"/>
      </font>
      <fill>
        <patternFill patternType="solid">
          <fgColor indexed="19"/>
          <bgColor indexed="11"/>
        </patternFill>
      </fill>
    </dxf>
    <dxf>
      <font>
        <b val="0"/>
        <condense val="0"/>
        <extend val="0"/>
        <sz val="11"/>
        <color indexed="9"/>
      </font>
      <fill>
        <patternFill patternType="solid">
          <fgColor indexed="32"/>
          <bgColor indexed="8"/>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10"/>
          <bgColor indexed="61"/>
        </patternFill>
      </fill>
    </dxf>
    <dxf>
      <font>
        <b val="0"/>
        <condense val="0"/>
        <extend val="0"/>
        <sz val="11"/>
        <color indexed="9"/>
      </font>
      <fill>
        <patternFill patternType="solid">
          <fgColor indexed="59"/>
          <bgColor indexed="63"/>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7213535415239"/>
          <c:y val="9.2105657661979437E-2"/>
          <c:w val="0.82217657207825179"/>
          <c:h val="0.61842370144471903"/>
        </c:manualLayout>
      </c:layout>
      <c:barChart>
        <c:barDir val="col"/>
        <c:grouping val="clustered"/>
        <c:varyColors val="0"/>
        <c:ser>
          <c:idx val="0"/>
          <c:order val="0"/>
          <c:spPr>
            <a:solidFill>
              <a:srgbClr val="993366"/>
            </a:solidFill>
            <a:ln w="3175">
              <a:solidFill>
                <a:srgbClr val="000000"/>
              </a:solidFill>
              <a:prstDash val="solid"/>
            </a:ln>
          </c:spPr>
          <c:invertIfNegative val="0"/>
          <c:val>
            <c:numRef>
              <c:f>'Introducción de datos'!$C$33:$N$33</c:f>
              <c:numCache>
                <c:formatCode>#,##0</c:formatCode>
                <c:ptCount val="12"/>
                <c:pt idx="0">
                  <c:v>2859658.47</c:v>
                </c:pt>
                <c:pt idx="1">
                  <c:v>4235392.8600000003</c:v>
                </c:pt>
                <c:pt idx="2">
                  <c:v>5673864.6699999999</c:v>
                </c:pt>
                <c:pt idx="3">
                  <c:v>7001479.4199999999</c:v>
                </c:pt>
                <c:pt idx="4" formatCode="#.##0">
                  <c:v>0</c:v>
                </c:pt>
                <c:pt idx="5" formatCode="#.##0">
                  <c:v>0</c:v>
                </c:pt>
                <c:pt idx="6" formatCode="#.##0">
                  <c:v>0</c:v>
                </c:pt>
                <c:pt idx="7" formatCode="_-* #,##0.00\ _€_-;\-* #,##0.00\ _€_-;_-* &quot;-&quot;??\ _€_-;_-@_-">
                  <c:v>0</c:v>
                </c:pt>
                <c:pt idx="8" formatCode="#.##0">
                  <c:v>0</c:v>
                </c:pt>
                <c:pt idx="9" formatCode="#.##0">
                  <c:v>0</c:v>
                </c:pt>
                <c:pt idx="10" formatCode="#.##0">
                  <c:v>0</c:v>
                </c:pt>
                <c:pt idx="11" formatCode="#.##0">
                  <c:v>0</c:v>
                </c:pt>
              </c:numCache>
            </c:numRef>
          </c:val>
          <c:extLst>
            <c:ext xmlns:c16="http://schemas.microsoft.com/office/drawing/2014/chart" uri="{C3380CC4-5D6E-409C-BE32-E72D297353CC}">
              <c16:uniqueId val="{00000000-C4FD-44D3-AD14-BEF2BC1A6656}"/>
            </c:ext>
          </c:extLst>
        </c:ser>
        <c:ser>
          <c:idx val="1"/>
          <c:order val="1"/>
          <c:spPr>
            <a:solidFill>
              <a:srgbClr val="0070C0"/>
            </a:solidFill>
            <a:ln w="3175">
              <a:solidFill>
                <a:srgbClr val="000000"/>
              </a:solidFill>
              <a:prstDash val="solid"/>
            </a:ln>
          </c:spPr>
          <c:invertIfNegative val="0"/>
          <c:val>
            <c:numRef>
              <c:f>'Introducción de datos'!$C$34:$N$34</c:f>
              <c:numCache>
                <c:formatCode>#.##0</c:formatCode>
                <c:ptCount val="12"/>
                <c:pt idx="0">
                  <c:v>3562573</c:v>
                </c:pt>
                <c:pt idx="1">
                  <c:v>4235392</c:v>
                </c:pt>
                <c:pt idx="2">
                  <c:v>4235392</c:v>
                </c:pt>
                <c:pt idx="3">
                  <c:v>4235392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4FD-44D3-AD14-BEF2BC1A6656}"/>
            </c:ext>
          </c:extLst>
        </c:ser>
        <c:dLbls>
          <c:showLegendKey val="0"/>
          <c:showVal val="0"/>
          <c:showCatName val="0"/>
          <c:showSerName val="0"/>
          <c:showPercent val="0"/>
          <c:showBubbleSize val="0"/>
        </c:dLbls>
        <c:gapWidth val="70"/>
        <c:axId val="316148616"/>
        <c:axId val="1"/>
      </c:barChart>
      <c:catAx>
        <c:axId val="31614861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s-SV"/>
                  <a:t>Periodo de referencia</a:t>
                </a:r>
              </a:p>
            </c:rich>
          </c:tx>
          <c:layout>
            <c:manualLayout>
              <c:xMode val="edge"/>
              <c:yMode val="edge"/>
              <c:x val="0.46862003884734532"/>
              <c:y val="0.80263545435198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s-SV"/>
          </a:p>
        </c:txPr>
        <c:crossAx val="316148616"/>
        <c:crossesAt val="1"/>
        <c:crossBetween val="between"/>
      </c:valAx>
      <c:spPr>
        <a:solidFill>
          <a:srgbClr val="FFFFFF"/>
        </a:solidFill>
        <a:ln w="3175">
          <a:solidFill>
            <a:srgbClr val="000000"/>
          </a:solidFill>
          <a:prstDash val="solid"/>
        </a:ln>
      </c:spPr>
    </c:plotArea>
    <c:legend>
      <c:legendPos val="r"/>
      <c:layout>
        <c:manualLayout>
          <c:xMode val="edge"/>
          <c:yMode val="edge"/>
          <c:x val="0.14146347079183769"/>
          <c:y val="0.86547701093111851"/>
          <c:w val="0.63902464392174951"/>
          <c:h val="0.10762408426086446"/>
        </c:manualLayout>
      </c:layout>
      <c:overlay val="0"/>
      <c:spPr>
        <a:solidFill>
          <a:srgbClr val="FFFFFF"/>
        </a:solidFill>
        <a:ln w="3175">
          <a:solidFill>
            <a:srgbClr val="000000"/>
          </a:solidFill>
          <a:prstDash val="solid"/>
        </a:ln>
      </c:spPr>
      <c:txPr>
        <a:bodyPr/>
        <a:lstStyle/>
        <a:p>
          <a:pPr>
            <a:defRPr sz="30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30136986301367E-2"/>
          <c:y val="0.1256544502617801"/>
          <c:w val="0.8575342465753425"/>
          <c:h val="0.64397905759162299"/>
        </c:manualLayout>
      </c:layout>
      <c:barChart>
        <c:barDir val="col"/>
        <c:grouping val="clustered"/>
        <c:varyColors val="0"/>
        <c:ser>
          <c:idx val="0"/>
          <c:order val="0"/>
          <c:spPr>
            <a:solidFill>
              <a:srgbClr val="0066CC"/>
            </a:solidFill>
            <a:ln w="25400">
              <a:noFill/>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formatCode>#.##0</c:formatCode>
                <c:ptCount val="10"/>
                <c:pt idx="0">
                  <c:v>1615</c:v>
                </c:pt>
              </c:numCache>
            </c:numRef>
          </c:val>
          <c:extLst>
            <c:ext xmlns:c16="http://schemas.microsoft.com/office/drawing/2014/chart" uri="{C3380CC4-5D6E-409C-BE32-E72D297353CC}">
              <c16:uniqueId val="{00000000-F2E5-4430-9127-EE504E9C6B7A}"/>
            </c:ext>
          </c:extLst>
        </c:ser>
        <c:ser>
          <c:idx val="1"/>
          <c:order val="1"/>
          <c:spPr>
            <a:solidFill>
              <a:srgbClr val="00CCFF"/>
            </a:solidFill>
            <a:ln w="25400">
              <a:noFill/>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formatCode>#.##0</c:formatCode>
                <c:ptCount val="10"/>
                <c:pt idx="0">
                  <c:v>1631</c:v>
                </c:pt>
              </c:numCache>
            </c:numRef>
          </c:val>
          <c:extLst>
            <c:ext xmlns:c16="http://schemas.microsoft.com/office/drawing/2014/chart" uri="{C3380CC4-5D6E-409C-BE32-E72D297353CC}">
              <c16:uniqueId val="{00000001-F2E5-4430-9127-EE504E9C6B7A}"/>
            </c:ext>
          </c:extLst>
        </c:ser>
        <c:dLbls>
          <c:showLegendKey val="0"/>
          <c:showVal val="0"/>
          <c:showCatName val="0"/>
          <c:showSerName val="0"/>
          <c:showPercent val="0"/>
          <c:showBubbleSize val="0"/>
        </c:dLbls>
        <c:gapWidth val="150"/>
        <c:axId val="316152880"/>
        <c:axId val="1"/>
      </c:barChart>
      <c:catAx>
        <c:axId val="31615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316152880"/>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55774802851367E-2"/>
          <c:y val="0.13989672698937164"/>
          <c:w val="0.87862910031165009"/>
          <c:h val="0.64248867209933636"/>
        </c:manualLayout>
      </c:layout>
      <c:barChart>
        <c:barDir val="col"/>
        <c:grouping val="clustered"/>
        <c:varyColors val="0"/>
        <c:ser>
          <c:idx val="0"/>
          <c:order val="0"/>
          <c:spPr>
            <a:solidFill>
              <a:srgbClr val="0066CC"/>
            </a:solidFill>
            <a:ln w="25400">
              <a:noFill/>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datos'!$H$129:$Q$129</c:f>
              <c:numCache>
                <c:formatCode>#.##0</c:formatCode>
                <c:ptCount val="10"/>
                <c:pt idx="0">
                  <c:v>18118</c:v>
                </c:pt>
              </c:numCache>
            </c:numRef>
          </c:val>
          <c:extLst>
            <c:ext xmlns:c16="http://schemas.microsoft.com/office/drawing/2014/chart" uri="{C3380CC4-5D6E-409C-BE32-E72D297353CC}">
              <c16:uniqueId val="{00000000-F0F9-47C9-8ACD-177AF01B3C95}"/>
            </c:ext>
          </c:extLst>
        </c:ser>
        <c:ser>
          <c:idx val="1"/>
          <c:order val="1"/>
          <c:spPr>
            <a:solidFill>
              <a:srgbClr val="00CCFF"/>
            </a:solidFill>
            <a:ln w="12700">
              <a:solidFill>
                <a:srgbClr val="000000"/>
              </a:solidFill>
              <a:prstDash val="solid"/>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formatCode>#.##0</c:formatCode>
                <c:ptCount val="10"/>
                <c:pt idx="0">
                  <c:v>18230</c:v>
                </c:pt>
              </c:numCache>
            </c:numRef>
          </c:val>
          <c:extLst>
            <c:ext xmlns:c16="http://schemas.microsoft.com/office/drawing/2014/chart" uri="{C3380CC4-5D6E-409C-BE32-E72D297353CC}">
              <c16:uniqueId val="{00000001-F0F9-47C9-8ACD-177AF01B3C95}"/>
            </c:ext>
          </c:extLst>
        </c:ser>
        <c:dLbls>
          <c:showLegendKey val="0"/>
          <c:showVal val="0"/>
          <c:showCatName val="0"/>
          <c:showSerName val="0"/>
          <c:showPercent val="0"/>
          <c:showBubbleSize val="0"/>
        </c:dLbls>
        <c:gapWidth val="150"/>
        <c:axId val="419925304"/>
        <c:axId val="1"/>
      </c:barChart>
      <c:catAx>
        <c:axId val="419925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419925304"/>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37388299555339"/>
          <c:y val="2.0959041718019281E-2"/>
          <c:w val="0.6735174834062041"/>
          <c:h val="0.65322580645161288"/>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prstDash val="solid"/>
            </a:ln>
          </c:spPr>
          <c:invertIfNegative val="0"/>
          <c:cat>
            <c:strRef>
              <c:f>'Introducción de datos'!$B$52:$B$57</c:f>
              <c:strCache>
                <c:ptCount val="6"/>
                <c:pt idx="0">
                  <c:v> Desembolsado por el Fondo Mundial </c:v>
                </c:pt>
                <c:pt idx="1">
                  <c:v> Gasto RP </c:v>
                </c:pt>
                <c:pt idx="2">
                  <c:v> Desembolsado a los subreceptores </c:v>
                </c:pt>
                <c:pt idx="3">
                  <c:v> Gastos de los subreceptores </c:v>
                </c:pt>
                <c:pt idx="4">
                  <c:v> Compromisos al 31 de diciembre de 2017 </c:v>
                </c:pt>
                <c:pt idx="5">
                  <c:v> Saldo en caja** </c:v>
                </c:pt>
              </c:strCache>
            </c:strRef>
          </c:cat>
          <c:val>
            <c:numRef>
              <c:f>'Introducción de datos'!$C$52:$C$57</c:f>
              <c:numCache>
                <c:formatCode>_-* #,##0.00\ _€_-;\-* #,##0.00\ _€_-;_-* \-??\ _€_-;_-@_-</c:formatCode>
                <c:ptCount val="6"/>
                <c:pt idx="0">
                  <c:v>3562573</c:v>
                </c:pt>
                <c:pt idx="1">
                  <c:v>486936.45</c:v>
                </c:pt>
                <c:pt idx="2">
                  <c:v>737969.59</c:v>
                </c:pt>
                <c:pt idx="3">
                  <c:v>600906.29</c:v>
                </c:pt>
              </c:numCache>
            </c:numRef>
          </c:val>
          <c:extLst>
            <c:ext xmlns:c16="http://schemas.microsoft.com/office/drawing/2014/chart" uri="{C3380CC4-5D6E-409C-BE32-E72D297353CC}">
              <c16:uniqueId val="{00000000-013B-4BE8-B9A8-66F988A39AD1}"/>
            </c:ext>
          </c:extLst>
        </c:ser>
        <c:ser>
          <c:idx val="1"/>
          <c:order val="1"/>
          <c:tx>
            <c:strRef>
              <c:f>Financiamiento!$M$15</c:f>
              <c:strCache>
                <c:ptCount val="1"/>
                <c:pt idx="0">
                  <c:v>Periodo Actual</c:v>
                </c:pt>
              </c:strCache>
            </c:strRef>
          </c:tx>
          <c:spPr>
            <a:solidFill>
              <a:srgbClr val="93CDDD"/>
            </a:solidFill>
            <a:ln w="3175">
              <a:solidFill>
                <a:srgbClr val="000000"/>
              </a:solidFill>
              <a:prstDash val="solid"/>
            </a:ln>
          </c:spPr>
          <c:invertIfNegative val="0"/>
          <c:cat>
            <c:strRef>
              <c:f>'Introducción de datos'!$B$52:$B$57</c:f>
              <c:strCache>
                <c:ptCount val="6"/>
                <c:pt idx="0">
                  <c:v> Desembolsado por el Fondo Mundial </c:v>
                </c:pt>
                <c:pt idx="1">
                  <c:v> Gasto RP </c:v>
                </c:pt>
                <c:pt idx="2">
                  <c:v> Desembolsado a los subreceptores </c:v>
                </c:pt>
                <c:pt idx="3">
                  <c:v> Gastos de los subreceptores </c:v>
                </c:pt>
                <c:pt idx="4">
                  <c:v> Compromisos al 31 de diciembre de 2017 </c:v>
                </c:pt>
                <c:pt idx="5">
                  <c:v> Saldo en caja** </c:v>
                </c:pt>
              </c:strCache>
            </c:strRef>
          </c:cat>
          <c:val>
            <c:numRef>
              <c:f>'Introducción de datos'!$D$52:$D$57</c:f>
              <c:numCache>
                <c:formatCode>_-* #,##0.00\ _€_-;\-* #,##0.00\ _€_-;_-* \-??\ _€_-;_-@_-</c:formatCode>
                <c:ptCount val="6"/>
                <c:pt idx="0">
                  <c:v>672819</c:v>
                </c:pt>
                <c:pt idx="1">
                  <c:v>875684.67</c:v>
                </c:pt>
                <c:pt idx="2">
                  <c:v>762395.97</c:v>
                </c:pt>
                <c:pt idx="3">
                  <c:v>818088.53</c:v>
                </c:pt>
                <c:pt idx="4">
                  <c:v>594039.84</c:v>
                </c:pt>
                <c:pt idx="5">
                  <c:v>1748662.86</c:v>
                </c:pt>
              </c:numCache>
            </c:numRef>
          </c:val>
          <c:extLst>
            <c:ext xmlns:c16="http://schemas.microsoft.com/office/drawing/2014/chart" uri="{C3380CC4-5D6E-409C-BE32-E72D297353CC}">
              <c16:uniqueId val="{00000001-013B-4BE8-B9A8-66F988A39AD1}"/>
            </c:ext>
          </c:extLst>
        </c:ser>
        <c:dLbls>
          <c:showLegendKey val="0"/>
          <c:showVal val="0"/>
          <c:showCatName val="0"/>
          <c:showSerName val="0"/>
          <c:showPercent val="0"/>
          <c:showBubbleSize val="0"/>
        </c:dLbls>
        <c:gapWidth val="150"/>
        <c:overlap val="100"/>
        <c:axId val="419081008"/>
        <c:axId val="1"/>
      </c:barChart>
      <c:catAx>
        <c:axId val="4190810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s-SV"/>
          </a:p>
        </c:txPr>
        <c:crossAx val="1"/>
        <c:crossesAt val="0"/>
        <c:auto val="1"/>
        <c:lblAlgn val="ctr"/>
        <c:lblOffset val="100"/>
        <c:tickLblSkip val="2"/>
        <c:tickMarkSkip val="1"/>
        <c:noMultiLvlLbl val="0"/>
      </c:catAx>
      <c:valAx>
        <c:axId val="1"/>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a:pPr>
            <a:endParaRPr lang="es-SV"/>
          </a:p>
        </c:txPr>
        <c:crossAx val="419081008"/>
        <c:crossesAt val="1"/>
        <c:crossBetween val="between"/>
      </c:valAx>
      <c:dTable>
        <c:showHorzBorder val="1"/>
        <c:showVertBorder val="1"/>
        <c:showOutline val="1"/>
        <c:showKeys val="1"/>
        <c:txPr>
          <a:bodyPr/>
          <a:lstStyle/>
          <a:p>
            <a:pPr rtl="0">
              <a:defRPr sz="900"/>
            </a:pPr>
            <a:endParaRPr lang="es-SV"/>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30927536521313"/>
          <c:y val="0.12735849056603774"/>
          <c:w val="0.75051274626299336"/>
          <c:h val="0.7358490566037735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prstDash val="solid"/>
            </a:ln>
          </c:spPr>
          <c:invertIfNegative val="0"/>
          <c:cat>
            <c:strRef>
              <c:f>'Introducción de datos'!$B$39:$B$44</c:f>
              <c:strCache>
                <c:ptCount val="5"/>
                <c:pt idx="0">
                  <c:v> Modulo 1: M&amp;E </c:v>
                </c:pt>
                <c:pt idx="1">
                  <c:v> Modulo 2: Prevencion en HSH y Trans </c:v>
                </c:pt>
                <c:pt idx="2">
                  <c:v> Modulo 3: Prevención en TS </c:v>
                </c:pt>
                <c:pt idx="3">
                  <c:v> Modulo 4: Programa Administrativo </c:v>
                </c:pt>
                <c:pt idx="4">
                  <c:v> Modulo 5: Cuidado y Tratamiento </c:v>
                </c:pt>
              </c:strCache>
            </c:strRef>
          </c:cat>
          <c:val>
            <c:numRef>
              <c:f>'Introducción de datos'!$C$39:$C$44</c:f>
              <c:numCache>
                <c:formatCode>#,##0.00\ _€;[Red]#,##0.00\ _€</c:formatCode>
                <c:ptCount val="6"/>
                <c:pt idx="0">
                  <c:v>169982.2</c:v>
                </c:pt>
                <c:pt idx="1">
                  <c:v>1871278.8</c:v>
                </c:pt>
                <c:pt idx="2">
                  <c:v>1409563.26</c:v>
                </c:pt>
                <c:pt idx="3">
                  <c:v>635688.52</c:v>
                </c:pt>
                <c:pt idx="4">
                  <c:v>148880.07999999999</c:v>
                </c:pt>
              </c:numCache>
            </c:numRef>
          </c:val>
          <c:extLst>
            <c:ext xmlns:c16="http://schemas.microsoft.com/office/drawing/2014/chart" uri="{C3380CC4-5D6E-409C-BE32-E72D297353CC}">
              <c16:uniqueId val="{00000000-7A13-4352-9AD8-FC4D8F7BE293}"/>
            </c:ext>
          </c:extLst>
        </c:ser>
        <c:ser>
          <c:idx val="1"/>
          <c:order val="1"/>
          <c:tx>
            <c:strRef>
              <c:f>Financiamiento!$C$34</c:f>
              <c:strCache>
                <c:ptCount val="1"/>
                <c:pt idx="0">
                  <c:v>Gastos acumulados</c:v>
                </c:pt>
              </c:strCache>
            </c:strRef>
          </c:tx>
          <c:spPr>
            <a:solidFill>
              <a:srgbClr val="CCC1DA"/>
            </a:solidFill>
            <a:ln w="3175">
              <a:solidFill>
                <a:srgbClr val="800000"/>
              </a:solidFill>
              <a:prstDash val="solid"/>
            </a:ln>
          </c:spPr>
          <c:invertIfNegative val="0"/>
          <c:cat>
            <c:strRef>
              <c:f>'Introducción de datos'!$B$39:$B$44</c:f>
              <c:strCache>
                <c:ptCount val="5"/>
                <c:pt idx="0">
                  <c:v> Modulo 1: M&amp;E </c:v>
                </c:pt>
                <c:pt idx="1">
                  <c:v> Modulo 2: Prevencion en HSH y Trans </c:v>
                </c:pt>
                <c:pt idx="2">
                  <c:v> Modulo 3: Prevención en TS </c:v>
                </c:pt>
                <c:pt idx="3">
                  <c:v> Modulo 4: Programa Administrativo </c:v>
                </c:pt>
                <c:pt idx="4">
                  <c:v> Modulo 5: Cuidado y Tratamiento </c:v>
                </c:pt>
              </c:strCache>
            </c:strRef>
          </c:cat>
          <c:val>
            <c:numRef>
              <c:f>'Introducción de datos'!$D$39:$D$44</c:f>
              <c:numCache>
                <c:formatCode>#,##0.00\ _€;[Red]#,##0.00\ _€</c:formatCode>
                <c:ptCount val="6"/>
                <c:pt idx="0">
                  <c:v>112889.74</c:v>
                </c:pt>
                <c:pt idx="1">
                  <c:v>1353685.2</c:v>
                </c:pt>
                <c:pt idx="2">
                  <c:v>682176.43</c:v>
                </c:pt>
                <c:pt idx="3">
                  <c:v>495645.6</c:v>
                </c:pt>
                <c:pt idx="4">
                  <c:v>137218.97</c:v>
                </c:pt>
              </c:numCache>
            </c:numRef>
          </c:val>
          <c:extLst>
            <c:ext xmlns:c16="http://schemas.microsoft.com/office/drawing/2014/chart" uri="{C3380CC4-5D6E-409C-BE32-E72D297353CC}">
              <c16:uniqueId val="{00000001-7A13-4352-9AD8-FC4D8F7BE293}"/>
            </c:ext>
          </c:extLst>
        </c:ser>
        <c:dLbls>
          <c:showLegendKey val="0"/>
          <c:showVal val="0"/>
          <c:showCatName val="0"/>
          <c:showSerName val="0"/>
          <c:showPercent val="0"/>
          <c:showBubbleSize val="0"/>
        </c:dLbls>
        <c:gapWidth val="150"/>
        <c:axId val="419079368"/>
        <c:axId val="1"/>
      </c:barChart>
      <c:catAx>
        <c:axId val="41907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s-SV"/>
          </a:p>
        </c:txPr>
        <c:crossAx val="419079368"/>
        <c:crossesAt val="1"/>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42606667134E-2"/>
          <c:y val="0.23188569891940472"/>
          <c:w val="0.85102125619943414"/>
          <c:h val="0.40579997310895827"/>
        </c:manualLayout>
      </c:layout>
      <c:barChart>
        <c:barDir val="bar"/>
        <c:grouping val="percentStacked"/>
        <c:varyColors val="0"/>
        <c:ser>
          <c:idx val="0"/>
          <c:order val="0"/>
          <c:tx>
            <c:strRef>
              <c:f>'Introducción de datos'!$D$81</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F47A-4414-A82A-8F056E07F70F}"/>
              </c:ext>
            </c:extLst>
          </c:dPt>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F47A-4414-A82A-8F056E07F70F}"/>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datos'!$D$82</c:f>
              <c:numCache>
                <c:formatCode>General</c:formatCode>
                <c:ptCount val="1"/>
                <c:pt idx="0">
                  <c:v>6</c:v>
                </c:pt>
              </c:numCache>
            </c:numRef>
          </c:val>
          <c:extLst>
            <c:ext xmlns:c16="http://schemas.microsoft.com/office/drawing/2014/chart" uri="{C3380CC4-5D6E-409C-BE32-E72D297353CC}">
              <c16:uniqueId val="{00000001-F47A-4414-A82A-8F056E07F70F}"/>
            </c:ext>
          </c:extLst>
        </c:ser>
        <c:ser>
          <c:idx val="1"/>
          <c:order val="1"/>
          <c:tx>
            <c:strRef>
              <c:f>'Introducción de datos'!$E$81</c:f>
              <c:strCache>
                <c:ptCount val="1"/>
                <c:pt idx="0">
                  <c:v> Vacantes </c:v>
                </c:pt>
              </c:strCache>
            </c:strRef>
          </c:tx>
          <c:spPr>
            <a:solidFill>
              <a:srgbClr val="FF5050"/>
            </a:solidFill>
            <a:ln w="25400">
              <a:noFill/>
            </a:ln>
          </c:spPr>
          <c:invertIfNegative val="0"/>
          <c:dLbls>
            <c:dLbl>
              <c:idx val="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F47A-4414-A82A-8F056E07F70F}"/>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datos'!$E$82</c:f>
              <c:numCache>
                <c:formatCode>General</c:formatCode>
                <c:ptCount val="1"/>
                <c:pt idx="0">
                  <c:v>0</c:v>
                </c:pt>
              </c:numCache>
            </c:numRef>
          </c:val>
          <c:extLst>
            <c:ext xmlns:c16="http://schemas.microsoft.com/office/drawing/2014/chart" uri="{C3380CC4-5D6E-409C-BE32-E72D297353CC}">
              <c16:uniqueId val="{00000003-F47A-4414-A82A-8F056E07F70F}"/>
            </c:ext>
          </c:extLst>
        </c:ser>
        <c:dLbls>
          <c:showLegendKey val="0"/>
          <c:showVal val="0"/>
          <c:showCatName val="0"/>
          <c:showSerName val="0"/>
          <c:showPercent val="0"/>
          <c:showBubbleSize val="0"/>
        </c:dLbls>
        <c:gapWidth val="79"/>
        <c:overlap val="100"/>
        <c:axId val="419217728"/>
        <c:axId val="1"/>
      </c:barChart>
      <c:catAx>
        <c:axId val="419217728"/>
        <c:scaling>
          <c:orientation val="minMax"/>
        </c:scaling>
        <c:delete val="1"/>
        <c:axPos val="l"/>
        <c:majorTickMark val="out"/>
        <c:minorTickMark val="none"/>
        <c:tickLblPos val="nextTo"/>
        <c:crossAx val="1"/>
        <c:crossesAt val="0"/>
        <c:auto val="1"/>
        <c:lblAlgn val="ctr"/>
        <c:lblOffset val="100"/>
        <c:noMultiLvlLbl val="0"/>
      </c:catAx>
      <c:valAx>
        <c:axId val="1"/>
        <c:scaling>
          <c:orientation val="minMax"/>
        </c:scaling>
        <c:delete val="0"/>
        <c:axPos val="t"/>
        <c:majorGridlines>
          <c:spPr>
            <a:ln w="3175">
              <a:solidFill>
                <a:srgbClr val="808080"/>
              </a:solidFill>
              <a:prstDash val="solid"/>
            </a:ln>
          </c:spPr>
        </c:majorGridlines>
        <c:numFmt formatCode="0%"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419217728"/>
        <c:crosses val="max"/>
        <c:crossBetween val="between"/>
      </c:valAx>
      <c:spPr>
        <a:solidFill>
          <a:srgbClr val="FFFFFF"/>
        </a:solidFill>
        <a:ln w="25400">
          <a:noFill/>
        </a:ln>
      </c:spPr>
    </c:plotArea>
    <c:legend>
      <c:legendPos val="r"/>
      <c:layout>
        <c:manualLayout>
          <c:xMode val="edge"/>
          <c:yMode val="edge"/>
          <c:x val="0.2652285496568475"/>
          <c:y val="0.78286096542045058"/>
          <c:w val="0.41878192051081187"/>
          <c:h val="0.16000078125381473"/>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4965236541928"/>
          <c:y val="0.17616624880143095"/>
          <c:w val="0.86896746804837477"/>
          <c:h val="0.58549370925181465"/>
        </c:manualLayout>
      </c:layout>
      <c:barChart>
        <c:barDir val="col"/>
        <c:grouping val="clustered"/>
        <c:varyColors val="0"/>
        <c:ser>
          <c:idx val="0"/>
          <c:order val="0"/>
          <c:tx>
            <c:strRef>
              <c:f>'Introducción de datos'!$C$86</c:f>
              <c:strCache>
                <c:ptCount val="1"/>
                <c:pt idx="0">
                  <c:v> Identificados </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datos'!$C$87</c:f>
              <c:numCache>
                <c:formatCode>General</c:formatCode>
                <c:ptCount val="1"/>
                <c:pt idx="0">
                  <c:v>8</c:v>
                </c:pt>
              </c:numCache>
            </c:numRef>
          </c:val>
          <c:extLst>
            <c:ext xmlns:c16="http://schemas.microsoft.com/office/drawing/2014/chart" uri="{C3380CC4-5D6E-409C-BE32-E72D297353CC}">
              <c16:uniqueId val="{00000001-98A8-461E-8847-4A4E581261CA}"/>
            </c:ext>
          </c:extLst>
        </c:ser>
        <c:ser>
          <c:idx val="1"/>
          <c:order val="1"/>
          <c:tx>
            <c:strRef>
              <c:f>'Introducción de datos'!$D$86</c:f>
              <c:strCache>
                <c:ptCount val="1"/>
                <c:pt idx="0">
                  <c:v> Evaluados </c:v>
                </c:pt>
              </c:strCache>
            </c:strRef>
          </c:tx>
          <c:spPr>
            <a:solidFill>
              <a:srgbClr val="F2F2F2"/>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2-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datos'!$D$87</c:f>
              <c:numCache>
                <c:formatCode>General</c:formatCode>
                <c:ptCount val="1"/>
                <c:pt idx="0">
                  <c:v>8</c:v>
                </c:pt>
              </c:numCache>
            </c:numRef>
          </c:val>
          <c:extLst>
            <c:ext xmlns:c16="http://schemas.microsoft.com/office/drawing/2014/chart" uri="{C3380CC4-5D6E-409C-BE32-E72D297353CC}">
              <c16:uniqueId val="{00000003-98A8-461E-8847-4A4E581261CA}"/>
            </c:ext>
          </c:extLst>
        </c:ser>
        <c:ser>
          <c:idx val="2"/>
          <c:order val="2"/>
          <c:tx>
            <c:strRef>
              <c:f>'Introducción de datos'!$E$86</c:f>
              <c:strCache>
                <c:ptCount val="1"/>
                <c:pt idx="0">
                  <c:v> Aprobados </c:v>
                </c:pt>
              </c:strCache>
            </c:strRef>
          </c:tx>
          <c:spPr>
            <a:solidFill>
              <a:srgbClr val="D9D9D9"/>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4-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datos'!$E$87</c:f>
              <c:numCache>
                <c:formatCode>General</c:formatCode>
                <c:ptCount val="1"/>
                <c:pt idx="0">
                  <c:v>8</c:v>
                </c:pt>
              </c:numCache>
            </c:numRef>
          </c:val>
          <c:extLst>
            <c:ext xmlns:c16="http://schemas.microsoft.com/office/drawing/2014/chart" uri="{C3380CC4-5D6E-409C-BE32-E72D297353CC}">
              <c16:uniqueId val="{00000005-98A8-461E-8847-4A4E581261CA}"/>
            </c:ext>
          </c:extLst>
        </c:ser>
        <c:ser>
          <c:idx val="3"/>
          <c:order val="3"/>
          <c:tx>
            <c:strRef>
              <c:f>'Introducción de datos'!$F$86</c:f>
              <c:strCache>
                <c:ptCount val="1"/>
                <c:pt idx="0">
                  <c:v> Firmados </c:v>
                </c:pt>
              </c:strCache>
            </c:strRef>
          </c:tx>
          <c:spPr>
            <a:solidFill>
              <a:srgbClr val="BFBFBF"/>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6-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datos'!$F$87</c:f>
              <c:numCache>
                <c:formatCode>General</c:formatCode>
                <c:ptCount val="1"/>
                <c:pt idx="0">
                  <c:v>8</c:v>
                </c:pt>
              </c:numCache>
            </c:numRef>
          </c:val>
          <c:extLst>
            <c:ext xmlns:c16="http://schemas.microsoft.com/office/drawing/2014/chart" uri="{C3380CC4-5D6E-409C-BE32-E72D297353CC}">
              <c16:uniqueId val="{00000007-98A8-461E-8847-4A4E581261CA}"/>
            </c:ext>
          </c:extLst>
        </c:ser>
        <c:ser>
          <c:idx val="4"/>
          <c:order val="4"/>
          <c:tx>
            <c:strRef>
              <c:f>'Introducción de datos'!$G$86</c:f>
              <c:strCache>
                <c:ptCount val="1"/>
                <c:pt idx="0">
                  <c:v> Que reciben financiación </c:v>
                </c:pt>
              </c:strCache>
            </c:strRef>
          </c:tx>
          <c:spPr>
            <a:solidFill>
              <a:srgbClr val="A6A6A6"/>
            </a:solidFill>
            <a:ln w="25400">
              <a:noFill/>
            </a:ln>
          </c:spPr>
          <c:invertIfNegative val="0"/>
          <c:dPt>
            <c:idx val="0"/>
            <c:invertIfNegative val="0"/>
            <c:bubble3D val="0"/>
            <c:spPr>
              <a:solidFill>
                <a:srgbClr val="A6A6A6"/>
              </a:solidFill>
              <a:ln w="12700">
                <a:solidFill>
                  <a:srgbClr val="000000"/>
                </a:solidFill>
                <a:prstDash val="solid"/>
              </a:ln>
            </c:spPr>
            <c:extLst>
              <c:ext xmlns:c16="http://schemas.microsoft.com/office/drawing/2014/chart" uri="{C3380CC4-5D6E-409C-BE32-E72D297353CC}">
                <c16:uniqueId val="{00000008-98A8-461E-8847-4A4E581261CA}"/>
              </c:ext>
            </c:extLst>
          </c:dPt>
          <c:dLbls>
            <c:dLbl>
              <c:idx val="0"/>
              <c:spPr>
                <a:noFill/>
                <a:ln w="25400">
                  <a:noFill/>
                </a:ln>
              </c:spPr>
              <c:txPr>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8-98A8-461E-8847-4A4E581261CA}"/>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datos'!$G$87</c:f>
              <c:numCache>
                <c:formatCode>General</c:formatCode>
                <c:ptCount val="1"/>
                <c:pt idx="0">
                  <c:v>8</c:v>
                </c:pt>
              </c:numCache>
            </c:numRef>
          </c:val>
          <c:extLst>
            <c:ext xmlns:c16="http://schemas.microsoft.com/office/drawing/2014/chart" uri="{C3380CC4-5D6E-409C-BE32-E72D297353CC}">
              <c16:uniqueId val="{00000009-98A8-461E-8847-4A4E581261CA}"/>
            </c:ext>
          </c:extLst>
        </c:ser>
        <c:dLbls>
          <c:showLegendKey val="0"/>
          <c:showVal val="0"/>
          <c:showCatName val="0"/>
          <c:showSerName val="0"/>
          <c:showPercent val="0"/>
          <c:showBubbleSize val="0"/>
        </c:dLbls>
        <c:gapWidth val="150"/>
        <c:overlap val="-20"/>
        <c:axId val="419213792"/>
        <c:axId val="1"/>
      </c:barChart>
      <c:catAx>
        <c:axId val="419213792"/>
        <c:scaling>
          <c:orientation val="minMax"/>
        </c:scaling>
        <c:delete val="0"/>
        <c:axPos val="b"/>
        <c:majorTickMark val="none"/>
        <c:minorTickMark val="none"/>
        <c:tickLblPos val="none"/>
        <c:spPr>
          <a:ln w="3175">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419213792"/>
        <c:crosses val="autoZero"/>
        <c:crossBetween val="between"/>
      </c:valAx>
      <c:spPr>
        <a:noFill/>
        <a:ln w="25400">
          <a:noFill/>
        </a:ln>
      </c:spPr>
    </c:plotArea>
    <c:legend>
      <c:legendPos val="r"/>
      <c:layout>
        <c:manualLayout>
          <c:xMode val="edge"/>
          <c:yMode val="edge"/>
          <c:x val="2.1428627481412568E-2"/>
          <c:y val="0.75965784633052391"/>
          <c:w val="0.85178794238614952"/>
          <c:h val="7.7253340304799037E-2"/>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368457410009674"/>
          <c:y val="0.11111186463666882"/>
          <c:w val="0.55789531033646211"/>
          <c:h val="0.52083686548438501"/>
        </c:manualLayout>
      </c:layout>
      <c:barChart>
        <c:barDir val="bar"/>
        <c:grouping val="percentStacked"/>
        <c:varyColors val="0"/>
        <c:ser>
          <c:idx val="0"/>
          <c:order val="0"/>
          <c:spPr>
            <a:solidFill>
              <a:srgbClr val="99CC00"/>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datos'!$B$75:$B$76</c:f>
              <c:strCache>
                <c:ptCount val="2"/>
                <c:pt idx="0">
                  <c:v> Condiciones precedentes </c:v>
                </c:pt>
                <c:pt idx="1">
                  <c:v> Acciones con fecha límite </c:v>
                </c:pt>
              </c:strCache>
            </c:strRef>
          </c:cat>
          <c:val>
            <c:numRef>
              <c:f>'Introducción de datos'!$D$75:$D$76</c:f>
              <c:numCache>
                <c:formatCode>0</c:formatCode>
                <c:ptCount val="2"/>
              </c:numCache>
            </c:numRef>
          </c:val>
          <c:extLst>
            <c:ext xmlns:c16="http://schemas.microsoft.com/office/drawing/2014/chart" uri="{C3380CC4-5D6E-409C-BE32-E72D297353CC}">
              <c16:uniqueId val="{00000000-4F28-43FF-AA35-FD82FE6626AB}"/>
            </c:ext>
          </c:extLst>
        </c:ser>
        <c:ser>
          <c:idx val="1"/>
          <c:order val="1"/>
          <c:spPr>
            <a:solidFill>
              <a:srgbClr val="FFFF99"/>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datos'!$B$75:$B$76</c:f>
              <c:strCache>
                <c:ptCount val="2"/>
                <c:pt idx="0">
                  <c:v> Condiciones precedentes </c:v>
                </c:pt>
                <c:pt idx="1">
                  <c:v> Acciones con fecha límite </c:v>
                </c:pt>
              </c:strCache>
            </c:strRef>
          </c:cat>
          <c:val>
            <c:numRef>
              <c:f>'Introducción de datos'!$E$75:$E$76</c:f>
              <c:numCache>
                <c:formatCode>0</c:formatCode>
                <c:ptCount val="2"/>
                <c:pt idx="0">
                  <c:v>0</c:v>
                </c:pt>
                <c:pt idx="1">
                  <c:v>0</c:v>
                </c:pt>
              </c:numCache>
            </c:numRef>
          </c:val>
          <c:extLst>
            <c:ext xmlns:c16="http://schemas.microsoft.com/office/drawing/2014/chart" uri="{C3380CC4-5D6E-409C-BE32-E72D297353CC}">
              <c16:uniqueId val="{00000001-4F28-43FF-AA35-FD82FE6626AB}"/>
            </c:ext>
          </c:extLst>
        </c:ser>
        <c:ser>
          <c:idx val="2"/>
          <c:order val="2"/>
          <c:spPr>
            <a:solidFill>
              <a:srgbClr val="FF5050"/>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datos'!$B$75:$B$76</c:f>
              <c:strCache>
                <c:ptCount val="2"/>
                <c:pt idx="0">
                  <c:v> Condiciones precedentes </c:v>
                </c:pt>
                <c:pt idx="1">
                  <c:v> Acciones con fecha límite </c:v>
                </c:pt>
              </c:strCache>
            </c:strRef>
          </c:cat>
          <c:val>
            <c:numRef>
              <c:f>'Introducción de datos'!$F$75:$F$76</c:f>
              <c:numCache>
                <c:formatCode>0</c:formatCode>
                <c:ptCount val="2"/>
                <c:pt idx="0">
                  <c:v>0</c:v>
                </c:pt>
                <c:pt idx="1">
                  <c:v>0</c:v>
                </c:pt>
              </c:numCache>
            </c:numRef>
          </c:val>
          <c:extLst>
            <c:ext xmlns:c16="http://schemas.microsoft.com/office/drawing/2014/chart" uri="{C3380CC4-5D6E-409C-BE32-E72D297353CC}">
              <c16:uniqueId val="{00000002-4F28-43FF-AA35-FD82FE6626AB}"/>
            </c:ext>
          </c:extLst>
        </c:ser>
        <c:dLbls>
          <c:showLegendKey val="0"/>
          <c:showVal val="0"/>
          <c:showCatName val="0"/>
          <c:showSerName val="0"/>
          <c:showPercent val="0"/>
          <c:showBubbleSize val="0"/>
        </c:dLbls>
        <c:gapWidth val="70"/>
        <c:overlap val="100"/>
        <c:axId val="419216416"/>
        <c:axId val="1"/>
      </c:barChart>
      <c:catAx>
        <c:axId val="419216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419216416"/>
        <c:crossesAt val="1"/>
        <c:crossBetween val="between"/>
      </c:valAx>
      <c:spPr>
        <a:noFill/>
        <a:ln w="25400">
          <a:noFill/>
        </a:ln>
      </c:spPr>
    </c:plotArea>
    <c:legend>
      <c:legendPos val="r"/>
      <c:layout>
        <c:manualLayout>
          <c:xMode val="edge"/>
          <c:yMode val="edge"/>
          <c:x val="1.4705914618809683E-2"/>
          <c:y val="0.68571763394492014"/>
          <c:w val="0.93627656406421644"/>
          <c:h val="0.16000078125381473"/>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43906839204424"/>
          <c:y val="0.15463917525773196"/>
          <c:w val="0.5403518029601887"/>
          <c:h val="0.52577319587628868"/>
        </c:manualLayout>
      </c:layout>
      <c:barChart>
        <c:barDir val="bar"/>
        <c:grouping val="percentStacked"/>
        <c:varyColors val="0"/>
        <c:ser>
          <c:idx val="0"/>
          <c:order val="0"/>
          <c:tx>
            <c:strRef>
              <c:f>'Introducción de datos'!$D$91</c:f>
              <c:strCache>
                <c:ptCount val="1"/>
                <c:pt idx="0">
                  <c:v> Recibidos </c:v>
                </c:pt>
              </c:strCache>
            </c:strRef>
          </c:tx>
          <c:spPr>
            <a:solidFill>
              <a:srgbClr val="99CC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datos'!$B$92:$B$93</c:f>
              <c:strCache>
                <c:ptCount val="2"/>
                <c:pt idx="0">
                  <c:v> Sub SR al SR </c:v>
                </c:pt>
                <c:pt idx="1">
                  <c:v> SR al RP </c:v>
                </c:pt>
              </c:strCache>
            </c:strRef>
          </c:cat>
          <c:val>
            <c:numRef>
              <c:f>'Introducción de datos'!$D$92:$D$93</c:f>
              <c:numCache>
                <c:formatCode>0</c:formatCode>
                <c:ptCount val="2"/>
                <c:pt idx="0">
                  <c:v>0</c:v>
                </c:pt>
                <c:pt idx="1">
                  <c:v>16</c:v>
                </c:pt>
              </c:numCache>
            </c:numRef>
          </c:val>
          <c:extLst>
            <c:ext xmlns:c16="http://schemas.microsoft.com/office/drawing/2014/chart" uri="{C3380CC4-5D6E-409C-BE32-E72D297353CC}">
              <c16:uniqueId val="{00000000-12D4-4DAE-A739-C7634014C24F}"/>
            </c:ext>
          </c:extLst>
        </c:ser>
        <c:ser>
          <c:idx val="1"/>
          <c:order val="1"/>
          <c:tx>
            <c:strRef>
              <c:f>'Introducción de datos'!$E$91</c:f>
              <c:strCache>
                <c:ptCount val="1"/>
                <c:pt idx="0">
                  <c:v> Pendientes </c:v>
                </c:pt>
              </c:strCache>
            </c:strRef>
          </c:tx>
          <c:spPr>
            <a:solidFill>
              <a:srgbClr val="FF5050"/>
            </a:solidFill>
            <a:ln w="25400">
              <a:noFill/>
            </a:ln>
          </c:spPr>
          <c:invertIfNegative val="0"/>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12D4-4DAE-A739-C7634014C24F}"/>
                </c:ext>
              </c:extLst>
            </c:dLbl>
            <c:dLbl>
              <c:idx val="1"/>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12D4-4DAE-A739-C7634014C24F}"/>
                </c:ext>
              </c:extLst>
            </c:dLbl>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datos'!$B$92:$B$93</c:f>
              <c:strCache>
                <c:ptCount val="2"/>
                <c:pt idx="0">
                  <c:v> Sub SR al SR </c:v>
                </c:pt>
                <c:pt idx="1">
                  <c:v> SR al RP </c:v>
                </c:pt>
              </c:strCache>
            </c:strRef>
          </c:cat>
          <c:val>
            <c:numRef>
              <c:f>'Introducción de datos'!$E$92:$E$93</c:f>
              <c:numCache>
                <c:formatCode>0</c:formatCode>
                <c:ptCount val="2"/>
                <c:pt idx="0">
                  <c:v>0</c:v>
                </c:pt>
                <c:pt idx="1">
                  <c:v>0</c:v>
                </c:pt>
              </c:numCache>
            </c:numRef>
          </c:val>
          <c:extLst>
            <c:ext xmlns:c16="http://schemas.microsoft.com/office/drawing/2014/chart" uri="{C3380CC4-5D6E-409C-BE32-E72D297353CC}">
              <c16:uniqueId val="{00000003-12D4-4DAE-A739-C7634014C24F}"/>
            </c:ext>
          </c:extLst>
        </c:ser>
        <c:dLbls>
          <c:showLegendKey val="0"/>
          <c:showVal val="0"/>
          <c:showCatName val="0"/>
          <c:showSerName val="0"/>
          <c:showPercent val="0"/>
          <c:showBubbleSize val="0"/>
        </c:dLbls>
        <c:gapWidth val="79"/>
        <c:overlap val="100"/>
        <c:axId val="419459360"/>
        <c:axId val="1"/>
      </c:barChart>
      <c:catAx>
        <c:axId val="419459360"/>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At val="0"/>
        <c:auto val="1"/>
        <c:lblAlgn val="ctr"/>
        <c:lblOffset val="100"/>
        <c:tickLblSkip val="1"/>
        <c:tickMarkSkip val="1"/>
        <c:noMultiLvlLbl val="0"/>
      </c:catAx>
      <c:valAx>
        <c:axId val="1"/>
        <c:scaling>
          <c:orientation val="minMax"/>
        </c:scaling>
        <c:delete val="0"/>
        <c:axPos val="t"/>
        <c:majorGridlines>
          <c:spPr>
            <a:ln w="3175">
              <a:solidFill>
                <a:srgbClr val="808080"/>
              </a:solidFill>
              <a:prstDash val="solid"/>
            </a:ln>
          </c:spPr>
        </c:majorGridlines>
        <c:numFmt formatCode="0%"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419459360"/>
        <c:crosses val="max"/>
        <c:crossBetween val="between"/>
      </c:valAx>
      <c:spPr>
        <a:solidFill>
          <a:srgbClr val="FFFFFF"/>
        </a:solidFill>
        <a:ln w="25400">
          <a:noFill/>
        </a:ln>
      </c:spPr>
    </c:plotArea>
    <c:legend>
      <c:legendPos val="r"/>
      <c:layout>
        <c:manualLayout>
          <c:xMode val="edge"/>
          <c:yMode val="edge"/>
          <c:x val="0.33894565572708146"/>
          <c:y val="0.80342089901367963"/>
          <c:w val="0.29966387443420783"/>
          <c:h val="0.11965843176799486"/>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03296703296702"/>
          <c:y val="0.13513538989991158"/>
          <c:w val="0.78021978021978022"/>
          <c:h val="0.53668054845964885"/>
        </c:manualLayout>
      </c:layout>
      <c:lineChart>
        <c:grouping val="standard"/>
        <c:varyColors val="0"/>
        <c:ser>
          <c:idx val="0"/>
          <c:order val="0"/>
          <c:spPr>
            <a:ln w="254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datos'!$C$102:$N$102</c:f>
              <c:numCache>
                <c:formatCode>#.##0</c:formatCode>
                <c:ptCount val="12"/>
                <c:pt idx="0">
                  <c:v>928047.13</c:v>
                </c:pt>
                <c:pt idx="1">
                  <c:v>928047.13</c:v>
                </c:pt>
                <c:pt idx="2">
                  <c:v>959873.9</c:v>
                </c:pt>
                <c:pt idx="3">
                  <c:v>959873.9</c:v>
                </c:pt>
                <c:pt idx="4">
                  <c:v>959873.9</c:v>
                </c:pt>
                <c:pt idx="5">
                  <c:v>959873.9</c:v>
                </c:pt>
                <c:pt idx="6">
                  <c:v>959873.9</c:v>
                </c:pt>
                <c:pt idx="7">
                  <c:v>959873.9</c:v>
                </c:pt>
                <c:pt idx="8">
                  <c:v>959873.9</c:v>
                </c:pt>
                <c:pt idx="9">
                  <c:v>959873.9</c:v>
                </c:pt>
                <c:pt idx="10">
                  <c:v>959873.9</c:v>
                </c:pt>
                <c:pt idx="11">
                  <c:v>959873.9</c:v>
                </c:pt>
              </c:numCache>
            </c:numRef>
          </c:val>
          <c:smooth val="0"/>
          <c:extLst>
            <c:ext xmlns:c16="http://schemas.microsoft.com/office/drawing/2014/chart" uri="{C3380CC4-5D6E-409C-BE32-E72D297353CC}">
              <c16:uniqueId val="{00000000-F289-4D52-BCFE-0AB397B6796A}"/>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datos'!$C$103:$N$103</c:f>
              <c:numCache>
                <c:formatCode>#.##0</c:formatCode>
                <c:ptCount val="12"/>
                <c:pt idx="0">
                  <c:v>0</c:v>
                </c:pt>
                <c:pt idx="1">
                  <c:v>321963.14</c:v>
                </c:pt>
                <c:pt idx="2">
                  <c:v>321963.14</c:v>
                </c:pt>
                <c:pt idx="3">
                  <c:v>321963.14</c:v>
                </c:pt>
                <c:pt idx="4">
                  <c:v>321963.14</c:v>
                </c:pt>
                <c:pt idx="5">
                  <c:v>321963.14</c:v>
                </c:pt>
                <c:pt idx="6">
                  <c:v>321963.14</c:v>
                </c:pt>
                <c:pt idx="7">
                  <c:v>321963.14</c:v>
                </c:pt>
                <c:pt idx="8">
                  <c:v>321963.14</c:v>
                </c:pt>
                <c:pt idx="9">
                  <c:v>321963.14</c:v>
                </c:pt>
                <c:pt idx="10">
                  <c:v>321963.14</c:v>
                </c:pt>
                <c:pt idx="11">
                  <c:v>321963.14</c:v>
                </c:pt>
              </c:numCache>
            </c:numRef>
          </c:val>
          <c:smooth val="0"/>
          <c:extLst>
            <c:ext xmlns:c16="http://schemas.microsoft.com/office/drawing/2014/chart" uri="{C3380CC4-5D6E-409C-BE32-E72D297353CC}">
              <c16:uniqueId val="{00000001-F289-4D52-BCFE-0AB397B6796A}"/>
            </c:ext>
          </c:extLst>
        </c:ser>
        <c:ser>
          <c:idx val="2"/>
          <c:order val="2"/>
          <c:spPr>
            <a:ln w="254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datos'!$C$104:$N$104</c:f>
              <c:numCache>
                <c:formatCode>#.##0</c:formatCode>
                <c:ptCount val="12"/>
                <c:pt idx="0">
                  <c:v>33385.26</c:v>
                </c:pt>
                <c:pt idx="1">
                  <c:v>258341.16</c:v>
                </c:pt>
                <c:pt idx="2">
                  <c:v>258341.16</c:v>
                </c:pt>
                <c:pt idx="3">
                  <c:v>258341.16</c:v>
                </c:pt>
                <c:pt idx="4">
                  <c:v>258341.16</c:v>
                </c:pt>
                <c:pt idx="5">
                  <c:v>258341.16</c:v>
                </c:pt>
                <c:pt idx="6">
                  <c:v>258341.16</c:v>
                </c:pt>
                <c:pt idx="7">
                  <c:v>258341.16</c:v>
                </c:pt>
                <c:pt idx="8">
                  <c:v>258341.16</c:v>
                </c:pt>
                <c:pt idx="9">
                  <c:v>258341.16</c:v>
                </c:pt>
                <c:pt idx="10">
                  <c:v>258341.16</c:v>
                </c:pt>
                <c:pt idx="11">
                  <c:v>258341.16</c:v>
                </c:pt>
              </c:numCache>
            </c:numRef>
          </c:val>
          <c:smooth val="0"/>
          <c:extLst>
            <c:ext xmlns:c16="http://schemas.microsoft.com/office/drawing/2014/chart" uri="{C3380CC4-5D6E-409C-BE32-E72D297353CC}">
              <c16:uniqueId val="{00000002-F289-4D52-BCFE-0AB397B6796A}"/>
            </c:ext>
          </c:extLst>
        </c:ser>
        <c:dLbls>
          <c:showLegendKey val="0"/>
          <c:showVal val="0"/>
          <c:showCatName val="0"/>
          <c:showSerName val="0"/>
          <c:showPercent val="0"/>
          <c:showBubbleSize val="0"/>
        </c:dLbls>
        <c:marker val="1"/>
        <c:smooth val="0"/>
        <c:axId val="419461656"/>
        <c:axId val="1"/>
      </c:lineChart>
      <c:catAx>
        <c:axId val="41946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419461656"/>
        <c:crossesAt val="1"/>
        <c:crossBetween val="midCat"/>
      </c:valAx>
      <c:spPr>
        <a:solidFill>
          <a:srgbClr val="FFFFFF"/>
        </a:solidFill>
        <a:ln w="12700">
          <a:solidFill>
            <a:srgbClr val="808080"/>
          </a:solidFill>
          <a:prstDash val="solid"/>
        </a:ln>
      </c:spPr>
    </c:plotArea>
    <c:legend>
      <c:legendPos val="r"/>
      <c:layout>
        <c:manualLayout>
          <c:xMode val="edge"/>
          <c:yMode val="edge"/>
          <c:x val="2.2222231496323911E-2"/>
          <c:y val="0.67544124843440634"/>
          <c:w val="0.83418838232354353"/>
          <c:h val="0.19883119001532307"/>
        </c:manualLayout>
      </c:layout>
      <c:overlay val="0"/>
      <c:spPr>
        <a:noFill/>
        <a:ln w="25400">
          <a:noFill/>
        </a:ln>
      </c:spPr>
      <c:txPr>
        <a:bodyPr/>
        <a:lstStyle/>
        <a:p>
          <a:pPr>
            <a:defRPr sz="450"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65573770491803"/>
          <c:y val="0.1295340064716404"/>
          <c:w val="0.78032786885245897"/>
          <c:h val="0.61658187080500826"/>
        </c:manualLayout>
      </c:layout>
      <c:barChart>
        <c:barDir val="col"/>
        <c:grouping val="clustered"/>
        <c:varyColors val="0"/>
        <c:ser>
          <c:idx val="0"/>
          <c:order val="0"/>
          <c:spPr>
            <a:solidFill>
              <a:srgbClr val="0066CC"/>
            </a:solidFill>
            <a:ln w="25400">
              <a:noFill/>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formatCode>#.##0</c:formatCode>
                <c:ptCount val="10"/>
                <c:pt idx="0">
                  <c:v>9714</c:v>
                </c:pt>
              </c:numCache>
            </c:numRef>
          </c:val>
          <c:extLst>
            <c:ext xmlns:c16="http://schemas.microsoft.com/office/drawing/2014/chart" uri="{C3380CC4-5D6E-409C-BE32-E72D297353CC}">
              <c16:uniqueId val="{00000000-60FD-47D7-801E-DDB340344B6E}"/>
            </c:ext>
          </c:extLst>
        </c:ser>
        <c:ser>
          <c:idx val="1"/>
          <c:order val="1"/>
          <c:spPr>
            <a:solidFill>
              <a:srgbClr val="00CCFF"/>
            </a:solidFill>
            <a:ln w="12700">
              <a:solidFill>
                <a:srgbClr val="000000"/>
              </a:solidFill>
              <a:prstDash val="solid"/>
            </a:ln>
          </c:spPr>
          <c:invertIfNegative val="0"/>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formatCode>#.##0</c:formatCode>
                <c:ptCount val="10"/>
                <c:pt idx="0">
                  <c:v>9766</c:v>
                </c:pt>
              </c:numCache>
            </c:numRef>
          </c:val>
          <c:extLst>
            <c:ext xmlns:c16="http://schemas.microsoft.com/office/drawing/2014/chart" uri="{C3380CC4-5D6E-409C-BE32-E72D297353CC}">
              <c16:uniqueId val="{00000001-60FD-47D7-801E-DDB340344B6E}"/>
            </c:ext>
          </c:extLst>
        </c:ser>
        <c:dLbls>
          <c:showLegendKey val="0"/>
          <c:showVal val="0"/>
          <c:showCatName val="0"/>
          <c:showSerName val="0"/>
          <c:showPercent val="0"/>
          <c:showBubbleSize val="0"/>
        </c:dLbls>
        <c:gapWidth val="150"/>
        <c:axId val="419460344"/>
        <c:axId val="1"/>
      </c:barChart>
      <c:catAx>
        <c:axId val="41946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419460344"/>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250;!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137160</xdr:rowOff>
    </xdr:from>
    <xdr:to>
      <xdr:col>11</xdr:col>
      <xdr:colOff>548640</xdr:colOff>
      <xdr:row>19</xdr:row>
      <xdr:rowOff>99060</xdr:rowOff>
    </xdr:to>
    <xdr:pic>
      <xdr:nvPicPr>
        <xdr:cNvPr id="6697428" name="Picture 2">
          <a:extLst>
            <a:ext uri="{FF2B5EF4-FFF2-40B4-BE49-F238E27FC236}">
              <a16:creationId xmlns:a16="http://schemas.microsoft.com/office/drawing/2014/main" id="{52FA14FA-73A6-4A3F-9E4C-C4E3E9FB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5" r="9529"/>
        <a:stretch>
          <a:fillRect/>
        </a:stretch>
      </xdr:blipFill>
      <xdr:spPr bwMode="auto">
        <a:xfrm>
          <a:off x="38100" y="1371600"/>
          <a:ext cx="776478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708660</xdr:colOff>
      <xdr:row>7</xdr:row>
      <xdr:rowOff>45720</xdr:rowOff>
    </xdr:from>
    <xdr:to>
      <xdr:col>11</xdr:col>
      <xdr:colOff>457200</xdr:colOff>
      <xdr:row>18</xdr:row>
      <xdr:rowOff>137160</xdr:rowOff>
    </xdr:to>
    <xdr:pic>
      <xdr:nvPicPr>
        <xdr:cNvPr id="6697429" name="Picture 824">
          <a:extLst>
            <a:ext uri="{FF2B5EF4-FFF2-40B4-BE49-F238E27FC236}">
              <a16:creationId xmlns:a16="http://schemas.microsoft.com/office/drawing/2014/main" id="{289752E2-D2CC-41D6-A3D9-30FCFBB52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4020" y="1828800"/>
          <a:ext cx="2217420" cy="210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xdr:col>
      <xdr:colOff>266700</xdr:colOff>
      <xdr:row>7</xdr:row>
      <xdr:rowOff>99060</xdr:rowOff>
    </xdr:from>
    <xdr:to>
      <xdr:col>7</xdr:col>
      <xdr:colOff>571500</xdr:colOff>
      <xdr:row>18</xdr:row>
      <xdr:rowOff>76200</xdr:rowOff>
    </xdr:to>
    <xdr:sp macro="" textlink="">
      <xdr:nvSpPr>
        <xdr:cNvPr id="6697430" name="AutoShape 27">
          <a:extLst>
            <a:ext uri="{FF2B5EF4-FFF2-40B4-BE49-F238E27FC236}">
              <a16:creationId xmlns:a16="http://schemas.microsoft.com/office/drawing/2014/main" id="{57A1B753-76BC-4438-AD2C-357C8623151C}"/>
            </a:ext>
          </a:extLst>
        </xdr:cNvPr>
        <xdr:cNvSpPr>
          <a:spLocks noChangeArrowheads="1"/>
        </xdr:cNvSpPr>
      </xdr:nvSpPr>
      <xdr:spPr bwMode="auto">
        <a:xfrm>
          <a:off x="2697480" y="1882140"/>
          <a:ext cx="2659380" cy="1988820"/>
        </a:xfrm>
        <a:prstGeom prst="roundRect">
          <a:avLst>
            <a:gd name="adj" fmla="val 11921"/>
          </a:avLst>
        </a:prstGeom>
        <a:gradFill rotWithShape="0">
          <a:gsLst>
            <a:gs pos="0">
              <a:srgbClr val="B24B48"/>
            </a:gs>
            <a:gs pos="100000">
              <a:srgbClr val="D48886"/>
            </a:gs>
          </a:gsLst>
          <a:lin ang="5400000" scaled="1"/>
        </a:gradFill>
        <a:ln w="9360" cap="sq">
          <a:solidFill>
            <a:srgbClr val="FEFEFE"/>
          </a:solidFill>
          <a:miter lim="800000"/>
          <a:headEnd/>
          <a:tailEnd/>
        </a:ln>
      </xdr:spPr>
    </xdr:sp>
    <xdr:clientData/>
  </xdr:twoCellAnchor>
  <xdr:twoCellAnchor>
    <xdr:from>
      <xdr:col>5</xdr:col>
      <xdr:colOff>297180</xdr:colOff>
      <xdr:row>10</xdr:row>
      <xdr:rowOff>45720</xdr:rowOff>
    </xdr:from>
    <xdr:to>
      <xdr:col>6</xdr:col>
      <xdr:colOff>609600</xdr:colOff>
      <xdr:row>12</xdr:row>
      <xdr:rowOff>38100</xdr:rowOff>
    </xdr:to>
    <xdr:sp macro="" textlink="">
      <xdr:nvSpPr>
        <xdr:cNvPr id="6697431" name="AutoShape 26">
          <a:extLst>
            <a:ext uri="{FF2B5EF4-FFF2-40B4-BE49-F238E27FC236}">
              <a16:creationId xmlns:a16="http://schemas.microsoft.com/office/drawing/2014/main" id="{6611D790-6873-4662-BBE9-6EE44961A2D2}"/>
            </a:ext>
          </a:extLst>
        </xdr:cNvPr>
        <xdr:cNvSpPr>
          <a:spLocks noChangeArrowheads="1"/>
        </xdr:cNvSpPr>
      </xdr:nvSpPr>
      <xdr:spPr bwMode="auto">
        <a:xfrm>
          <a:off x="3512820" y="2377440"/>
          <a:ext cx="109728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10</xdr:row>
      <xdr:rowOff>85725</xdr:rowOff>
    </xdr:from>
    <xdr:to>
      <xdr:col>6</xdr:col>
      <xdr:colOff>639969</xdr:colOff>
      <xdr:row>12</xdr:row>
      <xdr:rowOff>1905</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C357C218-525D-435C-B41C-CE8EFD639824}"/>
            </a:ext>
          </a:extLst>
        </xdr:cNvPr>
        <xdr:cNvSpPr>
          <a:spLocks noChangeArrowheads="1"/>
        </xdr:cNvSpPr>
      </xdr:nvSpPr>
      <xdr:spPr bwMode="auto">
        <a:xfrm>
          <a:off x="3429000" y="2466975"/>
          <a:ext cx="1028700"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320040</xdr:colOff>
      <xdr:row>10</xdr:row>
      <xdr:rowOff>99060</xdr:rowOff>
    </xdr:from>
    <xdr:to>
      <xdr:col>5</xdr:col>
      <xdr:colOff>434340</xdr:colOff>
      <xdr:row>11</xdr:row>
      <xdr:rowOff>60960</xdr:rowOff>
    </xdr:to>
    <xdr:sp macro="" textlink="">
      <xdr:nvSpPr>
        <xdr:cNvPr id="6697433" name="Freeform 28">
          <a:extLst>
            <a:ext uri="{FF2B5EF4-FFF2-40B4-BE49-F238E27FC236}">
              <a16:creationId xmlns:a16="http://schemas.microsoft.com/office/drawing/2014/main" id="{09F2E44D-3388-4D70-B750-4E17C469EF56}"/>
            </a:ext>
          </a:extLst>
        </xdr:cNvPr>
        <xdr:cNvSpPr>
          <a:spLocks noChangeArrowheads="1"/>
        </xdr:cNvSpPr>
      </xdr:nvSpPr>
      <xdr:spPr bwMode="auto">
        <a:xfrm>
          <a:off x="3535680" y="2430780"/>
          <a:ext cx="114300" cy="14478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5</xdr:col>
      <xdr:colOff>312420</xdr:colOff>
      <xdr:row>15</xdr:row>
      <xdr:rowOff>167640</xdr:rowOff>
    </xdr:from>
    <xdr:to>
      <xdr:col>6</xdr:col>
      <xdr:colOff>624840</xdr:colOff>
      <xdr:row>17</xdr:row>
      <xdr:rowOff>152400</xdr:rowOff>
    </xdr:to>
    <xdr:sp macro="" textlink="">
      <xdr:nvSpPr>
        <xdr:cNvPr id="6697434" name="AutoShape 26">
          <a:extLst>
            <a:ext uri="{FF2B5EF4-FFF2-40B4-BE49-F238E27FC236}">
              <a16:creationId xmlns:a16="http://schemas.microsoft.com/office/drawing/2014/main" id="{57EB7B68-7D1F-437E-A461-A9131E8E3F31}"/>
            </a:ext>
          </a:extLst>
        </xdr:cNvPr>
        <xdr:cNvSpPr>
          <a:spLocks noChangeArrowheads="1"/>
        </xdr:cNvSpPr>
      </xdr:nvSpPr>
      <xdr:spPr bwMode="auto">
        <a:xfrm>
          <a:off x="3528060" y="3413760"/>
          <a:ext cx="1097280" cy="35052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16</xdr:row>
      <xdr:rowOff>36195</xdr:rowOff>
    </xdr:from>
    <xdr:to>
      <xdr:col>6</xdr:col>
      <xdr:colOff>682450</xdr:colOff>
      <xdr:row>17</xdr:row>
      <xdr:rowOff>112682</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5983BEE7-0D38-4B00-BD1D-2B0CF8D36834}"/>
            </a:ext>
          </a:extLst>
        </xdr:cNvPr>
        <xdr:cNvSpPr>
          <a:spLocks noChangeArrowheads="1"/>
        </xdr:cNvSpPr>
      </xdr:nvSpPr>
      <xdr:spPr bwMode="auto">
        <a:xfrm>
          <a:off x="3457575" y="3543300"/>
          <a:ext cx="1019175"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365760</xdr:colOff>
      <xdr:row>16</xdr:row>
      <xdr:rowOff>30480</xdr:rowOff>
    </xdr:from>
    <xdr:to>
      <xdr:col>5</xdr:col>
      <xdr:colOff>480060</xdr:colOff>
      <xdr:row>16</xdr:row>
      <xdr:rowOff>182880</xdr:rowOff>
    </xdr:to>
    <xdr:sp macro="" textlink="">
      <xdr:nvSpPr>
        <xdr:cNvPr id="6697436" name="Freeform 28">
          <a:extLst>
            <a:ext uri="{FF2B5EF4-FFF2-40B4-BE49-F238E27FC236}">
              <a16:creationId xmlns:a16="http://schemas.microsoft.com/office/drawing/2014/main" id="{0AF2227A-DE3D-409B-B67D-187B1E29A581}"/>
            </a:ext>
          </a:extLst>
        </xdr:cNvPr>
        <xdr:cNvSpPr>
          <a:spLocks noChangeArrowheads="1"/>
        </xdr:cNvSpPr>
      </xdr:nvSpPr>
      <xdr:spPr bwMode="auto">
        <a:xfrm>
          <a:off x="3581400" y="3459480"/>
          <a:ext cx="1143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5</xdr:col>
      <xdr:colOff>297180</xdr:colOff>
      <xdr:row>13</xdr:row>
      <xdr:rowOff>7620</xdr:rowOff>
    </xdr:from>
    <xdr:to>
      <xdr:col>6</xdr:col>
      <xdr:colOff>609600</xdr:colOff>
      <xdr:row>15</xdr:row>
      <xdr:rowOff>0</xdr:rowOff>
    </xdr:to>
    <xdr:sp macro="" textlink="">
      <xdr:nvSpPr>
        <xdr:cNvPr id="6697437" name="AutoShape 26">
          <a:extLst>
            <a:ext uri="{FF2B5EF4-FFF2-40B4-BE49-F238E27FC236}">
              <a16:creationId xmlns:a16="http://schemas.microsoft.com/office/drawing/2014/main" id="{41C15BA9-F5C7-43EB-B488-79D9137C4FD8}"/>
            </a:ext>
          </a:extLst>
        </xdr:cNvPr>
        <xdr:cNvSpPr>
          <a:spLocks noChangeArrowheads="1"/>
        </xdr:cNvSpPr>
      </xdr:nvSpPr>
      <xdr:spPr bwMode="auto">
        <a:xfrm>
          <a:off x="3512820" y="2887980"/>
          <a:ext cx="109728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13</xdr:row>
      <xdr:rowOff>40005</xdr:rowOff>
    </xdr:from>
    <xdr:to>
      <xdr:col>6</xdr:col>
      <xdr:colOff>639985</xdr:colOff>
      <xdr:row>14</xdr:row>
      <xdr:rowOff>159899</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71A14195-74F7-4931-81AB-A3D62256C87A}"/>
            </a:ext>
          </a:extLst>
        </xdr:cNvPr>
        <xdr:cNvSpPr>
          <a:spLocks noChangeArrowheads="1"/>
        </xdr:cNvSpPr>
      </xdr:nvSpPr>
      <xdr:spPr bwMode="auto">
        <a:xfrm>
          <a:off x="3438525" y="3000375"/>
          <a:ext cx="1019175"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54000" tIns="46800" rIns="18000" bIns="46800" anchor="ctr" upright="1"/>
        <a:lstStyle/>
        <a:p>
          <a:pPr algn="ctr"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320040</xdr:colOff>
      <xdr:row>13</xdr:row>
      <xdr:rowOff>53340</xdr:rowOff>
    </xdr:from>
    <xdr:to>
      <xdr:col>5</xdr:col>
      <xdr:colOff>441960</xdr:colOff>
      <xdr:row>14</xdr:row>
      <xdr:rowOff>30480</xdr:rowOff>
    </xdr:to>
    <xdr:sp macro="" textlink="">
      <xdr:nvSpPr>
        <xdr:cNvPr id="6697439" name="Freeform 28">
          <a:extLst>
            <a:ext uri="{FF2B5EF4-FFF2-40B4-BE49-F238E27FC236}">
              <a16:creationId xmlns:a16="http://schemas.microsoft.com/office/drawing/2014/main" id="{50BCA23B-BE98-4EAD-80D3-0D0CA911F408}"/>
            </a:ext>
          </a:extLst>
        </xdr:cNvPr>
        <xdr:cNvSpPr>
          <a:spLocks noChangeArrowheads="1"/>
        </xdr:cNvSpPr>
      </xdr:nvSpPr>
      <xdr:spPr bwMode="auto">
        <a:xfrm>
          <a:off x="3535680" y="2933700"/>
          <a:ext cx="121920" cy="16002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4</xdr:col>
      <xdr:colOff>403860</xdr:colOff>
      <xdr:row>5</xdr:row>
      <xdr:rowOff>0</xdr:rowOff>
    </xdr:from>
    <xdr:to>
      <xdr:col>7</xdr:col>
      <xdr:colOff>407829</xdr:colOff>
      <xdr:row>6</xdr:row>
      <xdr:rowOff>47625</xdr:rowOff>
    </xdr:to>
    <xdr:sp macro="" textlink="" fLocksText="0">
      <xdr:nvSpPr>
        <xdr:cNvPr id="1037" name="Rectangle 803">
          <a:extLst>
            <a:ext uri="{FF2B5EF4-FFF2-40B4-BE49-F238E27FC236}">
              <a16:creationId xmlns:a16="http://schemas.microsoft.com/office/drawing/2014/main" id="{A49E23D4-C737-47B8-93B4-282D52A96F87}"/>
            </a:ext>
          </a:extLst>
        </xdr:cNvPr>
        <xdr:cNvSpPr>
          <a:spLocks noChangeArrowheads="1"/>
        </xdr:cNvSpPr>
      </xdr:nvSpPr>
      <xdr:spPr bwMode="auto">
        <a:xfrm>
          <a:off x="2686050" y="1428750"/>
          <a:ext cx="2362200" cy="238125"/>
        </a:xfrm>
        <a:prstGeom prst="rect">
          <a:avLst/>
        </a:prstGeom>
        <a:noFill/>
        <a:ln w="9525">
          <a:noFill/>
          <a:round/>
          <a:headEnd/>
          <a:tailEnd/>
        </a:ln>
        <a:effectLst/>
      </xdr:spPr>
      <xdr:txBody>
        <a:bodyPr vertOverflow="clip" wrap="square" lIns="27360" tIns="27360" rIns="27360" bIns="0" anchor="t" upright="1"/>
        <a:lstStyle/>
        <a:p>
          <a:pPr algn="ctr" rtl="0">
            <a:defRPr sz="1000"/>
          </a:pPr>
          <a:r>
            <a:rPr lang="es-SV" sz="1100" b="1" i="1" u="none" strike="noStrike" baseline="0">
              <a:solidFill>
                <a:srgbClr val="000000"/>
              </a:solidFill>
              <a:latin typeface="Calibri"/>
            </a:rPr>
            <a:t>Seleccione la opción que desea ver:</a:t>
          </a:r>
        </a:p>
      </xdr:txBody>
    </xdr:sp>
    <xdr:clientData/>
  </xdr:twoCellAnchor>
  <xdr:twoCellAnchor>
    <xdr:from>
      <xdr:col>8</xdr:col>
      <xdr:colOff>304800</xdr:colOff>
      <xdr:row>11</xdr:row>
      <xdr:rowOff>0</xdr:rowOff>
    </xdr:from>
    <xdr:to>
      <xdr:col>11</xdr:col>
      <xdr:colOff>137160</xdr:colOff>
      <xdr:row>13</xdr:row>
      <xdr:rowOff>30480</xdr:rowOff>
    </xdr:to>
    <xdr:sp macro="" textlink="">
      <xdr:nvSpPr>
        <xdr:cNvPr id="6697441" name="AutoShape 30">
          <a:extLst>
            <a:ext uri="{FF2B5EF4-FFF2-40B4-BE49-F238E27FC236}">
              <a16:creationId xmlns:a16="http://schemas.microsoft.com/office/drawing/2014/main" id="{F3500644-F5CE-45CA-8621-D38542CEC516}"/>
            </a:ext>
          </a:extLst>
        </xdr:cNvPr>
        <xdr:cNvSpPr>
          <a:spLocks noChangeArrowheads="1"/>
        </xdr:cNvSpPr>
      </xdr:nvSpPr>
      <xdr:spPr bwMode="auto">
        <a:xfrm>
          <a:off x="5875020" y="2514600"/>
          <a:ext cx="1516380" cy="3962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8</xdr:col>
      <xdr:colOff>413385</xdr:colOff>
      <xdr:row>11</xdr:row>
      <xdr:rowOff>47625</xdr:rowOff>
    </xdr:from>
    <xdr:to>
      <xdr:col>11</xdr:col>
      <xdr:colOff>112865</xdr:colOff>
      <xdr:row>13</xdr:row>
      <xdr:rowOff>1905</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A27506A4-8196-4E94-8CA7-ADA222BFDE4E}"/>
            </a:ext>
          </a:extLst>
        </xdr:cNvPr>
        <xdr:cNvSpPr>
          <a:spLocks noChangeArrowheads="1"/>
        </xdr:cNvSpPr>
      </xdr:nvSpPr>
      <xdr:spPr bwMode="auto">
        <a:xfrm>
          <a:off x="5743575" y="2619375"/>
          <a:ext cx="1409700" cy="333375"/>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365760</xdr:colOff>
      <xdr:row>11</xdr:row>
      <xdr:rowOff>60960</xdr:rowOff>
    </xdr:from>
    <xdr:to>
      <xdr:col>8</xdr:col>
      <xdr:colOff>510540</xdr:colOff>
      <xdr:row>12</xdr:row>
      <xdr:rowOff>45720</xdr:rowOff>
    </xdr:to>
    <xdr:sp macro="" textlink="">
      <xdr:nvSpPr>
        <xdr:cNvPr id="6697443" name="Freeform 32">
          <a:extLst>
            <a:ext uri="{FF2B5EF4-FFF2-40B4-BE49-F238E27FC236}">
              <a16:creationId xmlns:a16="http://schemas.microsoft.com/office/drawing/2014/main" id="{684BB9B1-30BE-4CA2-8976-9E801C85C17D}"/>
            </a:ext>
          </a:extLst>
        </xdr:cNvPr>
        <xdr:cNvSpPr>
          <a:spLocks noChangeArrowheads="1"/>
        </xdr:cNvSpPr>
      </xdr:nvSpPr>
      <xdr:spPr bwMode="auto">
        <a:xfrm>
          <a:off x="5935980" y="2575560"/>
          <a:ext cx="144780" cy="16764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251460</xdr:colOff>
      <xdr:row>7</xdr:row>
      <xdr:rowOff>83820</xdr:rowOff>
    </xdr:from>
    <xdr:to>
      <xdr:col>4</xdr:col>
      <xdr:colOff>106680</xdr:colOff>
      <xdr:row>18</xdr:row>
      <xdr:rowOff>106680</xdr:rowOff>
    </xdr:to>
    <xdr:sp macro="" textlink="">
      <xdr:nvSpPr>
        <xdr:cNvPr id="6697444" name="AutoShape 31">
          <a:extLst>
            <a:ext uri="{FF2B5EF4-FFF2-40B4-BE49-F238E27FC236}">
              <a16:creationId xmlns:a16="http://schemas.microsoft.com/office/drawing/2014/main" id="{1ED13B64-622D-4D7C-84D7-1FBA56C78A80}"/>
            </a:ext>
          </a:extLst>
        </xdr:cNvPr>
        <xdr:cNvSpPr>
          <a:spLocks noChangeArrowheads="1"/>
        </xdr:cNvSpPr>
      </xdr:nvSpPr>
      <xdr:spPr bwMode="auto">
        <a:xfrm>
          <a:off x="327660" y="1866900"/>
          <a:ext cx="2209800" cy="2034540"/>
        </a:xfrm>
        <a:prstGeom prst="roundRect">
          <a:avLst>
            <a:gd name="adj" fmla="val 11921"/>
          </a:avLst>
        </a:prstGeom>
        <a:gradFill rotWithShape="0">
          <a:gsLst>
            <a:gs pos="0">
              <a:srgbClr val="4C7BB4"/>
            </a:gs>
            <a:gs pos="100000">
              <a:srgbClr val="87AFD3"/>
            </a:gs>
          </a:gsLst>
          <a:lin ang="5400000" scaled="1"/>
        </a:gradFill>
        <a:ln w="9360" cap="sq">
          <a:solidFill>
            <a:srgbClr val="FEFEFE"/>
          </a:solidFill>
          <a:miter lim="800000"/>
          <a:headEnd/>
          <a:tailEnd/>
        </a:ln>
      </xdr:spPr>
    </xdr:sp>
    <xdr:clientData/>
  </xdr:twoCellAnchor>
  <xdr:twoCellAnchor>
    <xdr:from>
      <xdr:col>1</xdr:col>
      <xdr:colOff>350520</xdr:colOff>
      <xdr:row>7</xdr:row>
      <xdr:rowOff>167640</xdr:rowOff>
    </xdr:from>
    <xdr:to>
      <xdr:col>2</xdr:col>
      <xdr:colOff>60960</xdr:colOff>
      <xdr:row>9</xdr:row>
      <xdr:rowOff>99060</xdr:rowOff>
    </xdr:to>
    <xdr:sp macro="" textlink="">
      <xdr:nvSpPr>
        <xdr:cNvPr id="6697445" name="Freeform 32">
          <a:extLst>
            <a:ext uri="{FF2B5EF4-FFF2-40B4-BE49-F238E27FC236}">
              <a16:creationId xmlns:a16="http://schemas.microsoft.com/office/drawing/2014/main" id="{A347A60D-A754-4F2B-9983-9EEF429A4C32}"/>
            </a:ext>
          </a:extLst>
        </xdr:cNvPr>
        <xdr:cNvSpPr>
          <a:spLocks noChangeArrowheads="1"/>
        </xdr:cNvSpPr>
      </xdr:nvSpPr>
      <xdr:spPr bwMode="auto">
        <a:xfrm>
          <a:off x="426720" y="1950720"/>
          <a:ext cx="495300" cy="29718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8</xdr:col>
      <xdr:colOff>297180</xdr:colOff>
      <xdr:row>14</xdr:row>
      <xdr:rowOff>53340</xdr:rowOff>
    </xdr:from>
    <xdr:to>
      <xdr:col>11</xdr:col>
      <xdr:colOff>129540</xdr:colOff>
      <xdr:row>16</xdr:row>
      <xdr:rowOff>83820</xdr:rowOff>
    </xdr:to>
    <xdr:sp macro="" textlink="">
      <xdr:nvSpPr>
        <xdr:cNvPr id="6697446" name="AutoShape 30">
          <a:extLst>
            <a:ext uri="{FF2B5EF4-FFF2-40B4-BE49-F238E27FC236}">
              <a16:creationId xmlns:a16="http://schemas.microsoft.com/office/drawing/2014/main" id="{27D638B6-5366-4931-B643-82EDF65F71F1}"/>
            </a:ext>
          </a:extLst>
        </xdr:cNvPr>
        <xdr:cNvSpPr>
          <a:spLocks noChangeArrowheads="1"/>
        </xdr:cNvSpPr>
      </xdr:nvSpPr>
      <xdr:spPr bwMode="auto">
        <a:xfrm>
          <a:off x="5867400" y="3116580"/>
          <a:ext cx="1516380" cy="3962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8</xdr:col>
      <xdr:colOff>386715</xdr:colOff>
      <xdr:row>14</xdr:row>
      <xdr:rowOff>120015</xdr:rowOff>
    </xdr:from>
    <xdr:to>
      <xdr:col>11</xdr:col>
      <xdr:colOff>80047</xdr:colOff>
      <xdr:row>16</xdr:row>
      <xdr:rowOff>75880</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B3D7EBAC-690D-4A1D-8F52-A9891EF2F256}"/>
            </a:ext>
          </a:extLst>
        </xdr:cNvPr>
        <xdr:cNvSpPr>
          <a:spLocks noChangeArrowheads="1"/>
        </xdr:cNvSpPr>
      </xdr:nvSpPr>
      <xdr:spPr bwMode="auto">
        <a:xfrm>
          <a:off x="5724525" y="3248025"/>
          <a:ext cx="1409700" cy="333375"/>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342900</xdr:colOff>
      <xdr:row>14</xdr:row>
      <xdr:rowOff>121920</xdr:rowOff>
    </xdr:from>
    <xdr:to>
      <xdr:col>8</xdr:col>
      <xdr:colOff>487680</xdr:colOff>
      <xdr:row>15</xdr:row>
      <xdr:rowOff>99060</xdr:rowOff>
    </xdr:to>
    <xdr:sp macro="" textlink="">
      <xdr:nvSpPr>
        <xdr:cNvPr id="6697448" name="Freeform 32">
          <a:extLst>
            <a:ext uri="{FF2B5EF4-FFF2-40B4-BE49-F238E27FC236}">
              <a16:creationId xmlns:a16="http://schemas.microsoft.com/office/drawing/2014/main" id="{4EE553E1-E39A-4B98-AFCA-BCF67FCA5D6C}"/>
            </a:ext>
          </a:extLst>
        </xdr:cNvPr>
        <xdr:cNvSpPr>
          <a:spLocks noChangeArrowheads="1"/>
        </xdr:cNvSpPr>
      </xdr:nvSpPr>
      <xdr:spPr bwMode="auto">
        <a:xfrm>
          <a:off x="5913120" y="3185160"/>
          <a:ext cx="144780" cy="160020"/>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15</xdr:row>
      <xdr:rowOff>129540</xdr:rowOff>
    </xdr:from>
    <xdr:to>
      <xdr:col>3</xdr:col>
      <xdr:colOff>510540</xdr:colOff>
      <xdr:row>18</xdr:row>
      <xdr:rowOff>15240</xdr:rowOff>
    </xdr:to>
    <xdr:sp macro="" textlink="">
      <xdr:nvSpPr>
        <xdr:cNvPr id="6697449" name="AutoShape 30">
          <a:extLst>
            <a:ext uri="{FF2B5EF4-FFF2-40B4-BE49-F238E27FC236}">
              <a16:creationId xmlns:a16="http://schemas.microsoft.com/office/drawing/2014/main" id="{F48D9422-B308-4AAC-B008-11243E9C569F}"/>
            </a:ext>
          </a:extLst>
        </xdr:cNvPr>
        <xdr:cNvSpPr>
          <a:spLocks noChangeArrowheads="1"/>
        </xdr:cNvSpPr>
      </xdr:nvSpPr>
      <xdr:spPr bwMode="auto">
        <a:xfrm>
          <a:off x="609600" y="3375660"/>
          <a:ext cx="1546860" cy="4343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16</xdr:row>
      <xdr:rowOff>0</xdr:rowOff>
    </xdr:from>
    <xdr:to>
      <xdr:col>3</xdr:col>
      <xdr:colOff>480275</xdr:colOff>
      <xdr:row>18</xdr:row>
      <xdr:rowOff>1904</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EDFB0332-83F1-43BF-A77F-285099856295}"/>
            </a:ext>
          </a:extLst>
        </xdr:cNvPr>
        <xdr:cNvSpPr>
          <a:spLocks noChangeArrowheads="1"/>
        </xdr:cNvSpPr>
      </xdr:nvSpPr>
      <xdr:spPr bwMode="auto">
        <a:xfrm>
          <a:off x="628650" y="3505200"/>
          <a:ext cx="1428750" cy="39052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586740</xdr:colOff>
      <xdr:row>16</xdr:row>
      <xdr:rowOff>0</xdr:rowOff>
    </xdr:from>
    <xdr:to>
      <xdr:col>1</xdr:col>
      <xdr:colOff>731520</xdr:colOff>
      <xdr:row>16</xdr:row>
      <xdr:rowOff>129540</xdr:rowOff>
    </xdr:to>
    <xdr:sp macro="" textlink="">
      <xdr:nvSpPr>
        <xdr:cNvPr id="6697451" name="Freeform 32">
          <a:extLst>
            <a:ext uri="{FF2B5EF4-FFF2-40B4-BE49-F238E27FC236}">
              <a16:creationId xmlns:a16="http://schemas.microsoft.com/office/drawing/2014/main" id="{265C1F0D-195C-4A03-9019-C9945060C55A}"/>
            </a:ext>
          </a:extLst>
        </xdr:cNvPr>
        <xdr:cNvSpPr>
          <a:spLocks noChangeArrowheads="1"/>
        </xdr:cNvSpPr>
      </xdr:nvSpPr>
      <xdr:spPr bwMode="auto">
        <a:xfrm>
          <a:off x="662940" y="3429000"/>
          <a:ext cx="144780" cy="12954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10</xdr:row>
      <xdr:rowOff>30480</xdr:rowOff>
    </xdr:from>
    <xdr:to>
      <xdr:col>3</xdr:col>
      <xdr:colOff>510540</xdr:colOff>
      <xdr:row>12</xdr:row>
      <xdr:rowOff>15240</xdr:rowOff>
    </xdr:to>
    <xdr:sp macro="" textlink="">
      <xdr:nvSpPr>
        <xdr:cNvPr id="6697452" name="AutoShape 30">
          <a:extLst>
            <a:ext uri="{FF2B5EF4-FFF2-40B4-BE49-F238E27FC236}">
              <a16:creationId xmlns:a16="http://schemas.microsoft.com/office/drawing/2014/main" id="{CDF39F6D-6DB5-4A34-891A-7412D2384100}"/>
            </a:ext>
          </a:extLst>
        </xdr:cNvPr>
        <xdr:cNvSpPr>
          <a:spLocks noChangeArrowheads="1"/>
        </xdr:cNvSpPr>
      </xdr:nvSpPr>
      <xdr:spPr bwMode="auto">
        <a:xfrm>
          <a:off x="609600" y="2362200"/>
          <a:ext cx="1546860" cy="35052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10</xdr:row>
      <xdr:rowOff>72390</xdr:rowOff>
    </xdr:from>
    <xdr:to>
      <xdr:col>3</xdr:col>
      <xdr:colOff>482180</xdr:colOff>
      <xdr:row>12</xdr:row>
      <xdr:rowOff>61</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80AEAC38-E8DB-4334-A91B-C4FDBA9C2C90}"/>
            </a:ext>
          </a:extLst>
        </xdr:cNvPr>
        <xdr:cNvSpPr>
          <a:spLocks noChangeArrowheads="1"/>
        </xdr:cNvSpPr>
      </xdr:nvSpPr>
      <xdr:spPr bwMode="auto">
        <a:xfrm>
          <a:off x="628650" y="2447925"/>
          <a:ext cx="143827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586740</xdr:colOff>
      <xdr:row>10</xdr:row>
      <xdr:rowOff>83820</xdr:rowOff>
    </xdr:from>
    <xdr:to>
      <xdr:col>1</xdr:col>
      <xdr:colOff>739140</xdr:colOff>
      <xdr:row>11</xdr:row>
      <xdr:rowOff>53340</xdr:rowOff>
    </xdr:to>
    <xdr:sp macro="" textlink="">
      <xdr:nvSpPr>
        <xdr:cNvPr id="6697454" name="Freeform 32">
          <a:extLst>
            <a:ext uri="{FF2B5EF4-FFF2-40B4-BE49-F238E27FC236}">
              <a16:creationId xmlns:a16="http://schemas.microsoft.com/office/drawing/2014/main" id="{7C9FFEAC-F4AF-4F54-98F2-8AF601E37201}"/>
            </a:ext>
          </a:extLst>
        </xdr:cNvPr>
        <xdr:cNvSpPr>
          <a:spLocks noChangeArrowheads="1"/>
        </xdr:cNvSpPr>
      </xdr:nvSpPr>
      <xdr:spPr bwMode="auto">
        <a:xfrm>
          <a:off x="662940" y="2415540"/>
          <a:ext cx="1524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12</xdr:row>
      <xdr:rowOff>175260</xdr:rowOff>
    </xdr:from>
    <xdr:to>
      <xdr:col>3</xdr:col>
      <xdr:colOff>510540</xdr:colOff>
      <xdr:row>14</xdr:row>
      <xdr:rowOff>167640</xdr:rowOff>
    </xdr:to>
    <xdr:sp macro="" textlink="">
      <xdr:nvSpPr>
        <xdr:cNvPr id="6697455" name="AutoShape 30">
          <a:extLst>
            <a:ext uri="{FF2B5EF4-FFF2-40B4-BE49-F238E27FC236}">
              <a16:creationId xmlns:a16="http://schemas.microsoft.com/office/drawing/2014/main" id="{7FD225FF-CFCB-4188-8C8B-8A6DB3EAE8D8}"/>
            </a:ext>
          </a:extLst>
        </xdr:cNvPr>
        <xdr:cNvSpPr>
          <a:spLocks noChangeArrowheads="1"/>
        </xdr:cNvSpPr>
      </xdr:nvSpPr>
      <xdr:spPr bwMode="auto">
        <a:xfrm>
          <a:off x="609600" y="2872740"/>
          <a:ext cx="154686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13</xdr:row>
      <xdr:rowOff>28575</xdr:rowOff>
    </xdr:from>
    <xdr:to>
      <xdr:col>3</xdr:col>
      <xdr:colOff>482180</xdr:colOff>
      <xdr:row>14</xdr:row>
      <xdr:rowOff>150918</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6FB52E04-CC3F-4DCE-977D-90A4A90D300E}"/>
            </a:ext>
          </a:extLst>
        </xdr:cNvPr>
        <xdr:cNvSpPr>
          <a:spLocks noChangeArrowheads="1"/>
        </xdr:cNvSpPr>
      </xdr:nvSpPr>
      <xdr:spPr bwMode="auto">
        <a:xfrm>
          <a:off x="628650" y="2981325"/>
          <a:ext cx="143827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586740</xdr:colOff>
      <xdr:row>13</xdr:row>
      <xdr:rowOff>45720</xdr:rowOff>
    </xdr:from>
    <xdr:to>
      <xdr:col>1</xdr:col>
      <xdr:colOff>739140</xdr:colOff>
      <xdr:row>14</xdr:row>
      <xdr:rowOff>15240</xdr:rowOff>
    </xdr:to>
    <xdr:sp macro="" textlink="">
      <xdr:nvSpPr>
        <xdr:cNvPr id="6697457" name="Freeform 32">
          <a:extLst>
            <a:ext uri="{FF2B5EF4-FFF2-40B4-BE49-F238E27FC236}">
              <a16:creationId xmlns:a16="http://schemas.microsoft.com/office/drawing/2014/main" id="{E036EC23-C12A-48B5-8F33-96ADEF222821}"/>
            </a:ext>
          </a:extLst>
        </xdr:cNvPr>
        <xdr:cNvSpPr>
          <a:spLocks noChangeArrowheads="1"/>
        </xdr:cNvSpPr>
      </xdr:nvSpPr>
      <xdr:spPr bwMode="auto">
        <a:xfrm>
          <a:off x="662940" y="2926080"/>
          <a:ext cx="1524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266700</xdr:colOff>
      <xdr:row>7</xdr:row>
      <xdr:rowOff>60960</xdr:rowOff>
    </xdr:from>
    <xdr:to>
      <xdr:col>4</xdr:col>
      <xdr:colOff>106680</xdr:colOff>
      <xdr:row>9</xdr:row>
      <xdr:rowOff>129540</xdr:rowOff>
    </xdr:to>
    <xdr:pic>
      <xdr:nvPicPr>
        <xdr:cNvPr id="6697458" name="Picture 2012">
          <a:extLst>
            <a:ext uri="{FF2B5EF4-FFF2-40B4-BE49-F238E27FC236}">
              <a16:creationId xmlns:a16="http://schemas.microsoft.com/office/drawing/2014/main" id="{28A5EEBF-63AB-483F-B409-A4CB939CCEBF}"/>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2900" y="1844040"/>
          <a:ext cx="21945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325755</xdr:colOff>
      <xdr:row>7</xdr:row>
      <xdr:rowOff>120015</xdr:rowOff>
    </xdr:from>
    <xdr:to>
      <xdr:col>4</xdr:col>
      <xdr:colOff>72407</xdr:colOff>
      <xdr:row>10</xdr:row>
      <xdr:rowOff>2346</xdr:rowOff>
    </xdr:to>
    <xdr:sp macro="" textlink="" fLocksText="0">
      <xdr:nvSpPr>
        <xdr:cNvPr id="1056" name="Text Box 2013">
          <a:extLst>
            <a:ext uri="{FF2B5EF4-FFF2-40B4-BE49-F238E27FC236}">
              <a16:creationId xmlns:a16="http://schemas.microsoft.com/office/drawing/2014/main" id="{BB7070E7-C945-4707-93FB-0B6A8E27C58D}"/>
            </a:ext>
          </a:extLst>
        </xdr:cNvPr>
        <xdr:cNvSpPr txBox="1">
          <a:spLocks noChangeArrowheads="1"/>
        </xdr:cNvSpPr>
      </xdr:nvSpPr>
      <xdr:spPr bwMode="auto">
        <a:xfrm>
          <a:off x="400050" y="1914525"/>
          <a:ext cx="2019300" cy="466725"/>
        </a:xfrm>
        <a:prstGeom prst="rect">
          <a:avLst/>
        </a:prstGeom>
        <a:noFill/>
        <a:ln w="9525">
          <a:noFill/>
          <a:round/>
          <a:headEnd/>
          <a:tailEnd/>
        </a:ln>
        <a:effectLst/>
      </xdr:spPr>
      <xdr:txBody>
        <a:bodyPr vertOverflow="clip" wrap="square" lIns="27360" tIns="22680" rIns="27360" bIns="0" anchor="t" upright="1"/>
        <a:lstStyle/>
        <a:p>
          <a:pPr algn="ctr" rtl="0">
            <a:defRPr sz="1000"/>
          </a:pPr>
          <a:r>
            <a:rPr lang="es-SV" sz="1100" b="0" i="0" u="none" strike="noStrike" baseline="0">
              <a:solidFill>
                <a:srgbClr val="000000"/>
              </a:solidFill>
              <a:latin typeface="Arial"/>
              <a:cs typeface="Arial"/>
            </a:rPr>
            <a:t>Información de la subvención</a:t>
          </a:r>
        </a:p>
        <a:p>
          <a:pPr algn="ctr"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251460</xdr:colOff>
      <xdr:row>7</xdr:row>
      <xdr:rowOff>60960</xdr:rowOff>
    </xdr:from>
    <xdr:to>
      <xdr:col>7</xdr:col>
      <xdr:colOff>579120</xdr:colOff>
      <xdr:row>9</xdr:row>
      <xdr:rowOff>129540</xdr:rowOff>
    </xdr:to>
    <xdr:pic>
      <xdr:nvPicPr>
        <xdr:cNvPr id="6697460" name="Picture 2016">
          <a:extLst>
            <a:ext uri="{FF2B5EF4-FFF2-40B4-BE49-F238E27FC236}">
              <a16:creationId xmlns:a16="http://schemas.microsoft.com/office/drawing/2014/main" id="{1F35E0C2-559D-4967-ABF1-B1F3B7185EA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82240" y="1844040"/>
          <a:ext cx="268224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xdr:col>
      <xdr:colOff>681990</xdr:colOff>
      <xdr:row>7</xdr:row>
      <xdr:rowOff>120015</xdr:rowOff>
    </xdr:from>
    <xdr:to>
      <xdr:col>7</xdr:col>
      <xdr:colOff>297430</xdr:colOff>
      <xdr:row>9</xdr:row>
      <xdr:rowOff>112474</xdr:rowOff>
    </xdr:to>
    <xdr:sp macro="" textlink="" fLocksText="0">
      <xdr:nvSpPr>
        <xdr:cNvPr id="1058" name="Text Box 2017">
          <a:extLst>
            <a:ext uri="{FF2B5EF4-FFF2-40B4-BE49-F238E27FC236}">
              <a16:creationId xmlns:a16="http://schemas.microsoft.com/office/drawing/2014/main" id="{E4B0EC0D-5D3F-49E0-B8C5-6362D222B74B}"/>
            </a:ext>
          </a:extLst>
        </xdr:cNvPr>
        <xdr:cNvSpPr txBox="1">
          <a:spLocks noChangeArrowheads="1"/>
        </xdr:cNvSpPr>
      </xdr:nvSpPr>
      <xdr:spPr bwMode="auto">
        <a:xfrm>
          <a:off x="2952750" y="1914525"/>
          <a:ext cx="1990725" cy="38100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s-SV" sz="1200" b="0" i="0" u="none" strike="noStrike" baseline="0">
              <a:solidFill>
                <a:srgbClr val="000000"/>
              </a:solidFill>
              <a:latin typeface="Arial"/>
              <a:cs typeface="Arial"/>
            </a:rPr>
            <a:t>Indicadores</a:t>
          </a:r>
        </a:p>
        <a:p>
          <a:pPr algn="ctr"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754380</xdr:colOff>
      <xdr:row>7</xdr:row>
      <xdr:rowOff>76200</xdr:rowOff>
    </xdr:from>
    <xdr:to>
      <xdr:col>11</xdr:col>
      <xdr:colOff>419100</xdr:colOff>
      <xdr:row>9</xdr:row>
      <xdr:rowOff>129540</xdr:rowOff>
    </xdr:to>
    <xdr:pic>
      <xdr:nvPicPr>
        <xdr:cNvPr id="6697462" name="Picture 2018">
          <a:extLst>
            <a:ext uri="{FF2B5EF4-FFF2-40B4-BE49-F238E27FC236}">
              <a16:creationId xmlns:a16="http://schemas.microsoft.com/office/drawing/2014/main" id="{9539311A-8ECA-4412-97B6-1009958F662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39740" y="1859280"/>
          <a:ext cx="2133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72390</xdr:colOff>
      <xdr:row>7</xdr:row>
      <xdr:rowOff>120015</xdr:rowOff>
    </xdr:from>
    <xdr:to>
      <xdr:col>11</xdr:col>
      <xdr:colOff>346628</xdr:colOff>
      <xdr:row>9</xdr:row>
      <xdr:rowOff>112474</xdr:rowOff>
    </xdr:to>
    <xdr:sp macro="" textlink="" fLocksText="0">
      <xdr:nvSpPr>
        <xdr:cNvPr id="1060" name="Text Box 2019">
          <a:extLst>
            <a:ext uri="{FF2B5EF4-FFF2-40B4-BE49-F238E27FC236}">
              <a16:creationId xmlns:a16="http://schemas.microsoft.com/office/drawing/2014/main" id="{5A532782-E33A-4B6F-BF7B-02109B381482}"/>
            </a:ext>
          </a:extLst>
        </xdr:cNvPr>
        <xdr:cNvSpPr txBox="1">
          <a:spLocks noChangeArrowheads="1"/>
        </xdr:cNvSpPr>
      </xdr:nvSpPr>
      <xdr:spPr bwMode="auto">
        <a:xfrm>
          <a:off x="5467350" y="1914525"/>
          <a:ext cx="1924050" cy="38100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s-SV" sz="1200" b="0" i="0" u="none" strike="noStrike" baseline="0">
              <a:solidFill>
                <a:srgbClr val="000000"/>
              </a:solidFill>
              <a:latin typeface="Arial"/>
              <a:cs typeface="Arial"/>
            </a:rPr>
            <a:t>Informes</a:t>
          </a:r>
        </a:p>
        <a:p>
          <a:pPr algn="ctr"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144780</xdr:colOff>
      <xdr:row>1</xdr:row>
      <xdr:rowOff>68580</xdr:rowOff>
    </xdr:from>
    <xdr:to>
      <xdr:col>1</xdr:col>
      <xdr:colOff>129540</xdr:colOff>
      <xdr:row>4</xdr:row>
      <xdr:rowOff>83820</xdr:rowOff>
    </xdr:to>
    <xdr:pic>
      <xdr:nvPicPr>
        <xdr:cNvPr id="10843" name="Picture 2">
          <a:extLst>
            <a:ext uri="{FF2B5EF4-FFF2-40B4-BE49-F238E27FC236}">
              <a16:creationId xmlns:a16="http://schemas.microsoft.com/office/drawing/2014/main" id="{442542D5-B98A-4CB6-A326-ECC59FD373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251460"/>
          <a:ext cx="76962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1164092</xdr:colOff>
      <xdr:row>1</xdr:row>
      <xdr:rowOff>2741</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CEE2D688-EBFE-4A68-8416-0018F90FFE5C}"/>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184785</xdr:colOff>
      <xdr:row>2</xdr:row>
      <xdr:rowOff>0</xdr:rowOff>
    </xdr:from>
    <xdr:to>
      <xdr:col>0</xdr:col>
      <xdr:colOff>1216568</xdr:colOff>
      <xdr:row>2</xdr:row>
      <xdr:rowOff>458728</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8717CFB9-7291-47FC-B9A5-F99EFF0BCE98}"/>
            </a:ext>
          </a:extLst>
        </xdr:cNvPr>
        <xdr:cNvSpPr>
          <a:spLocks noChangeArrowheads="1"/>
        </xdr:cNvSpPr>
      </xdr:nvSpPr>
      <xdr:spPr bwMode="auto">
        <a:xfrm>
          <a:off x="200025" y="590550"/>
          <a:ext cx="981075" cy="447675"/>
        </a:xfrm>
        <a:prstGeom prst="rect">
          <a:avLst/>
        </a:prstGeom>
        <a:solidFill>
          <a:srgbClr val="FFFFFF"/>
        </a:solidFill>
        <a:ln w="9360" cap="sq">
          <a:solidFill>
            <a:srgbClr val="000000"/>
          </a:solidFill>
          <a:miter lim="800000"/>
          <a:headEnd/>
          <a:tailEnd/>
        </a:ln>
        <a:effectLst/>
      </xdr:spPr>
      <xdr:txBody>
        <a:bodyPr vertOverflow="clip" wrap="square" lIns="27360" tIns="22680" rIns="0" bIns="0" anchor="t" upright="1"/>
        <a:lstStyle/>
        <a:p>
          <a:pPr algn="l" rtl="0">
            <a:defRPr sz="1000"/>
          </a:pPr>
          <a:r>
            <a:rPr lang="es-SV" sz="900" b="0" i="0" u="none" strike="noStrike" baseline="0">
              <a:solidFill>
                <a:srgbClr val="000000"/>
              </a:solidFill>
              <a:latin typeface="Calibri"/>
            </a:rPr>
            <a:t>http://www.crwflags.com/fotw/flags/country.html</a:t>
          </a:r>
        </a:p>
      </xdr:txBody>
    </xdr:sp>
    <xdr:clientData/>
  </xdr:twoCellAnchor>
  <xdr:twoCellAnchor>
    <xdr:from>
      <xdr:col>0</xdr:col>
      <xdr:colOff>80010</xdr:colOff>
      <xdr:row>0</xdr:row>
      <xdr:rowOff>38100</xdr:rowOff>
    </xdr:from>
    <xdr:to>
      <xdr:col>0</xdr:col>
      <xdr:colOff>1030868</xdr:colOff>
      <xdr:row>1</xdr:row>
      <xdr:rowOff>112475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3194EEF8-98D0-41F6-990A-FA1E168D8F1E}"/>
            </a:ext>
          </a:extLst>
        </xdr:cNvPr>
        <xdr:cNvSpPr>
          <a:spLocks noChangeArrowheads="1"/>
        </xdr:cNvSpPr>
      </xdr:nvSpPr>
      <xdr:spPr bwMode="auto">
        <a:xfrm>
          <a:off x="85725" y="3810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0</xdr:col>
      <xdr:colOff>228600</xdr:colOff>
      <xdr:row>1</xdr:row>
      <xdr:rowOff>274320</xdr:rowOff>
    </xdr:from>
    <xdr:to>
      <xdr:col>0</xdr:col>
      <xdr:colOff>1242060</xdr:colOff>
      <xdr:row>3</xdr:row>
      <xdr:rowOff>45720</xdr:rowOff>
    </xdr:to>
    <xdr:pic>
      <xdr:nvPicPr>
        <xdr:cNvPr id="6698025" name="Picture 711">
          <a:extLst>
            <a:ext uri="{FF2B5EF4-FFF2-40B4-BE49-F238E27FC236}">
              <a16:creationId xmlns:a16="http://schemas.microsoft.com/office/drawing/2014/main" id="{3A001133-FE2C-4CCA-A507-866039CBF5F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 y="541020"/>
          <a:ext cx="101346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594360</xdr:colOff>
      <xdr:row>29</xdr:row>
      <xdr:rowOff>297180</xdr:rowOff>
    </xdr:from>
    <xdr:to>
      <xdr:col>7</xdr:col>
      <xdr:colOff>594360</xdr:colOff>
      <xdr:row>39</xdr:row>
      <xdr:rowOff>114300</xdr:rowOff>
    </xdr:to>
    <xdr:cxnSp macro="">
      <xdr:nvCxnSpPr>
        <xdr:cNvPr id="6699086" name="AutoShape 100">
          <a:extLst>
            <a:ext uri="{FF2B5EF4-FFF2-40B4-BE49-F238E27FC236}">
              <a16:creationId xmlns:a16="http://schemas.microsoft.com/office/drawing/2014/main" id="{CDCB988F-7F15-498F-8410-9EBF517AABE8}"/>
            </a:ext>
          </a:extLst>
        </xdr:cNvPr>
        <xdr:cNvCxnSpPr>
          <a:cxnSpLocks noChangeShapeType="1"/>
        </xdr:cNvCxnSpPr>
      </xdr:nvCxnSpPr>
      <xdr:spPr bwMode="auto">
        <a:xfrm flipH="1">
          <a:off x="13868400" y="4617720"/>
          <a:ext cx="0" cy="2263140"/>
        </a:xfrm>
        <a:prstGeom prst="straightConnector1">
          <a:avLst/>
        </a:prstGeom>
        <a:noFill/>
        <a:ln w="9360" cap="sq">
          <a:solidFill>
            <a:srgbClr val="000000"/>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171450</xdr:colOff>
      <xdr:row>0</xdr:row>
      <xdr:rowOff>0</xdr:rowOff>
    </xdr:from>
    <xdr:to>
      <xdr:col>1</xdr:col>
      <xdr:colOff>948028</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F2B7220C-A5DC-4802-BE5A-CB65CB5AB37C}"/>
            </a:ext>
          </a:extLst>
        </xdr:cNvPr>
        <xdr:cNvSpPr>
          <a:spLocks noChangeArrowheads="1"/>
        </xdr:cNvSpPr>
      </xdr:nvSpPr>
      <xdr:spPr bwMode="auto">
        <a:xfrm>
          <a:off x="171450" y="0"/>
          <a:ext cx="933450" cy="333375"/>
        </a:xfrm>
        <a:prstGeom prst="leftArrow">
          <a:avLst>
            <a:gd name="adj1" fmla="val 50000"/>
            <a:gd name="adj2" fmla="val 78906"/>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2</xdr:col>
      <xdr:colOff>1242060</xdr:colOff>
      <xdr:row>47</xdr:row>
      <xdr:rowOff>38100</xdr:rowOff>
    </xdr:from>
    <xdr:to>
      <xdr:col>6</xdr:col>
      <xdr:colOff>998220</xdr:colOff>
      <xdr:row>48</xdr:row>
      <xdr:rowOff>45720</xdr:rowOff>
    </xdr:to>
    <xdr:grpSp>
      <xdr:nvGrpSpPr>
        <xdr:cNvPr id="6699088" name="Group 18">
          <a:extLst>
            <a:ext uri="{FF2B5EF4-FFF2-40B4-BE49-F238E27FC236}">
              <a16:creationId xmlns:a16="http://schemas.microsoft.com/office/drawing/2014/main" id="{8AE749D3-4175-42AD-8302-184ACA34D214}"/>
            </a:ext>
          </a:extLst>
        </xdr:cNvPr>
        <xdr:cNvGrpSpPr>
          <a:grpSpLocks/>
        </xdr:cNvGrpSpPr>
      </xdr:nvGrpSpPr>
      <xdr:grpSpPr bwMode="auto">
        <a:xfrm>
          <a:off x="8176260" y="8309264"/>
          <a:ext cx="4972396" cy="187729"/>
          <a:chOff x="16695" y="12750"/>
          <a:chExt cx="10119" cy="298"/>
        </a:xfrm>
      </xdr:grpSpPr>
      <xdr:cxnSp macro="">
        <xdr:nvCxnSpPr>
          <xdr:cNvPr id="6699089" name="AutoShape 100">
            <a:extLst>
              <a:ext uri="{FF2B5EF4-FFF2-40B4-BE49-F238E27FC236}">
                <a16:creationId xmlns:a16="http://schemas.microsoft.com/office/drawing/2014/main" id="{FA6D4979-F813-4E08-873B-68C7DBAAF0FD}"/>
              </a:ext>
            </a:extLst>
          </xdr:cNvPr>
          <xdr:cNvCxnSpPr>
            <a:cxnSpLocks noChangeShapeType="1"/>
          </xdr:cNvCxnSpPr>
        </xdr:nvCxnSpPr>
        <xdr:spPr bwMode="auto">
          <a:xfrm>
            <a:off x="16724" y="13026"/>
            <a:ext cx="10086" cy="2"/>
          </a:xfrm>
          <a:prstGeom prst="straightConnector1">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6699090" name="Straight Connector 16">
            <a:extLst>
              <a:ext uri="{FF2B5EF4-FFF2-40B4-BE49-F238E27FC236}">
                <a16:creationId xmlns:a16="http://schemas.microsoft.com/office/drawing/2014/main" id="{3B1C86F6-C3F7-4FAC-BF4D-2C064BE777B0}"/>
              </a:ext>
            </a:extLst>
          </xdr:cNvPr>
          <xdr:cNvSpPr>
            <a:spLocks noChangeShapeType="1"/>
          </xdr:cNvSpPr>
        </xdr:nvSpPr>
        <xdr:spPr bwMode="auto">
          <a:xfrm flipV="1">
            <a:off x="16695" y="12750"/>
            <a:ext cx="0" cy="273"/>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sp macro="" textlink="">
        <xdr:nvSpPr>
          <xdr:cNvPr id="6699091" name="Straight Connector 17">
            <a:extLst>
              <a:ext uri="{FF2B5EF4-FFF2-40B4-BE49-F238E27FC236}">
                <a16:creationId xmlns:a16="http://schemas.microsoft.com/office/drawing/2014/main" id="{CD199979-C06C-4BF8-9AA8-7C76C4166308}"/>
              </a:ext>
            </a:extLst>
          </xdr:cNvPr>
          <xdr:cNvSpPr>
            <a:spLocks noChangeShapeType="1"/>
          </xdr:cNvSpPr>
        </xdr:nvSpPr>
        <xdr:spPr bwMode="auto">
          <a:xfrm flipV="1">
            <a:off x="26815" y="12775"/>
            <a:ext cx="0" cy="273"/>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xdr:colOff>
      <xdr:row>9</xdr:row>
      <xdr:rowOff>106680</xdr:rowOff>
    </xdr:from>
    <xdr:to>
      <xdr:col>6</xdr:col>
      <xdr:colOff>22860</xdr:colOff>
      <xdr:row>20</xdr:row>
      <xdr:rowOff>182880</xdr:rowOff>
    </xdr:to>
    <xdr:graphicFrame macro="">
      <xdr:nvGraphicFramePr>
        <xdr:cNvPr id="6700084" name="Chart 1">
          <a:extLst>
            <a:ext uri="{FF2B5EF4-FFF2-40B4-BE49-F238E27FC236}">
              <a16:creationId xmlns:a16="http://schemas.microsoft.com/office/drawing/2014/main" id="{88DE1D3E-13A4-4CC0-B30E-ECF09936C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1577340</xdr:colOff>
      <xdr:row>9</xdr:row>
      <xdr:rowOff>83820</xdr:rowOff>
    </xdr:from>
    <xdr:to>
      <xdr:col>15</xdr:col>
      <xdr:colOff>114300</xdr:colOff>
      <xdr:row>22</xdr:row>
      <xdr:rowOff>152400</xdr:rowOff>
    </xdr:to>
    <xdr:graphicFrame macro="">
      <xdr:nvGraphicFramePr>
        <xdr:cNvPr id="6700085" name="Chart 2">
          <a:extLst>
            <a:ext uri="{FF2B5EF4-FFF2-40B4-BE49-F238E27FC236}">
              <a16:creationId xmlns:a16="http://schemas.microsoft.com/office/drawing/2014/main" id="{F7CA87BE-6FAD-4DDC-BBAF-4E7EEFA39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0</xdr:rowOff>
    </xdr:from>
    <xdr:to>
      <xdr:col>5</xdr:col>
      <xdr:colOff>1783080</xdr:colOff>
      <xdr:row>31</xdr:row>
      <xdr:rowOff>38100</xdr:rowOff>
    </xdr:to>
    <xdr:graphicFrame macro="">
      <xdr:nvGraphicFramePr>
        <xdr:cNvPr id="6700086" name="Chart 3">
          <a:extLst>
            <a:ext uri="{FF2B5EF4-FFF2-40B4-BE49-F238E27FC236}">
              <a16:creationId xmlns:a16="http://schemas.microsoft.com/office/drawing/2014/main" id="{DE1305DB-BFBC-466E-A629-32AD32BB0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xdr:col>
      <xdr:colOff>737023</xdr:colOff>
      <xdr:row>0</xdr:row>
      <xdr:rowOff>333375</xdr:rowOff>
    </xdr:to>
    <xdr:sp macro="" textlink="" fLocksText="0">
      <xdr:nvSpPr>
        <xdr:cNvPr id="5124" name="AutoShape 50">
          <a:hlinkClick xmlns:r="http://schemas.openxmlformats.org/officeDocument/2006/relationships" r:id="rId4"/>
          <a:extLst>
            <a:ext uri="{FF2B5EF4-FFF2-40B4-BE49-F238E27FC236}">
              <a16:creationId xmlns:a16="http://schemas.microsoft.com/office/drawing/2014/main" id="{0BD85DF6-1FE9-4A59-9FEE-E6240D4D7DFE}"/>
            </a:ext>
          </a:extLst>
        </xdr:cNvPr>
        <xdr:cNvSpPr>
          <a:spLocks noChangeArrowheads="1"/>
        </xdr:cNvSpPr>
      </xdr:nvSpPr>
      <xdr:spPr bwMode="auto">
        <a:xfrm>
          <a:off x="0" y="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30480</xdr:colOff>
      <xdr:row>7</xdr:row>
      <xdr:rowOff>160020</xdr:rowOff>
    </xdr:from>
    <xdr:to>
      <xdr:col>12</xdr:col>
      <xdr:colOff>220980</xdr:colOff>
      <xdr:row>14</xdr:row>
      <xdr:rowOff>152400</xdr:rowOff>
    </xdr:to>
    <xdr:graphicFrame macro="">
      <xdr:nvGraphicFramePr>
        <xdr:cNvPr id="6704206" name="Chart 1">
          <a:extLst>
            <a:ext uri="{FF2B5EF4-FFF2-40B4-BE49-F238E27FC236}">
              <a16:creationId xmlns:a16="http://schemas.microsoft.com/office/drawing/2014/main" id="{3EDA00A3-6E67-4F7F-BEEA-23C687B5E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68580</xdr:colOff>
      <xdr:row>16</xdr:row>
      <xdr:rowOff>0</xdr:rowOff>
    </xdr:from>
    <xdr:to>
      <xdr:col>6</xdr:col>
      <xdr:colOff>0</xdr:colOff>
      <xdr:row>25</xdr:row>
      <xdr:rowOff>30480</xdr:rowOff>
    </xdr:to>
    <xdr:graphicFrame macro="">
      <xdr:nvGraphicFramePr>
        <xdr:cNvPr id="6704207" name="Chart 2">
          <a:extLst>
            <a:ext uri="{FF2B5EF4-FFF2-40B4-BE49-F238E27FC236}">
              <a16:creationId xmlns:a16="http://schemas.microsoft.com/office/drawing/2014/main" id="{96AADA04-A447-40B1-A897-EFBB74312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xdr:row>
      <xdr:rowOff>15240</xdr:rowOff>
    </xdr:from>
    <xdr:to>
      <xdr:col>6</xdr:col>
      <xdr:colOff>99060</xdr:colOff>
      <xdr:row>14</xdr:row>
      <xdr:rowOff>251460</xdr:rowOff>
    </xdr:to>
    <xdr:graphicFrame macro="">
      <xdr:nvGraphicFramePr>
        <xdr:cNvPr id="6704208" name="Chart 3">
          <a:extLst>
            <a:ext uri="{FF2B5EF4-FFF2-40B4-BE49-F238E27FC236}">
              <a16:creationId xmlns:a16="http://schemas.microsoft.com/office/drawing/2014/main" id="{F30C3888-5B26-4A47-B74F-E0B0A99AB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1150620</xdr:colOff>
      <xdr:row>16</xdr:row>
      <xdr:rowOff>7620</xdr:rowOff>
    </xdr:from>
    <xdr:to>
      <xdr:col>13</xdr:col>
      <xdr:colOff>220980</xdr:colOff>
      <xdr:row>25</xdr:row>
      <xdr:rowOff>45720</xdr:rowOff>
    </xdr:to>
    <xdr:graphicFrame macro="">
      <xdr:nvGraphicFramePr>
        <xdr:cNvPr id="6704209" name="Chart 4">
          <a:extLst>
            <a:ext uri="{FF2B5EF4-FFF2-40B4-BE49-F238E27FC236}">
              <a16:creationId xmlns:a16="http://schemas.microsoft.com/office/drawing/2014/main" id="{F8892D62-3694-4E89-8DC1-040D55BCB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27</xdr:row>
      <xdr:rowOff>45720</xdr:rowOff>
    </xdr:from>
    <xdr:to>
      <xdr:col>6</xdr:col>
      <xdr:colOff>114300</xdr:colOff>
      <xdr:row>34</xdr:row>
      <xdr:rowOff>236220</xdr:rowOff>
    </xdr:to>
    <xdr:graphicFrame macro="">
      <xdr:nvGraphicFramePr>
        <xdr:cNvPr id="6704210" name="Chart 5">
          <a:extLst>
            <a:ext uri="{FF2B5EF4-FFF2-40B4-BE49-F238E27FC236}">
              <a16:creationId xmlns:a16="http://schemas.microsoft.com/office/drawing/2014/main" id="{A5500054-E4CB-41F8-9DA1-CA0DCB071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9525</xdr:rowOff>
    </xdr:from>
    <xdr:to>
      <xdr:col>1</xdr:col>
      <xdr:colOff>718468</xdr:colOff>
      <xdr:row>0</xdr:row>
      <xdr:rowOff>342900</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96CCEE3B-F06F-44FA-BA97-4DFE40FB9F1D}"/>
            </a:ext>
          </a:extLst>
        </xdr:cNvPr>
        <xdr:cNvSpPr>
          <a:spLocks noChangeArrowheads="1"/>
        </xdr:cNvSpPr>
      </xdr:nvSpPr>
      <xdr:spPr bwMode="auto">
        <a:xfrm>
          <a:off x="0" y="9525"/>
          <a:ext cx="914400" cy="333375"/>
        </a:xfrm>
        <a:prstGeom prst="leftArrow">
          <a:avLst>
            <a:gd name="adj1" fmla="val 50000"/>
            <a:gd name="adj2" fmla="val 77295"/>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426720</xdr:colOff>
      <xdr:row>9</xdr:row>
      <xdr:rowOff>144780</xdr:rowOff>
    </xdr:from>
    <xdr:to>
      <xdr:col>12</xdr:col>
      <xdr:colOff>243840</xdr:colOff>
      <xdr:row>18</xdr:row>
      <xdr:rowOff>22860</xdr:rowOff>
    </xdr:to>
    <xdr:graphicFrame macro="">
      <xdr:nvGraphicFramePr>
        <xdr:cNvPr id="6710324" name="Chart 1">
          <a:extLst>
            <a:ext uri="{FF2B5EF4-FFF2-40B4-BE49-F238E27FC236}">
              <a16:creationId xmlns:a16="http://schemas.microsoft.com/office/drawing/2014/main" id="{8634876C-EA80-42A6-A3CF-176A3EF81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693420</xdr:colOff>
      <xdr:row>9</xdr:row>
      <xdr:rowOff>198120</xdr:rowOff>
    </xdr:from>
    <xdr:to>
      <xdr:col>18</xdr:col>
      <xdr:colOff>60960</xdr:colOff>
      <xdr:row>18</xdr:row>
      <xdr:rowOff>60960</xdr:rowOff>
    </xdr:to>
    <xdr:graphicFrame macro="">
      <xdr:nvGraphicFramePr>
        <xdr:cNvPr id="6710325" name="Chart 2">
          <a:extLst>
            <a:ext uri="{FF2B5EF4-FFF2-40B4-BE49-F238E27FC236}">
              <a16:creationId xmlns:a16="http://schemas.microsoft.com/office/drawing/2014/main" id="{0703DC01-CBD0-4F7D-BD98-8721C6009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19050</xdr:rowOff>
    </xdr:from>
    <xdr:to>
      <xdr:col>1</xdr:col>
      <xdr:colOff>927603</xdr:colOff>
      <xdr:row>1</xdr:row>
      <xdr:rowOff>38793</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CA41EABF-AD5C-4593-B3D7-3E681A63E5F0}"/>
            </a:ext>
          </a:extLst>
        </xdr:cNvPr>
        <xdr:cNvSpPr>
          <a:spLocks noChangeArrowheads="1"/>
        </xdr:cNvSpPr>
      </xdr:nvSpPr>
      <xdr:spPr bwMode="auto">
        <a:xfrm>
          <a:off x="28575" y="1905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1</xdr:col>
      <xdr:colOff>266700</xdr:colOff>
      <xdr:row>9</xdr:row>
      <xdr:rowOff>114300</xdr:rowOff>
    </xdr:from>
    <xdr:to>
      <xdr:col>5</xdr:col>
      <xdr:colOff>274320</xdr:colOff>
      <xdr:row>17</xdr:row>
      <xdr:rowOff>68580</xdr:rowOff>
    </xdr:to>
    <xdr:graphicFrame macro="">
      <xdr:nvGraphicFramePr>
        <xdr:cNvPr id="6710327" name="Chart 4">
          <a:extLst>
            <a:ext uri="{FF2B5EF4-FFF2-40B4-BE49-F238E27FC236}">
              <a16:creationId xmlns:a16="http://schemas.microsoft.com/office/drawing/2014/main" id="{5E0AADD8-F649-4152-B43E-84AC9A81D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952309</xdr:colOff>
      <xdr:row>0</xdr:row>
      <xdr:rowOff>381000</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9B4E53BA-6C60-46AD-8DB4-7F2F7B181EA9}"/>
            </a:ext>
          </a:extLst>
        </xdr:cNvPr>
        <xdr:cNvSpPr>
          <a:spLocks noChangeArrowheads="1"/>
        </xdr:cNvSpPr>
      </xdr:nvSpPr>
      <xdr:spPr bwMode="auto">
        <a:xfrm>
          <a:off x="47625" y="4762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720910</xdr:colOff>
      <xdr:row>0</xdr:row>
      <xdr:rowOff>354373</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6220F43B-0D43-4B14-B8BA-2BD2D58BFAEC}"/>
            </a:ext>
          </a:extLst>
        </xdr:cNvPr>
        <xdr:cNvSpPr>
          <a:spLocks noChangeArrowheads="1"/>
        </xdr:cNvSpPr>
      </xdr:nvSpPr>
      <xdr:spPr bwMode="auto">
        <a:xfrm>
          <a:off x="28575" y="2857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My%20Documents\Downloads\Ficticia%20HIV%20Dashboard_ES%20-%20Set%20Up%20and%20Maintenance%20Gui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ow r="6">
          <cell r="B6" t="str">
            <v>Subvención nº:</v>
          </cell>
          <cell r="C6" t="str">
            <v>FIC-910-G01-H</v>
          </cell>
        </row>
      </sheetData>
      <sheetData sheetId="2">
        <row r="3">
          <cell r="B3" t="str">
            <v>Tablero de mando:  Ficticia - VIH / SIDA</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O4"/>
  <sheetViews>
    <sheetView showGridLines="0" zoomScale="80" zoomScaleNormal="80" workbookViewId="0">
      <selection activeCell="H4" sqref="H4"/>
    </sheetView>
  </sheetViews>
  <sheetFormatPr baseColWidth="10" defaultColWidth="9.109375" defaultRowHeight="14.4"/>
  <cols>
    <col min="1" max="1" width="1.109375" customWidth="1"/>
    <col min="2" max="10" width="11.44140625" customWidth="1"/>
    <col min="11" max="11" width="1.6640625" customWidth="1"/>
  </cols>
  <sheetData>
    <row r="1" spans="2:15" ht="25.5" customHeight="1"/>
    <row r="2" spans="2:15" ht="36.6">
      <c r="B2" s="505" t="str">
        <f>+'[1]Información de la subvención'!B3:J3</f>
        <v>Tablero de mando:  Ficticia - VIH / SIDA</v>
      </c>
      <c r="C2" s="505"/>
      <c r="D2" s="505"/>
      <c r="E2" s="505"/>
      <c r="F2" s="505"/>
      <c r="G2" s="505"/>
      <c r="H2" s="505"/>
      <c r="I2" s="505"/>
      <c r="J2" s="505"/>
      <c r="K2" s="505"/>
      <c r="L2" s="505"/>
      <c r="M2" s="1"/>
      <c r="N2" s="1"/>
      <c r="O2" s="1"/>
    </row>
    <row r="4" spans="2:15" ht="21">
      <c r="B4" s="506" t="str">
        <f>+'Introducción de datos'!G6&amp;"  "&amp;+'Introducción de datos'!G8&amp;",  "&amp;+'Introducción de datos'!I8</f>
        <v>VIH / SIDA  Seleccionar,  Seleccionar</v>
      </c>
      <c r="C4" s="506"/>
      <c r="D4" s="506"/>
      <c r="E4" s="506"/>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honeticPr fontId="71"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8"/>
  <sheetViews>
    <sheetView showGridLines="0" topLeftCell="G6" zoomScale="80" zoomScaleNormal="80" workbookViewId="0">
      <selection activeCell="H9" sqref="H9:H21"/>
    </sheetView>
  </sheetViews>
  <sheetFormatPr baseColWidth="10" defaultColWidth="9.109375" defaultRowHeight="14.4"/>
  <cols>
    <col min="1" max="1" width="11.44140625" customWidth="1"/>
    <col min="2" max="2" width="16.109375" customWidth="1"/>
    <col min="3" max="3" width="14.6640625" customWidth="1"/>
    <col min="4" max="4" width="15.5546875" customWidth="1"/>
    <col min="5" max="6" width="11.44140625" customWidth="1"/>
    <col min="7" max="7" width="14.44140625" customWidth="1"/>
    <col min="8" max="8" width="35.5546875" customWidth="1"/>
    <col min="9" max="9" width="45.6640625" customWidth="1"/>
    <col min="10" max="10" width="33.5546875" customWidth="1"/>
    <col min="11" max="12" width="11.44140625" customWidth="1"/>
    <col min="13" max="13" width="28.5546875" customWidth="1"/>
    <col min="14" max="14" width="46.44140625" customWidth="1"/>
  </cols>
  <sheetData>
    <row r="2" spans="2:15" ht="25.5" customHeight="1"/>
    <row r="3" spans="2:15" ht="36.6">
      <c r="B3" s="803" t="str">
        <f>'Información de la subvención'!B3:J3</f>
        <v>Tablero de mando:  El Salvador - VIH / SIDA</v>
      </c>
      <c r="C3" s="803"/>
      <c r="D3" s="803"/>
      <c r="E3" s="803"/>
      <c r="F3" s="803"/>
      <c r="G3" s="803"/>
      <c r="H3" s="803"/>
      <c r="I3" s="245"/>
    </row>
    <row r="6" spans="2:15" ht="18">
      <c r="B6" s="804" t="s">
        <v>34</v>
      </c>
      <c r="C6" s="804"/>
      <c r="D6" s="804"/>
      <c r="E6" s="804"/>
      <c r="F6" s="804"/>
      <c r="G6" s="804"/>
      <c r="H6" s="804"/>
    </row>
    <row r="8" spans="2:15" ht="18">
      <c r="B8" s="384" t="s">
        <v>35</v>
      </c>
      <c r="C8" s="384" t="s">
        <v>36</v>
      </c>
      <c r="D8" s="384" t="s">
        <v>37</v>
      </c>
      <c r="E8" s="384" t="s">
        <v>38</v>
      </c>
      <c r="F8" s="384" t="s">
        <v>39</v>
      </c>
      <c r="G8" s="384" t="s">
        <v>40</v>
      </c>
      <c r="H8" s="384" t="s">
        <v>41</v>
      </c>
      <c r="I8" s="385" t="s">
        <v>42</v>
      </c>
      <c r="J8" s="385" t="s">
        <v>43</v>
      </c>
      <c r="M8" s="10"/>
      <c r="N8" s="10"/>
      <c r="O8" s="10"/>
    </row>
    <row r="9" spans="2:15">
      <c r="B9" s="386" t="s">
        <v>44</v>
      </c>
      <c r="C9" s="386" t="s">
        <v>44</v>
      </c>
      <c r="D9" s="386" t="s">
        <v>44</v>
      </c>
      <c r="E9" s="386" t="s">
        <v>44</v>
      </c>
      <c r="F9" s="386" t="s">
        <v>44</v>
      </c>
      <c r="G9" s="386" t="s">
        <v>44</v>
      </c>
      <c r="H9" s="386" t="s">
        <v>44</v>
      </c>
      <c r="I9" s="387" t="s">
        <v>44</v>
      </c>
      <c r="J9" s="386" t="s">
        <v>44</v>
      </c>
      <c r="M9" s="10"/>
      <c r="N9" s="10"/>
      <c r="O9" s="10"/>
    </row>
    <row r="10" spans="2:15">
      <c r="B10" s="388" t="s">
        <v>45</v>
      </c>
      <c r="C10" s="388" t="s">
        <v>203</v>
      </c>
      <c r="D10" s="388" t="s">
        <v>46</v>
      </c>
      <c r="E10" s="388" t="s">
        <v>47</v>
      </c>
      <c r="F10" s="388" t="s">
        <v>16</v>
      </c>
      <c r="G10" s="389" t="s">
        <v>188</v>
      </c>
      <c r="H10" s="390" t="s">
        <v>48</v>
      </c>
      <c r="I10" s="391" t="s">
        <v>261</v>
      </c>
      <c r="J10" s="386" t="s">
        <v>49</v>
      </c>
      <c r="M10" s="10"/>
      <c r="N10" s="10"/>
      <c r="O10" s="10"/>
    </row>
    <row r="11" spans="2:15">
      <c r="B11" s="388" t="s">
        <v>50</v>
      </c>
      <c r="C11" s="388" t="s">
        <v>51</v>
      </c>
      <c r="D11" s="388" t="s">
        <v>52</v>
      </c>
      <c r="E11" s="388" t="s">
        <v>183</v>
      </c>
      <c r="F11" s="388" t="s">
        <v>17</v>
      </c>
      <c r="G11" s="389" t="s">
        <v>53</v>
      </c>
      <c r="H11" s="390" t="s">
        <v>54</v>
      </c>
      <c r="I11" s="391" t="s">
        <v>262</v>
      </c>
      <c r="J11" s="386" t="s">
        <v>55</v>
      </c>
      <c r="M11" s="10"/>
      <c r="N11" s="10"/>
      <c r="O11" s="10"/>
    </row>
    <row r="12" spans="2:15">
      <c r="B12" s="388" t="s">
        <v>177</v>
      </c>
      <c r="D12" s="388" t="s">
        <v>56</v>
      </c>
      <c r="E12" s="388" t="s">
        <v>57</v>
      </c>
      <c r="F12" s="388" t="s">
        <v>18</v>
      </c>
      <c r="G12" s="389" t="s">
        <v>58</v>
      </c>
      <c r="H12" s="390" t="s">
        <v>59</v>
      </c>
      <c r="I12" s="391" t="s">
        <v>263</v>
      </c>
      <c r="J12" s="386" t="s">
        <v>60</v>
      </c>
      <c r="M12" s="392"/>
      <c r="N12" s="10"/>
      <c r="O12" s="10"/>
    </row>
    <row r="13" spans="2:15">
      <c r="B13" s="388" t="s">
        <v>61</v>
      </c>
      <c r="D13" s="388" t="s">
        <v>62</v>
      </c>
      <c r="E13" s="393"/>
      <c r="F13" s="388" t="s">
        <v>19</v>
      </c>
      <c r="G13" s="389" t="s">
        <v>63</v>
      </c>
      <c r="H13" s="390" t="s">
        <v>64</v>
      </c>
      <c r="I13" s="391" t="s">
        <v>264</v>
      </c>
      <c r="J13" s="386" t="s">
        <v>65</v>
      </c>
      <c r="M13" s="392"/>
      <c r="N13" s="10"/>
      <c r="O13" s="10"/>
    </row>
    <row r="14" spans="2:15">
      <c r="B14" s="388" t="s">
        <v>66</v>
      </c>
      <c r="D14" s="388" t="s">
        <v>67</v>
      </c>
      <c r="F14" s="388" t="s">
        <v>20</v>
      </c>
      <c r="G14" s="389" t="s">
        <v>68</v>
      </c>
      <c r="H14" s="390" t="s">
        <v>69</v>
      </c>
      <c r="I14" s="391" t="s">
        <v>70</v>
      </c>
      <c r="J14" s="386" t="s">
        <v>71</v>
      </c>
      <c r="M14" s="392"/>
      <c r="N14" s="10"/>
      <c r="O14" s="10"/>
    </row>
    <row r="15" spans="2:15">
      <c r="D15" s="388" t="s">
        <v>72</v>
      </c>
      <c r="F15" s="388" t="s">
        <v>21</v>
      </c>
      <c r="H15" s="390" t="s">
        <v>73</v>
      </c>
      <c r="I15" s="391" t="s">
        <v>74</v>
      </c>
      <c r="J15" s="386" t="s">
        <v>75</v>
      </c>
      <c r="M15" s="392"/>
      <c r="N15" s="10"/>
      <c r="O15" s="10"/>
    </row>
    <row r="16" spans="2:15">
      <c r="D16" s="388" t="s">
        <v>76</v>
      </c>
      <c r="F16" s="388" t="s">
        <v>22</v>
      </c>
      <c r="H16" s="390" t="s">
        <v>77</v>
      </c>
      <c r="I16" s="391" t="s">
        <v>78</v>
      </c>
      <c r="J16" s="386" t="s">
        <v>79</v>
      </c>
      <c r="M16" s="392"/>
      <c r="N16" s="10"/>
      <c r="O16" s="10"/>
    </row>
    <row r="17" spans="4:15">
      <c r="D17" s="388" t="s">
        <v>80</v>
      </c>
      <c r="F17" s="388" t="s">
        <v>23</v>
      </c>
      <c r="H17" s="390" t="s">
        <v>81</v>
      </c>
      <c r="I17" s="391" t="s">
        <v>82</v>
      </c>
      <c r="J17" s="386" t="s">
        <v>83</v>
      </c>
      <c r="M17" s="392"/>
      <c r="N17" s="10"/>
      <c r="O17" s="10"/>
    </row>
    <row r="18" spans="4:15">
      <c r="D18" s="388" t="s">
        <v>181</v>
      </c>
      <c r="F18" s="388" t="s">
        <v>207</v>
      </c>
      <c r="H18" s="390" t="s">
        <v>84</v>
      </c>
      <c r="I18" s="391" t="s">
        <v>85</v>
      </c>
      <c r="J18" s="386" t="s">
        <v>86</v>
      </c>
      <c r="M18" s="392"/>
      <c r="N18" s="10"/>
      <c r="O18" s="10"/>
    </row>
    <row r="19" spans="4:15">
      <c r="D19" s="388" t="s">
        <v>87</v>
      </c>
      <c r="F19" s="388" t="s">
        <v>208</v>
      </c>
      <c r="H19" s="390" t="s">
        <v>186</v>
      </c>
      <c r="I19" s="391" t="s">
        <v>88</v>
      </c>
      <c r="J19" s="386" t="s">
        <v>89</v>
      </c>
      <c r="M19" s="392"/>
      <c r="N19" s="10"/>
      <c r="O19" s="10"/>
    </row>
    <row r="20" spans="4:15">
      <c r="D20" s="394"/>
      <c r="F20" s="388" t="s">
        <v>209</v>
      </c>
      <c r="H20" s="390" t="s">
        <v>90</v>
      </c>
      <c r="I20" s="391" t="s">
        <v>91</v>
      </c>
      <c r="J20" s="386" t="s">
        <v>92</v>
      </c>
      <c r="M20" s="10"/>
      <c r="N20" s="10"/>
      <c r="O20" s="10"/>
    </row>
    <row r="21" spans="4:15">
      <c r="D21" s="395"/>
      <c r="F21" s="388" t="s">
        <v>192</v>
      </c>
      <c r="H21" s="395"/>
      <c r="I21" s="391" t="s">
        <v>93</v>
      </c>
      <c r="J21" s="386" t="s">
        <v>94</v>
      </c>
      <c r="M21" s="10"/>
      <c r="N21" s="10"/>
      <c r="O21" s="10"/>
    </row>
    <row r="22" spans="4:15">
      <c r="H22" s="395"/>
      <c r="I22" s="391" t="s">
        <v>95</v>
      </c>
      <c r="J22" s="386" t="s">
        <v>96</v>
      </c>
      <c r="M22" s="10"/>
      <c r="N22" s="10"/>
      <c r="O22" s="10"/>
    </row>
    <row r="23" spans="4:15">
      <c r="I23" s="391" t="s">
        <v>97</v>
      </c>
      <c r="J23" s="386" t="s">
        <v>98</v>
      </c>
      <c r="M23" s="10"/>
      <c r="N23" s="10"/>
      <c r="O23" s="10"/>
    </row>
    <row r="24" spans="4:15">
      <c r="I24" s="391" t="s">
        <v>99</v>
      </c>
      <c r="J24" s="386" t="s">
        <v>100</v>
      </c>
      <c r="M24" s="10"/>
      <c r="N24" s="10"/>
      <c r="O24" s="10"/>
    </row>
    <row r="25" spans="4:15">
      <c r="I25" s="396"/>
      <c r="J25" s="386" t="s">
        <v>101</v>
      </c>
    </row>
    <row r="26" spans="4:15">
      <c r="I26" s="391" t="s">
        <v>102</v>
      </c>
      <c r="J26" s="386" t="s">
        <v>103</v>
      </c>
    </row>
    <row r="27" spans="4:15">
      <c r="I27" s="391" t="s">
        <v>104</v>
      </c>
      <c r="J27" s="386" t="s">
        <v>173</v>
      </c>
    </row>
    <row r="28" spans="4:15">
      <c r="I28" s="396" t="s">
        <v>105</v>
      </c>
      <c r="J28" s="386" t="s">
        <v>106</v>
      </c>
    </row>
    <row r="29" spans="4:15">
      <c r="I29" s="396" t="s">
        <v>107</v>
      </c>
      <c r="J29" s="386" t="s">
        <v>108</v>
      </c>
    </row>
    <row r="30" spans="4:15">
      <c r="I30" s="396" t="s">
        <v>109</v>
      </c>
      <c r="J30" s="386" t="s">
        <v>110</v>
      </c>
    </row>
    <row r="31" spans="4:15">
      <c r="J31" s="386" t="s">
        <v>111</v>
      </c>
    </row>
    <row r="32" spans="4:15">
      <c r="J32" s="386" t="s">
        <v>112</v>
      </c>
    </row>
    <row r="33" spans="10:10">
      <c r="J33" s="386" t="s">
        <v>113</v>
      </c>
    </row>
    <row r="34" spans="10:10">
      <c r="J34" s="386" t="s">
        <v>114</v>
      </c>
    </row>
    <row r="35" spans="10:10">
      <c r="J35" s="386" t="s">
        <v>115</v>
      </c>
    </row>
    <row r="36" spans="10:10">
      <c r="J36" s="386" t="s">
        <v>116</v>
      </c>
    </row>
    <row r="37" spans="10:10">
      <c r="J37" s="386" t="s">
        <v>117</v>
      </c>
    </row>
    <row r="38" spans="10:10">
      <c r="J38" s="386" t="s">
        <v>118</v>
      </c>
    </row>
    <row r="39" spans="10:10">
      <c r="J39" s="386" t="s">
        <v>119</v>
      </c>
    </row>
    <row r="40" spans="10:10">
      <c r="J40" s="386" t="s">
        <v>120</v>
      </c>
    </row>
    <row r="41" spans="10:10">
      <c r="J41" s="386" t="s">
        <v>121</v>
      </c>
    </row>
    <row r="42" spans="10:10">
      <c r="J42" s="386" t="s">
        <v>122</v>
      </c>
    </row>
    <row r="43" spans="10:10">
      <c r="J43" s="386" t="s">
        <v>123</v>
      </c>
    </row>
    <row r="44" spans="10:10">
      <c r="J44" s="386" t="s">
        <v>124</v>
      </c>
    </row>
    <row r="45" spans="10:10">
      <c r="J45" s="386" t="s">
        <v>125</v>
      </c>
    </row>
    <row r="46" spans="10:10">
      <c r="J46" s="386" t="s">
        <v>126</v>
      </c>
    </row>
    <row r="47" spans="10:10">
      <c r="J47" s="386" t="s">
        <v>127</v>
      </c>
    </row>
    <row r="48" spans="10:10">
      <c r="J48" s="386" t="s">
        <v>128</v>
      </c>
    </row>
  </sheetData>
  <sheetProtection selectLockedCells="1" selectUnlockedCells="1"/>
  <mergeCells count="2">
    <mergeCell ref="B3:H3"/>
    <mergeCell ref="B6:H6"/>
  </mergeCells>
  <phoneticPr fontId="71" type="noConversion"/>
  <dataValidations count="1">
    <dataValidation type="list" allowBlank="1" showErrorMessage="1" sqref="M28">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BH48"/>
  <sheetViews>
    <sheetView showGridLines="0" topLeftCell="F1" zoomScale="75" zoomScaleNormal="75" workbookViewId="0">
      <pane ySplit="2" topLeftCell="A18" activePane="bottomLeft" state="frozen"/>
      <selection activeCell="B1" sqref="B1"/>
      <selection pane="bottomLeft" activeCell="M8" sqref="M8:O8"/>
    </sheetView>
  </sheetViews>
  <sheetFormatPr baseColWidth="10" defaultColWidth="9.109375" defaultRowHeight="14.4"/>
  <cols>
    <col min="1" max="1" width="2.6640625" customWidth="1"/>
    <col min="2" max="2" width="21.44140625" customWidth="1"/>
    <col min="3" max="3" width="11.44140625" customWidth="1"/>
    <col min="4" max="4" width="11.109375" customWidth="1"/>
    <col min="5" max="5" width="16.44140625" customWidth="1"/>
    <col min="6" max="6" width="15.6640625" customWidth="1"/>
    <col min="7" max="7" width="37.33203125" customWidth="1"/>
    <col min="8" max="8" width="17.33203125" customWidth="1"/>
    <col min="9" max="9" width="71" customWidth="1"/>
    <col min="10" max="10" width="14.109375" customWidth="1"/>
    <col min="11" max="11" width="16" customWidth="1"/>
    <col min="12" max="12" width="13.109375" customWidth="1"/>
    <col min="13" max="13" width="49.44140625" customWidth="1"/>
    <col min="14" max="14" width="2.5546875" style="5" customWidth="1"/>
    <col min="15" max="15" width="3" style="5" customWidth="1"/>
    <col min="16" max="16" width="2.5546875" customWidth="1"/>
    <col min="17" max="17" width="16.109375" customWidth="1"/>
    <col min="18" max="18" width="13.6640625" customWidth="1"/>
    <col min="19" max="19" width="11.44140625" customWidth="1"/>
    <col min="20" max="20" width="14.88671875" customWidth="1"/>
    <col min="21" max="21" width="16" customWidth="1"/>
    <col min="22" max="22" width="0" hidden="1" customWidth="1"/>
    <col min="23" max="23" width="15.5546875" customWidth="1"/>
    <col min="24" max="24" width="11.44140625" customWidth="1"/>
    <col min="25" max="25" width="2.33203125" customWidth="1"/>
    <col min="26" max="26" width="1.109375" customWidth="1"/>
    <col min="27" max="27" width="3.33203125" customWidth="1"/>
    <col min="28" max="28" width="17" customWidth="1"/>
    <col min="29" max="29" width="15" customWidth="1"/>
    <col min="30" max="30" width="11.44140625" customWidth="1"/>
    <col min="31" max="31" width="13.5546875" customWidth="1"/>
    <col min="32" max="32" width="16.88671875" customWidth="1"/>
    <col min="33" max="33" width="11.44140625" customWidth="1"/>
    <col min="34" max="34" width="2" customWidth="1"/>
    <col min="35" max="35" width="3.33203125" customWidth="1"/>
    <col min="36" max="36" width="2.33203125" customWidth="1"/>
    <col min="37" max="37" width="40.6640625" customWidth="1"/>
    <col min="38" max="38" width="15.44140625" customWidth="1"/>
  </cols>
  <sheetData>
    <row r="1" spans="1:60" ht="34.5" customHeight="1">
      <c r="A1" s="6"/>
      <c r="B1" s="6"/>
      <c r="C1" s="6"/>
      <c r="D1" s="6"/>
      <c r="E1" s="6"/>
      <c r="F1" s="6"/>
      <c r="G1" s="6"/>
      <c r="H1" s="6"/>
      <c r="I1" s="6"/>
      <c r="J1" s="6"/>
      <c r="K1" s="6"/>
      <c r="L1" s="6"/>
      <c r="M1" s="6"/>
    </row>
    <row r="2" spans="1:60" ht="36" customHeight="1">
      <c r="A2" s="6"/>
      <c r="B2" s="510" t="str">
        <f>+"Cuadro de mando:  "&amp;"  "&amp;+'Introducción de datos'!C4&amp;" - "&amp;'Introducción de datos'!G6</f>
        <v>Cuadro de mando:    El Salvador - VIH / SIDA</v>
      </c>
      <c r="C2" s="510"/>
      <c r="D2" s="510"/>
      <c r="E2" s="510"/>
      <c r="F2" s="510"/>
      <c r="G2" s="510"/>
      <c r="H2" s="510"/>
      <c r="I2" s="510"/>
      <c r="J2" s="510"/>
      <c r="K2" s="510"/>
      <c r="L2" s="510"/>
      <c r="M2" s="510"/>
    </row>
    <row r="3" spans="1:60" ht="15.75" customHeight="1">
      <c r="A3" s="6"/>
      <c r="B3" s="7"/>
      <c r="C3" s="7"/>
      <c r="D3" s="7"/>
      <c r="E3" s="7"/>
      <c r="F3" s="7"/>
      <c r="G3" s="7"/>
      <c r="H3" s="7"/>
      <c r="I3" s="7"/>
      <c r="J3" s="7"/>
      <c r="K3" s="8"/>
      <c r="L3" s="8"/>
      <c r="M3" s="6"/>
    </row>
    <row r="5" spans="1:60" ht="23.4">
      <c r="B5" s="511" t="s">
        <v>129</v>
      </c>
      <c r="C5" s="511"/>
      <c r="D5" s="511"/>
      <c r="E5" s="511"/>
      <c r="F5" s="511"/>
      <c r="G5" s="511"/>
      <c r="H5" s="511"/>
      <c r="I5" s="511"/>
      <c r="J5" s="511"/>
      <c r="K5" s="511"/>
      <c r="L5" s="511"/>
      <c r="M5" s="511"/>
      <c r="N5" s="511"/>
      <c r="O5" s="511"/>
    </row>
    <row r="7" spans="1:60" ht="21">
      <c r="B7" s="512" t="s">
        <v>130</v>
      </c>
      <c r="C7" s="512"/>
      <c r="D7" s="512"/>
      <c r="E7" s="512" t="s">
        <v>131</v>
      </c>
      <c r="F7" s="512"/>
      <c r="G7" s="512"/>
      <c r="H7" s="512"/>
      <c r="I7" s="512"/>
      <c r="J7" s="512" t="s">
        <v>132</v>
      </c>
      <c r="K7" s="512"/>
      <c r="L7" s="512"/>
      <c r="M7" s="512" t="s">
        <v>133</v>
      </c>
      <c r="N7" s="512"/>
      <c r="O7" s="512"/>
    </row>
    <row r="8" spans="1:60" ht="92.25" customHeight="1">
      <c r="B8" s="507" t="str">
        <f>+'Introducción de datos'!B27</f>
        <v>F1: Presupuesto y desembolsos del Fondo Mundial</v>
      </c>
      <c r="C8" s="507"/>
      <c r="D8" s="507"/>
      <c r="E8" s="508" t="s">
        <v>134</v>
      </c>
      <c r="F8" s="508"/>
      <c r="G8" s="508"/>
      <c r="H8" s="508"/>
      <c r="I8" s="508"/>
      <c r="J8" s="509" t="s">
        <v>135</v>
      </c>
      <c r="K8" s="509"/>
      <c r="L8" s="509"/>
      <c r="M8" s="509" t="s">
        <v>136</v>
      </c>
      <c r="N8" s="509"/>
      <c r="O8" s="509"/>
    </row>
    <row r="9" spans="1:60" ht="117.75" customHeight="1">
      <c r="B9" s="507" t="str">
        <f>+'Introducción de datos'!B36</f>
        <v>F2: Presupuesto y gastos reales por modulo de la subvención</v>
      </c>
      <c r="C9" s="507"/>
      <c r="D9" s="507"/>
      <c r="E9" s="514" t="s">
        <v>137</v>
      </c>
      <c r="F9" s="514"/>
      <c r="G9" s="514"/>
      <c r="H9" s="514"/>
      <c r="I9" s="514"/>
      <c r="J9" s="516" t="s">
        <v>138</v>
      </c>
      <c r="K9" s="516"/>
      <c r="L9" s="516"/>
      <c r="M9" s="516" t="s">
        <v>136</v>
      </c>
      <c r="N9" s="516"/>
      <c r="O9" s="516"/>
    </row>
    <row r="10" spans="1:60" ht="233.25" customHeight="1">
      <c r="B10" s="513" t="str">
        <f>+'Introducción de datos'!B49</f>
        <v>F3: Desembolsos y gastos</v>
      </c>
      <c r="C10" s="513"/>
      <c r="D10" s="513"/>
      <c r="E10" s="514" t="s">
        <v>139</v>
      </c>
      <c r="F10" s="514"/>
      <c r="G10" s="514"/>
      <c r="H10" s="514"/>
      <c r="I10" s="514"/>
      <c r="J10" s="515" t="s">
        <v>140</v>
      </c>
      <c r="K10" s="515"/>
      <c r="L10" s="515"/>
      <c r="M10" s="516" t="s">
        <v>141</v>
      </c>
      <c r="N10" s="516"/>
      <c r="O10" s="516"/>
    </row>
    <row r="11" spans="1:60" ht="279.75" customHeight="1">
      <c r="B11" s="513" t="str">
        <f>+'Introducción de datos'!B61</f>
        <v>F4: Último ciclo de información y desembolso del RP</v>
      </c>
      <c r="C11" s="513"/>
      <c r="D11" s="513"/>
      <c r="E11" s="514" t="s">
        <v>142</v>
      </c>
      <c r="F11" s="514"/>
      <c r="G11" s="514"/>
      <c r="H11" s="514"/>
      <c r="I11" s="514"/>
      <c r="J11" s="515" t="s">
        <v>143</v>
      </c>
      <c r="K11" s="515"/>
      <c r="L11" s="515"/>
      <c r="M11" s="516" t="s">
        <v>144</v>
      </c>
      <c r="N11" s="516"/>
      <c r="O11" s="516"/>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s="10" customFormat="1">
      <c r="B12" s="519"/>
      <c r="C12" s="519"/>
      <c r="D12" s="519"/>
      <c r="E12" s="520"/>
      <c r="F12" s="520"/>
      <c r="G12" s="520"/>
      <c r="H12" s="520"/>
      <c r="I12" s="520"/>
      <c r="J12" s="520"/>
      <c r="K12" s="520"/>
      <c r="L12" s="520"/>
      <c r="M12" s="520"/>
      <c r="N12" s="520"/>
      <c r="O12" s="520"/>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s="10" customFormat="1">
      <c r="B13" s="517"/>
      <c r="C13" s="517"/>
      <c r="D13" s="517"/>
      <c r="E13" s="518"/>
      <c r="F13" s="518"/>
      <c r="G13" s="518"/>
      <c r="H13" s="518"/>
      <c r="I13" s="518"/>
      <c r="J13" s="518"/>
      <c r="K13" s="518"/>
      <c r="L13" s="518"/>
      <c r="M13" s="518"/>
      <c r="N13" s="518"/>
      <c r="O13" s="518"/>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s="10" customFormat="1">
      <c r="B14" s="517"/>
      <c r="C14" s="517"/>
      <c r="D14" s="517"/>
      <c r="E14" s="518"/>
      <c r="F14" s="518"/>
      <c r="G14" s="518"/>
      <c r="H14" s="518"/>
      <c r="I14" s="518"/>
      <c r="J14" s="518"/>
      <c r="K14" s="518"/>
      <c r="L14" s="518"/>
      <c r="M14" s="518"/>
      <c r="N14" s="518"/>
      <c r="O14" s="518"/>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10" customFormat="1">
      <c r="B15" s="517"/>
      <c r="C15" s="517"/>
      <c r="D15" s="517"/>
      <c r="E15" s="518"/>
      <c r="F15" s="518"/>
      <c r="G15" s="518"/>
      <c r="H15" s="518"/>
      <c r="I15" s="518"/>
      <c r="J15" s="518"/>
      <c r="K15" s="518"/>
      <c r="L15" s="518"/>
      <c r="M15" s="518"/>
      <c r="N15" s="518"/>
      <c r="O15" s="518"/>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60" ht="23.4">
      <c r="B16" s="511" t="s">
        <v>145</v>
      </c>
      <c r="C16" s="511"/>
      <c r="D16" s="511"/>
      <c r="E16" s="511"/>
      <c r="F16" s="511"/>
      <c r="G16" s="511"/>
      <c r="H16" s="511"/>
      <c r="I16" s="511"/>
      <c r="J16" s="511"/>
      <c r="K16" s="511"/>
      <c r="L16" s="511"/>
      <c r="M16" s="511"/>
      <c r="N16" s="511"/>
      <c r="O16" s="511"/>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1:60" ht="21">
      <c r="B18" s="521" t="s">
        <v>130</v>
      </c>
      <c r="C18" s="521"/>
      <c r="D18" s="521"/>
      <c r="E18" s="521" t="s">
        <v>131</v>
      </c>
      <c r="F18" s="521"/>
      <c r="G18" s="521"/>
      <c r="H18" s="521"/>
      <c r="I18" s="521"/>
      <c r="J18" s="521" t="s">
        <v>132</v>
      </c>
      <c r="K18" s="521"/>
      <c r="L18" s="521"/>
      <c r="M18" s="521" t="s">
        <v>146</v>
      </c>
      <c r="N18" s="521"/>
      <c r="O18" s="521"/>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1:60" ht="149.25" customHeight="1">
      <c r="B19" s="507" t="str">
        <f>+'Introducción de datos'!B72</f>
        <v>M1: Estado de las condiciones precedentes y acciones con fecha límite</v>
      </c>
      <c r="C19" s="507"/>
      <c r="D19" s="507"/>
      <c r="E19" s="514" t="s">
        <v>147</v>
      </c>
      <c r="F19" s="514"/>
      <c r="G19" s="514"/>
      <c r="H19" s="514"/>
      <c r="I19" s="514"/>
      <c r="J19" s="516" t="s">
        <v>148</v>
      </c>
      <c r="K19" s="516"/>
      <c r="L19" s="516"/>
      <c r="M19" s="516" t="s">
        <v>149</v>
      </c>
      <c r="N19" s="516"/>
      <c r="O19" s="516"/>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60" ht="102.75" customHeight="1">
      <c r="B20" s="507" t="str">
        <f>+'Introducción de datos'!B79</f>
        <v>M2: Estado de los principales puestos directivos del RP</v>
      </c>
      <c r="C20" s="507"/>
      <c r="D20" s="507"/>
      <c r="E20" s="514" t="s">
        <v>150</v>
      </c>
      <c r="F20" s="514"/>
      <c r="G20" s="514"/>
      <c r="H20" s="514"/>
      <c r="I20" s="514"/>
      <c r="J20" s="516" t="s">
        <v>151</v>
      </c>
      <c r="K20" s="516"/>
      <c r="L20" s="516"/>
      <c r="M20" s="516" t="s">
        <v>152</v>
      </c>
      <c r="N20" s="516"/>
      <c r="O20" s="516"/>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1:60" ht="137.25" customHeight="1">
      <c r="B21" s="507" t="str">
        <f>+'Introducción de datos'!B84</f>
        <v xml:space="preserve">M3: Acuerdos contractuales (subreceptores) </v>
      </c>
      <c r="C21" s="507"/>
      <c r="D21" s="507"/>
      <c r="E21" s="522" t="s">
        <v>153</v>
      </c>
      <c r="F21" s="522"/>
      <c r="G21" s="522"/>
      <c r="H21" s="522"/>
      <c r="I21" s="522"/>
      <c r="J21" s="516" t="s">
        <v>154</v>
      </c>
      <c r="K21" s="516"/>
      <c r="L21" s="516"/>
      <c r="M21" s="516" t="s">
        <v>155</v>
      </c>
      <c r="N21" s="516"/>
      <c r="O21" s="516"/>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1:60" ht="74.25" customHeight="1">
      <c r="B22" s="507" t="str">
        <f>+'Introducción de datos'!B89</f>
        <v>M4: Número de informes completos recibidos a tiempo</v>
      </c>
      <c r="C22" s="507"/>
      <c r="D22" s="507"/>
      <c r="E22" s="525" t="s">
        <v>156</v>
      </c>
      <c r="F22" s="525"/>
      <c r="G22" s="525"/>
      <c r="H22" s="525"/>
      <c r="I22" s="525"/>
      <c r="J22" s="515" t="s">
        <v>157</v>
      </c>
      <c r="K22" s="515"/>
      <c r="L22" s="515"/>
      <c r="M22" s="516" t="s">
        <v>158</v>
      </c>
      <c r="N22" s="516"/>
      <c r="O22" s="516"/>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1:60" ht="207.75" customHeight="1">
      <c r="B23" s="513" t="str">
        <f>+'Introducción de datos'!B96</f>
        <v>M5: Presupuesto y compra de productos y equipo sanitario, medicamentos y productos farmacéuticos</v>
      </c>
      <c r="C23" s="513"/>
      <c r="D23" s="513"/>
      <c r="E23" s="523" t="s">
        <v>159</v>
      </c>
      <c r="F23" s="523"/>
      <c r="G23" s="523"/>
      <c r="H23" s="523"/>
      <c r="I23" s="523"/>
      <c r="J23" s="516" t="s">
        <v>160</v>
      </c>
      <c r="K23" s="516"/>
      <c r="L23" s="516"/>
      <c r="M23" s="516" t="s">
        <v>161</v>
      </c>
      <c r="N23" s="516"/>
      <c r="O23" s="516"/>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1:60" ht="114.75" customHeight="1">
      <c r="B24" s="513"/>
      <c r="C24" s="513"/>
      <c r="D24" s="513"/>
      <c r="E24" s="524" t="s">
        <v>162</v>
      </c>
      <c r="F24" s="524"/>
      <c r="G24" s="524"/>
      <c r="H24" s="524"/>
      <c r="I24" s="524"/>
      <c r="J24" s="516"/>
      <c r="K24" s="516"/>
      <c r="L24" s="516"/>
      <c r="M24" s="516"/>
      <c r="N24" s="516"/>
      <c r="O24" s="516"/>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1:60" ht="206.25" customHeight="1">
      <c r="B25" s="507" t="str">
        <f>+'Introducción de datos'!B109</f>
        <v>M6: Diferencia entre existencias actuales y existencias de seguridad</v>
      </c>
      <c r="C25" s="507"/>
      <c r="D25" s="507"/>
      <c r="E25" s="528" t="s">
        <v>163</v>
      </c>
      <c r="F25" s="528"/>
      <c r="G25" s="528"/>
      <c r="H25" s="528"/>
      <c r="I25" s="528"/>
      <c r="J25" s="529" t="s">
        <v>164</v>
      </c>
      <c r="K25" s="529"/>
      <c r="L25" s="529"/>
      <c r="M25" s="530" t="s">
        <v>165</v>
      </c>
      <c r="N25" s="530"/>
      <c r="O25" s="530"/>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60">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60">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1: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1:60" ht="23.4">
      <c r="B30" s="511" t="s">
        <v>166</v>
      </c>
      <c r="C30" s="511"/>
      <c r="D30" s="511"/>
      <c r="E30" s="511"/>
      <c r="F30" s="511"/>
      <c r="G30" s="511"/>
      <c r="H30" s="511"/>
      <c r="I30" s="511"/>
      <c r="J30" s="511"/>
      <c r="K30" s="511"/>
      <c r="L30" s="511"/>
      <c r="M30" s="511"/>
      <c r="N30" s="511"/>
      <c r="O30" s="511"/>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60">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26" t="s">
        <v>167</v>
      </c>
      <c r="C32" s="526"/>
      <c r="D32" s="526"/>
      <c r="E32" s="527" t="s">
        <v>168</v>
      </c>
      <c r="F32" s="527"/>
      <c r="G32" s="527"/>
      <c r="H32" s="527"/>
      <c r="I32" s="527"/>
      <c r="J32" s="527" t="s">
        <v>132</v>
      </c>
      <c r="K32" s="527"/>
      <c r="L32" s="527"/>
      <c r="M32" s="527" t="s">
        <v>146</v>
      </c>
      <c r="N32" s="527"/>
      <c r="O32" s="527"/>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31"/>
      <c r="C33" s="531"/>
      <c r="D33" s="531"/>
      <c r="E33" s="533"/>
      <c r="F33" s="533"/>
      <c r="G33" s="533"/>
      <c r="H33" s="533"/>
      <c r="I33" s="533"/>
      <c r="J33" s="532"/>
      <c r="K33" s="532"/>
      <c r="L33" s="532"/>
      <c r="M33" s="532"/>
      <c r="N33" s="532"/>
      <c r="O33" s="532"/>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31"/>
      <c r="C34" s="531"/>
      <c r="D34" s="531"/>
      <c r="E34" s="533"/>
      <c r="F34" s="533"/>
      <c r="G34" s="533"/>
      <c r="H34" s="533"/>
      <c r="I34" s="533"/>
      <c r="J34" s="532"/>
      <c r="K34" s="532"/>
      <c r="L34" s="532"/>
      <c r="M34" s="532"/>
      <c r="N34" s="532"/>
      <c r="O34" s="532"/>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31"/>
      <c r="C35" s="531"/>
      <c r="D35" s="531"/>
      <c r="E35" s="532"/>
      <c r="F35" s="532"/>
      <c r="G35" s="532"/>
      <c r="H35" s="532"/>
      <c r="I35" s="532"/>
      <c r="J35" s="532"/>
      <c r="K35" s="532"/>
      <c r="L35" s="532"/>
      <c r="M35" s="532"/>
      <c r="N35" s="532"/>
      <c r="O35" s="532"/>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35"/>
      <c r="C36" s="535"/>
      <c r="D36" s="535"/>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31"/>
      <c r="C37" s="531"/>
      <c r="D37" s="531"/>
      <c r="E37" s="532"/>
      <c r="F37" s="532"/>
      <c r="G37" s="532"/>
      <c r="H37" s="532"/>
      <c r="I37" s="532"/>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31"/>
      <c r="C38" s="531"/>
      <c r="D38" s="531"/>
      <c r="E38" s="533"/>
      <c r="F38" s="533"/>
      <c r="G38" s="533"/>
      <c r="H38" s="533"/>
      <c r="I38" s="533"/>
      <c r="J38" s="532"/>
      <c r="K38" s="532"/>
      <c r="L38" s="532"/>
      <c r="M38" s="532"/>
      <c r="N38" s="532"/>
      <c r="O38" s="532"/>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34"/>
      <c r="C39" s="534"/>
      <c r="D39" s="534"/>
      <c r="E39" s="532"/>
      <c r="F39" s="532"/>
      <c r="G39" s="532"/>
      <c r="H39" s="532"/>
      <c r="I39" s="532"/>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36"/>
      <c r="C40" s="536"/>
      <c r="D40" s="536"/>
      <c r="E40" s="537"/>
      <c r="F40" s="537"/>
      <c r="G40" s="537"/>
      <c r="H40" s="537"/>
      <c r="I40" s="537"/>
      <c r="J40" s="532"/>
      <c r="K40" s="532"/>
      <c r="L40" s="532"/>
      <c r="M40" s="532"/>
      <c r="N40" s="532"/>
      <c r="O40" s="532"/>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34"/>
      <c r="C41" s="534"/>
      <c r="D41" s="534"/>
      <c r="E41" s="533"/>
      <c r="F41" s="533"/>
      <c r="G41" s="533"/>
      <c r="H41" s="533"/>
      <c r="I41" s="533"/>
      <c r="J41" s="532"/>
      <c r="K41" s="532"/>
      <c r="L41" s="532"/>
      <c r="M41" s="532"/>
      <c r="N41" s="532"/>
      <c r="O41" s="532"/>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34"/>
      <c r="C42" s="534"/>
      <c r="D42" s="534"/>
      <c r="E42" s="532"/>
      <c r="F42" s="532"/>
      <c r="G42" s="532"/>
      <c r="H42" s="532"/>
      <c r="I42" s="532"/>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34"/>
      <c r="C43" s="534"/>
      <c r="D43" s="534"/>
      <c r="E43" s="533"/>
      <c r="F43" s="533"/>
      <c r="G43" s="533"/>
      <c r="H43" s="533"/>
      <c r="I43" s="533"/>
      <c r="J43" s="532"/>
      <c r="K43" s="532"/>
      <c r="L43" s="532"/>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36"/>
      <c r="C44" s="536"/>
      <c r="D44" s="536"/>
      <c r="E44" s="533"/>
      <c r="F44" s="533"/>
      <c r="G44" s="533"/>
      <c r="H44" s="533"/>
      <c r="I44" s="533"/>
      <c r="J44" s="532"/>
      <c r="K44" s="532"/>
      <c r="L44" s="532"/>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1:60" ht="49.5" customHeight="1">
      <c r="B45" s="536"/>
      <c r="C45" s="536"/>
      <c r="D45" s="536"/>
      <c r="E45" s="533"/>
      <c r="F45" s="533"/>
      <c r="G45" s="533"/>
      <c r="H45" s="533"/>
      <c r="I45" s="533"/>
      <c r="J45" s="532"/>
      <c r="K45" s="532"/>
      <c r="L45" s="532"/>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1:60" ht="30" customHeight="1">
      <c r="B46" s="540"/>
      <c r="C46" s="540"/>
      <c r="D46" s="540"/>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1:60" ht="15.75" customHeight="1">
      <c r="B48" s="538" t="s">
        <v>169</v>
      </c>
      <c r="C48" s="538"/>
      <c r="D48" s="538"/>
      <c r="E48" s="538"/>
      <c r="F48" s="538"/>
      <c r="G48" s="538"/>
      <c r="H48" s="538"/>
      <c r="I48" s="538"/>
      <c r="J48" s="538"/>
      <c r="K48" s="538"/>
      <c r="L48" s="538"/>
      <c r="M48" s="539" t="s">
        <v>170</v>
      </c>
      <c r="N48" s="539"/>
      <c r="O48" s="53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honeticPr fontId="71"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X13"/>
  <sheetViews>
    <sheetView showGridLines="0" zoomScale="70" zoomScaleNormal="70" zoomScaleSheetLayoutView="100" workbookViewId="0">
      <selection activeCell="G11" sqref="G11"/>
    </sheetView>
  </sheetViews>
  <sheetFormatPr baseColWidth="10" defaultColWidth="9.109375" defaultRowHeight="14.4"/>
  <cols>
    <col min="1" max="1" width="21.109375" style="6" customWidth="1"/>
    <col min="2" max="2" width="12.5546875" style="6" customWidth="1"/>
    <col min="3" max="3" width="20.5546875" style="6" customWidth="1"/>
    <col min="4" max="4" width="15.33203125" style="6" customWidth="1"/>
    <col min="5" max="5" width="11.6640625" style="6" customWidth="1"/>
    <col min="6" max="6" width="18.6640625" style="6" customWidth="1"/>
    <col min="7" max="7" width="17" style="6" customWidth="1"/>
    <col min="8" max="8" width="18.44140625" style="6" customWidth="1"/>
    <col min="9" max="9" width="9.44140625" style="6" customWidth="1"/>
    <col min="10" max="10" width="13" style="6" customWidth="1"/>
    <col min="11" max="11" width="11.44140625" style="6" customWidth="1"/>
    <col min="12" max="12" width="8.109375" style="6" customWidth="1"/>
    <col min="13" max="13" width="9.6640625" style="6" customWidth="1"/>
    <col min="14" max="14" width="8.5546875" style="6" customWidth="1"/>
    <col min="15" max="15" width="7.109375" style="6" customWidth="1"/>
    <col min="16" max="16384" width="9.109375" style="6"/>
  </cols>
  <sheetData>
    <row r="1" spans="1:24" ht="21" customHeight="1">
      <c r="A1" s="139"/>
      <c r="B1" s="139"/>
      <c r="C1" s="139"/>
      <c r="D1" s="139"/>
      <c r="E1" s="139"/>
      <c r="F1" s="139"/>
      <c r="G1" s="40"/>
      <c r="H1" s="139"/>
      <c r="I1" s="139"/>
      <c r="J1" s="139"/>
    </row>
    <row r="2" spans="1:24" ht="25.5" customHeight="1"/>
    <row r="3" spans="1:24" ht="36.6">
      <c r="B3" s="544" t="str">
        <f>+"Tablero de mando: "&amp;" "&amp;+'Introducción de datos'!C4&amp;" - "&amp;+'Introducción de datos'!G6</f>
        <v>Tablero de mando:  El Salvador - VIH / SIDA</v>
      </c>
      <c r="C3" s="544"/>
      <c r="D3" s="544"/>
      <c r="E3" s="544"/>
      <c r="F3" s="544"/>
      <c r="G3" s="544"/>
      <c r="H3" s="544"/>
      <c r="I3" s="544"/>
      <c r="J3" s="544"/>
      <c r="K3" s="215"/>
      <c r="L3" s="215"/>
      <c r="M3" s="215"/>
      <c r="N3" s="216"/>
      <c r="O3" s="216"/>
      <c r="P3" s="216"/>
      <c r="Q3" s="216"/>
      <c r="R3" s="216"/>
      <c r="S3" s="216"/>
      <c r="T3" s="216"/>
    </row>
    <row r="4" spans="1:24" ht="15" customHeight="1">
      <c r="L4" s="216"/>
      <c r="M4" s="216"/>
      <c r="N4" s="216"/>
      <c r="O4" s="216"/>
      <c r="P4" s="216"/>
      <c r="Q4" s="216"/>
      <c r="R4" s="216"/>
      <c r="S4" s="216"/>
      <c r="T4" s="216"/>
    </row>
    <row r="5" spans="1:24">
      <c r="L5" s="216"/>
      <c r="M5" s="216"/>
      <c r="N5" s="216"/>
      <c r="O5" s="216"/>
      <c r="P5" s="216"/>
      <c r="Q5" s="216"/>
      <c r="R5" s="216"/>
      <c r="S5" s="216"/>
      <c r="T5" s="216"/>
    </row>
    <row r="6" spans="1:24" ht="32.25" customHeight="1">
      <c r="A6" s="217" t="s">
        <v>172</v>
      </c>
      <c r="B6" s="545" t="str">
        <f>+'Introducción de datos'!C4</f>
        <v>El Salvador</v>
      </c>
      <c r="C6" s="545"/>
      <c r="D6" s="546" t="s">
        <v>174</v>
      </c>
      <c r="E6" s="546"/>
      <c r="F6" s="547" t="str">
        <f>+'Introducción de datos'!G4</f>
        <v>INNOVANDO SERVICIOS, REDUCIENDO RIESGOS, RENOVANDO VIDAS EN EL SALVADOR</v>
      </c>
      <c r="G6" s="547"/>
      <c r="H6" s="547"/>
      <c r="I6" s="547"/>
      <c r="J6" s="547"/>
      <c r="K6" s="218"/>
      <c r="L6" s="219"/>
      <c r="M6" s="218"/>
      <c r="N6" s="218"/>
      <c r="O6" s="218"/>
      <c r="P6" s="220"/>
      <c r="Q6" s="221"/>
      <c r="R6" s="221"/>
      <c r="S6" s="221"/>
      <c r="T6" s="221"/>
      <c r="U6" s="221"/>
    </row>
    <row r="7" spans="1:24" ht="8.25" customHeight="1">
      <c r="B7" s="222"/>
      <c r="C7" s="223"/>
      <c r="D7" s="223"/>
      <c r="E7" s="224"/>
      <c r="F7" s="224"/>
      <c r="G7" s="225"/>
      <c r="H7" s="225"/>
      <c r="K7" s="218"/>
      <c r="L7" s="218"/>
      <c r="M7" s="218"/>
      <c r="N7" s="218"/>
      <c r="O7" s="218"/>
      <c r="P7" s="220"/>
      <c r="Q7" s="221"/>
      <c r="R7" s="221"/>
      <c r="S7" s="221"/>
      <c r="T7" s="221"/>
      <c r="U7" s="221"/>
    </row>
    <row r="8" spans="1:24" ht="3.75" customHeight="1">
      <c r="C8" s="226"/>
      <c r="D8" s="226"/>
      <c r="E8" s="226"/>
      <c r="F8" s="226"/>
      <c r="G8" s="226"/>
      <c r="H8" s="226"/>
      <c r="I8" s="226"/>
      <c r="J8" s="226"/>
      <c r="K8" s="218"/>
      <c r="L8" s="218"/>
      <c r="M8" s="218"/>
      <c r="N8" s="218"/>
      <c r="O8" s="227"/>
      <c r="P8" s="220"/>
      <c r="Q8" s="227"/>
      <c r="R8" s="228"/>
      <c r="S8" s="221"/>
      <c r="T8" s="221"/>
      <c r="U8" s="221"/>
    </row>
    <row r="9" spans="1:24" ht="25.5" customHeight="1">
      <c r="A9" s="229" t="s">
        <v>176</v>
      </c>
      <c r="B9" s="230" t="str">
        <f>+'Introducción de datos'!G6</f>
        <v>VIH / SIDA</v>
      </c>
      <c r="C9" s="231" t="s">
        <v>175</v>
      </c>
      <c r="D9" s="232" t="str">
        <f>+'Introducción de datos'!C6</f>
        <v>SLV-H-PLAN</v>
      </c>
      <c r="E9" s="541" t="s">
        <v>275</v>
      </c>
      <c r="F9" s="541"/>
      <c r="G9" s="233">
        <f>+'Introducción de datos'!C10</f>
        <v>42736</v>
      </c>
      <c r="H9" s="229" t="s">
        <v>276</v>
      </c>
      <c r="I9" s="542">
        <f>+'Introducción de datos'!I6</f>
        <v>7001479.4199999999</v>
      </c>
      <c r="J9" s="542"/>
      <c r="K9" s="218"/>
      <c r="L9" s="218"/>
      <c r="M9" s="218"/>
      <c r="N9" s="218"/>
      <c r="O9" s="227"/>
      <c r="P9" s="220"/>
      <c r="Q9" s="227"/>
      <c r="R9" s="228"/>
      <c r="S9" s="221"/>
      <c r="T9" s="234"/>
      <c r="U9" s="234"/>
      <c r="V9" s="226"/>
      <c r="W9" s="226"/>
      <c r="X9" s="226"/>
    </row>
    <row r="10" spans="1:24" ht="25.5" customHeight="1">
      <c r="A10" s="229" t="s">
        <v>180</v>
      </c>
      <c r="B10" s="235" t="str">
        <f>IF(ISBLANK('Introducción de datos'!G8),"",'Introducción de datos'!G8)</f>
        <v>Seleccionar</v>
      </c>
      <c r="C10" s="231" t="s">
        <v>182</v>
      </c>
      <c r="D10" s="236" t="str">
        <f>+'Introducción de datos'!I8</f>
        <v>Seleccionar</v>
      </c>
      <c r="E10" s="541" t="s">
        <v>277</v>
      </c>
      <c r="F10" s="541"/>
      <c r="G10" s="543" t="str">
        <f>+'Introducción de datos'!C8</f>
        <v>PLAN  INTERNACIONAL</v>
      </c>
      <c r="H10" s="543"/>
      <c r="I10" s="543"/>
      <c r="J10" s="543"/>
      <c r="K10" s="238"/>
      <c r="L10" s="238"/>
      <c r="M10" s="218"/>
      <c r="N10" s="238"/>
      <c r="O10" s="227"/>
      <c r="P10" s="220"/>
      <c r="Q10" s="234"/>
      <c r="R10" s="228"/>
      <c r="S10" s="221"/>
      <c r="T10" s="234"/>
      <c r="U10" s="234"/>
    </row>
    <row r="11" spans="1:24" ht="25.5" customHeight="1">
      <c r="A11" s="229" t="s">
        <v>278</v>
      </c>
      <c r="B11" s="237" t="str">
        <f>'Introducción de datos'!C16</f>
        <v>P2</v>
      </c>
      <c r="C11" s="231" t="s">
        <v>279</v>
      </c>
      <c r="D11" s="239">
        <f>+'Introducción de datos'!E16</f>
        <v>42736</v>
      </c>
      <c r="E11" s="541" t="s">
        <v>280</v>
      </c>
      <c r="F11" s="541"/>
      <c r="G11" s="239">
        <f>+'Introducción de datos'!G16</f>
        <v>43100</v>
      </c>
      <c r="H11" s="229" t="s">
        <v>281</v>
      </c>
      <c r="I11" s="549" t="str">
        <f>+'Introducción de datos'!C12</f>
        <v>A1</v>
      </c>
      <c r="J11" s="549"/>
      <c r="K11" s="240"/>
      <c r="L11" s="238"/>
      <c r="M11" s="218"/>
      <c r="N11" s="238"/>
      <c r="O11" s="238"/>
      <c r="P11" s="220"/>
      <c r="Q11" s="234"/>
      <c r="R11" s="228"/>
      <c r="S11" s="221"/>
      <c r="T11" s="241"/>
      <c r="U11" s="234"/>
    </row>
    <row r="12" spans="1:24" ht="25.5" customHeight="1">
      <c r="A12" s="229" t="s">
        <v>185</v>
      </c>
      <c r="B12" s="543" t="str">
        <f>+'Introducción de datos'!G10</f>
        <v>GRUPO JACOBS</v>
      </c>
      <c r="C12" s="543"/>
      <c r="D12" s="543"/>
      <c r="E12" s="541" t="s">
        <v>189</v>
      </c>
      <c r="F12" s="541"/>
      <c r="G12" s="543" t="str">
        <f>+'Introducción de datos'!G12</f>
        <v>Serena Buccini</v>
      </c>
      <c r="H12" s="543"/>
      <c r="I12" s="543"/>
      <c r="J12" s="543"/>
      <c r="K12" s="238"/>
      <c r="L12" s="238"/>
      <c r="M12" s="218"/>
      <c r="N12" s="238"/>
      <c r="O12" s="221"/>
      <c r="P12" s="220"/>
      <c r="Q12" s="234"/>
      <c r="R12" s="228"/>
      <c r="S12" s="221"/>
      <c r="T12" s="234"/>
      <c r="U12" s="242"/>
      <c r="V12" s="234"/>
      <c r="W12" s="241"/>
      <c r="X12" s="234"/>
    </row>
    <row r="13" spans="1:24" ht="25.5" customHeight="1">
      <c r="A13" s="229" t="s">
        <v>196</v>
      </c>
      <c r="B13" s="543" t="str">
        <f>+'Introducción de datos'!D18</f>
        <v xml:space="preserve">UCP/PLAN </v>
      </c>
      <c r="C13" s="543"/>
      <c r="D13" s="543"/>
      <c r="E13" s="541" t="s">
        <v>282</v>
      </c>
      <c r="F13" s="541"/>
      <c r="G13" s="548">
        <f>'Introducción de datos'!J16</f>
        <v>43263</v>
      </c>
      <c r="H13" s="548"/>
      <c r="I13" s="548"/>
      <c r="J13" s="548"/>
      <c r="K13" s="221"/>
      <c r="L13" s="243"/>
      <c r="M13" s="243"/>
      <c r="N13" s="243"/>
      <c r="O13" s="221"/>
      <c r="P13" s="243"/>
      <c r="Q13" s="243"/>
      <c r="R13" s="228"/>
      <c r="S13" s="221"/>
      <c r="T13" s="243"/>
      <c r="U13" s="244"/>
    </row>
  </sheetData>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phoneticPr fontId="71" type="noConversion"/>
  <conditionalFormatting sqref="I11:J11">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dataValidations count="2">
    <dataValidation type="date" operator="greaterThan" allowBlank="1" showErrorMessage="1" error="the date can´t be earlier than the start date" sqref="G11">
      <formula1>D11</formula1>
      <formula2>0</formula2>
    </dataValidation>
    <dataValidation type="list" allowBlank="1" showErrorMessage="1" sqref="G7">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AD172"/>
  <sheetViews>
    <sheetView showGridLines="0" topLeftCell="C111" zoomScale="110" zoomScaleNormal="110" workbookViewId="0">
      <selection activeCell="F124" sqref="F124"/>
    </sheetView>
  </sheetViews>
  <sheetFormatPr baseColWidth="10" defaultColWidth="9.109375" defaultRowHeight="14.4"/>
  <cols>
    <col min="1" max="1" width="2.6640625" customWidth="1"/>
    <col min="2" max="2" width="98.44140625" customWidth="1"/>
    <col min="3" max="3" width="23" customWidth="1"/>
    <col min="4" max="4" width="19.109375" customWidth="1"/>
    <col min="5" max="5" width="16.44140625" customWidth="1"/>
    <col min="6" max="6" width="17.44140625" customWidth="1"/>
    <col min="7" max="7" width="16.44140625" customWidth="1"/>
    <col min="8" max="9" width="17.5546875" customWidth="1"/>
    <col min="10" max="10" width="16.88671875" customWidth="1"/>
    <col min="11" max="11" width="18.5546875" customWidth="1"/>
    <col min="12" max="12" width="15.33203125" customWidth="1"/>
    <col min="13" max="13" width="20.5546875" customWidth="1"/>
    <col min="14" max="14" width="14.33203125" style="5" customWidth="1"/>
    <col min="15" max="15" width="16.109375" customWidth="1"/>
    <col min="16" max="16" width="13.6640625" customWidth="1"/>
    <col min="17" max="17" width="13.44140625" customWidth="1"/>
    <col min="18" max="18" width="11.44140625" customWidth="1"/>
    <col min="19" max="19" width="2.33203125" customWidth="1"/>
    <col min="20" max="20" width="1.109375" customWidth="1"/>
    <col min="21" max="21" width="3.33203125" customWidth="1"/>
    <col min="22" max="22" width="17" customWidth="1"/>
    <col min="23" max="23" width="15" customWidth="1"/>
    <col min="24" max="24" width="11.44140625" customWidth="1"/>
    <col min="25" max="25" width="13.5546875" customWidth="1"/>
    <col min="26" max="26" width="16.88671875" customWidth="1"/>
    <col min="27" max="27" width="11.44140625" customWidth="1"/>
    <col min="28" max="28" width="2" style="5" customWidth="1"/>
    <col min="29" max="29" width="3.33203125" style="5" customWidth="1"/>
    <col min="30" max="30" width="2.33203125" style="5" customWidth="1"/>
    <col min="31" max="31" width="40.6640625" customWidth="1"/>
    <col min="32" max="32" width="15.44140625" customWidth="1"/>
  </cols>
  <sheetData>
    <row r="1" spans="1:13" ht="29.25" customHeight="1">
      <c r="A1" s="6"/>
      <c r="B1" s="6"/>
      <c r="C1" s="6"/>
      <c r="D1" s="6"/>
      <c r="E1" s="6"/>
      <c r="F1" s="6"/>
      <c r="G1" s="6"/>
      <c r="H1" s="6"/>
      <c r="I1" s="6"/>
      <c r="J1" s="6"/>
      <c r="K1" s="6"/>
      <c r="L1" s="6"/>
      <c r="M1" s="6"/>
    </row>
    <row r="2" spans="1:13" ht="15.75" customHeight="1">
      <c r="A2" s="6"/>
      <c r="B2" s="553" t="s">
        <v>171</v>
      </c>
      <c r="C2" s="553"/>
      <c r="D2" s="553"/>
      <c r="E2" s="553"/>
      <c r="F2" s="553"/>
      <c r="G2" s="553"/>
      <c r="H2" s="553"/>
      <c r="I2" s="553"/>
      <c r="J2" s="553"/>
      <c r="K2" s="33"/>
      <c r="L2" s="33"/>
      <c r="M2" s="33"/>
    </row>
    <row r="3" spans="1:13" ht="4.5" customHeight="1">
      <c r="A3" s="6"/>
      <c r="B3" s="6"/>
      <c r="C3" s="6"/>
      <c r="D3" s="6"/>
      <c r="E3" s="6"/>
      <c r="F3" s="6"/>
      <c r="G3" s="6"/>
      <c r="H3" s="6"/>
      <c r="I3" s="6"/>
      <c r="J3" s="6"/>
      <c r="K3" s="6"/>
      <c r="L3" s="6"/>
      <c r="M3" s="6"/>
    </row>
    <row r="4" spans="1:13" ht="28.5" customHeight="1">
      <c r="A4" s="6"/>
      <c r="B4" s="34" t="s">
        <v>172</v>
      </c>
      <c r="C4" s="555" t="s">
        <v>173</v>
      </c>
      <c r="D4" s="555"/>
      <c r="E4" s="556" t="s">
        <v>174</v>
      </c>
      <c r="F4" s="556"/>
      <c r="G4" s="557" t="s">
        <v>311</v>
      </c>
      <c r="H4" s="557"/>
      <c r="I4" s="557"/>
      <c r="J4" s="557"/>
      <c r="K4" s="6"/>
      <c r="L4" s="6"/>
      <c r="M4" s="6"/>
    </row>
    <row r="5" spans="1:13" ht="3" customHeight="1">
      <c r="A5" s="6"/>
      <c r="B5" s="37"/>
      <c r="C5" s="6"/>
      <c r="D5" s="6"/>
      <c r="E5" s="38"/>
      <c r="F5" s="38"/>
      <c r="G5" s="6"/>
      <c r="H5" s="6"/>
      <c r="I5" s="6"/>
      <c r="J5" s="6"/>
      <c r="K5" s="6"/>
      <c r="L5" s="6"/>
      <c r="M5" s="6"/>
    </row>
    <row r="6" spans="1:13">
      <c r="A6" s="6"/>
      <c r="B6" s="34" t="s">
        <v>175</v>
      </c>
      <c r="C6" s="560" t="s">
        <v>309</v>
      </c>
      <c r="D6" s="560"/>
      <c r="E6" s="556" t="s">
        <v>176</v>
      </c>
      <c r="F6" s="556"/>
      <c r="G6" s="35" t="s">
        <v>45</v>
      </c>
      <c r="H6" s="39" t="s">
        <v>178</v>
      </c>
      <c r="I6" s="561">
        <v>7001479.4199999999</v>
      </c>
      <c r="J6" s="561"/>
      <c r="K6" s="6"/>
      <c r="L6" s="6"/>
      <c r="M6" s="6"/>
    </row>
    <row r="7" spans="1:13" ht="3" customHeight="1">
      <c r="A7" s="6"/>
      <c r="B7" s="37"/>
      <c r="C7" s="6"/>
      <c r="D7" s="6"/>
      <c r="E7" s="38"/>
      <c r="F7" s="38"/>
      <c r="G7" s="6"/>
      <c r="H7" s="37"/>
      <c r="I7" s="6"/>
      <c r="J7" s="6"/>
      <c r="K7" s="6"/>
      <c r="L7" s="6"/>
      <c r="M7" s="6"/>
    </row>
    <row r="8" spans="1:13">
      <c r="A8" s="6"/>
      <c r="B8" s="34" t="s">
        <v>179</v>
      </c>
      <c r="C8" s="560" t="s">
        <v>310</v>
      </c>
      <c r="D8" s="560"/>
      <c r="E8" s="40"/>
      <c r="F8" s="36" t="s">
        <v>180</v>
      </c>
      <c r="G8" s="35" t="s">
        <v>44</v>
      </c>
      <c r="H8" s="36" t="s">
        <v>182</v>
      </c>
      <c r="I8" s="555" t="s">
        <v>44</v>
      </c>
      <c r="J8" s="555"/>
      <c r="K8" s="6"/>
      <c r="L8" s="6"/>
      <c r="M8" s="6"/>
    </row>
    <row r="9" spans="1:13" ht="3" customHeight="1">
      <c r="A9" s="6"/>
      <c r="B9" s="38"/>
      <c r="C9" s="41">
        <v>39825</v>
      </c>
      <c r="D9" s="6"/>
      <c r="E9" s="38"/>
      <c r="F9" s="38"/>
      <c r="G9" s="6"/>
      <c r="H9" s="6"/>
      <c r="I9" s="6"/>
      <c r="J9" s="6"/>
      <c r="K9" s="6"/>
      <c r="L9" s="6"/>
      <c r="M9" s="6"/>
    </row>
    <row r="10" spans="1:13">
      <c r="A10" s="6"/>
      <c r="B10" s="34" t="s">
        <v>184</v>
      </c>
      <c r="C10" s="558">
        <v>42736</v>
      </c>
      <c r="D10" s="558"/>
      <c r="E10" s="559" t="s">
        <v>185</v>
      </c>
      <c r="F10" s="559"/>
      <c r="G10" s="555" t="s">
        <v>312</v>
      </c>
      <c r="H10" s="555"/>
      <c r="I10" s="555"/>
      <c r="J10" s="555"/>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562" t="s">
        <v>188</v>
      </c>
      <c r="D12" s="562"/>
      <c r="E12" s="563" t="s">
        <v>189</v>
      </c>
      <c r="F12" s="563"/>
      <c r="G12" s="564" t="s">
        <v>335</v>
      </c>
      <c r="H12" s="564"/>
      <c r="I12" s="564"/>
      <c r="J12" s="564"/>
      <c r="K12" s="6"/>
      <c r="L12" s="6"/>
      <c r="M12" s="6"/>
    </row>
    <row r="13" spans="1:13" ht="5.25" customHeight="1">
      <c r="A13" s="6"/>
      <c r="B13" s="6"/>
      <c r="C13" s="6"/>
      <c r="D13" s="6"/>
      <c r="E13" s="6"/>
      <c r="F13" s="6"/>
      <c r="G13" s="6"/>
      <c r="H13" s="6"/>
      <c r="I13" s="6"/>
      <c r="J13" s="6"/>
      <c r="K13" s="6"/>
      <c r="L13" s="6"/>
      <c r="M13" s="6"/>
    </row>
    <row r="14" spans="1:13" ht="15.75" customHeight="1">
      <c r="A14" s="6"/>
      <c r="B14" s="553" t="s">
        <v>190</v>
      </c>
      <c r="C14" s="553"/>
      <c r="D14" s="553"/>
      <c r="E14" s="553"/>
      <c r="F14" s="553"/>
      <c r="G14" s="553"/>
      <c r="H14" s="553"/>
      <c r="I14" s="553"/>
      <c r="J14" s="553"/>
      <c r="K14" s="6"/>
      <c r="L14" s="6"/>
      <c r="M14" s="6"/>
    </row>
    <row r="15" spans="1:13" ht="3" customHeight="1">
      <c r="A15" s="6"/>
      <c r="B15" s="6"/>
      <c r="C15" s="6"/>
      <c r="D15" s="6"/>
      <c r="E15" s="6"/>
      <c r="F15" s="6"/>
      <c r="G15" s="6"/>
      <c r="H15" s="6"/>
      <c r="I15" s="6"/>
      <c r="J15" s="6"/>
      <c r="K15" s="6"/>
      <c r="L15" s="6"/>
      <c r="M15" s="6"/>
    </row>
    <row r="16" spans="1:13">
      <c r="A16" s="6"/>
      <c r="B16" s="34" t="s">
        <v>191</v>
      </c>
      <c r="C16" s="35" t="s">
        <v>17</v>
      </c>
      <c r="D16" s="36" t="s">
        <v>193</v>
      </c>
      <c r="E16" s="42">
        <v>42736</v>
      </c>
      <c r="F16" s="43" t="s">
        <v>194</v>
      </c>
      <c r="G16" s="42">
        <v>43100</v>
      </c>
      <c r="H16" s="550" t="s">
        <v>195</v>
      </c>
      <c r="I16" s="550"/>
      <c r="J16" s="42">
        <v>43263</v>
      </c>
      <c r="K16" s="6"/>
      <c r="L16" s="6"/>
      <c r="M16" s="6"/>
    </row>
    <row r="17" spans="1:29" ht="3" customHeight="1">
      <c r="A17" s="6"/>
      <c r="B17" s="6"/>
      <c r="C17" s="6"/>
      <c r="D17" s="6"/>
      <c r="E17" s="6"/>
      <c r="F17" s="6"/>
      <c r="G17" s="6"/>
      <c r="H17" s="6"/>
      <c r="I17" s="6"/>
      <c r="J17" s="6"/>
      <c r="K17" s="6"/>
      <c r="L17" s="6"/>
      <c r="M17" s="6"/>
    </row>
    <row r="18" spans="1:29">
      <c r="A18" s="6"/>
      <c r="B18" s="551" t="s">
        <v>196</v>
      </c>
      <c r="C18" s="551"/>
      <c r="D18" s="552" t="s">
        <v>313</v>
      </c>
      <c r="E18" s="552"/>
      <c r="F18" s="552"/>
      <c r="G18" s="44"/>
      <c r="H18" s="44"/>
      <c r="I18" s="44"/>
      <c r="J18" s="44"/>
      <c r="K18" s="6"/>
      <c r="L18" s="6"/>
      <c r="M18" s="6"/>
    </row>
    <row r="19" spans="1:29" ht="3" customHeight="1">
      <c r="A19" s="6"/>
      <c r="B19" s="6"/>
      <c r="C19" s="6"/>
      <c r="D19" s="6"/>
      <c r="E19" s="6"/>
      <c r="F19" s="6"/>
      <c r="G19" s="6"/>
      <c r="H19" s="6"/>
      <c r="I19" s="6"/>
      <c r="J19" s="6"/>
      <c r="K19" s="6"/>
      <c r="L19" s="6"/>
      <c r="M19" s="6"/>
    </row>
    <row r="20" spans="1:29" ht="5.25" customHeight="1">
      <c r="A20" s="6"/>
      <c r="B20" s="6"/>
      <c r="C20" s="6"/>
      <c r="D20" s="6"/>
      <c r="E20" s="6"/>
      <c r="F20" s="6"/>
      <c r="G20" s="6"/>
      <c r="H20" s="6"/>
      <c r="I20" s="6"/>
      <c r="J20" s="6"/>
      <c r="K20" s="6"/>
      <c r="L20" s="6"/>
      <c r="M20" s="6"/>
    </row>
    <row r="21" spans="1:29" ht="15.75" customHeight="1">
      <c r="A21" s="6"/>
      <c r="B21" s="553" t="s">
        <v>197</v>
      </c>
      <c r="C21" s="553"/>
      <c r="D21" s="553"/>
      <c r="E21" s="553"/>
      <c r="F21" s="553"/>
      <c r="G21" s="553"/>
      <c r="H21" s="553"/>
      <c r="I21" s="553"/>
      <c r="J21" s="553"/>
      <c r="K21" s="6"/>
      <c r="L21" s="6"/>
      <c r="M21" s="6"/>
    </row>
    <row r="22" spans="1:29">
      <c r="A22" s="6"/>
      <c r="B22" s="45" t="s">
        <v>198</v>
      </c>
      <c r="C22" s="6"/>
      <c r="D22" s="6"/>
      <c r="E22" s="46"/>
      <c r="F22" s="46"/>
      <c r="G22" s="6"/>
      <c r="H22" s="6"/>
      <c r="I22" s="46"/>
      <c r="J22" s="46"/>
      <c r="K22" s="6"/>
      <c r="L22" s="6"/>
      <c r="M22" s="6"/>
    </row>
    <row r="23" spans="1:29" ht="3" customHeight="1">
      <c r="A23" s="6"/>
      <c r="B23" s="6"/>
      <c r="C23" s="6"/>
      <c r="D23" s="6"/>
      <c r="E23" s="6"/>
      <c r="F23" s="6"/>
      <c r="G23" s="6"/>
      <c r="H23" s="6"/>
      <c r="I23" s="6"/>
      <c r="J23" s="6"/>
      <c r="K23" s="6"/>
      <c r="L23" s="6"/>
      <c r="M23" s="6"/>
    </row>
    <row r="24" spans="1:29" ht="15" thickBot="1">
      <c r="A24" s="6"/>
      <c r="B24" s="34" t="s">
        <v>199</v>
      </c>
      <c r="C24" s="47"/>
      <c r="D24" s="556">
        <v>-265613.27</v>
      </c>
      <c r="E24" s="556"/>
      <c r="F24" s="48"/>
      <c r="G24" s="556" t="s">
        <v>200</v>
      </c>
      <c r="H24" s="556"/>
      <c r="I24" s="565"/>
      <c r="J24" s="565"/>
      <c r="K24" s="6"/>
      <c r="L24" s="6"/>
      <c r="M24" s="6"/>
      <c r="N24" s="49"/>
    </row>
    <row r="25" spans="1:29" ht="18.600000000000001" thickBot="1">
      <c r="A25" s="6"/>
      <c r="B25" s="50" t="s">
        <v>199</v>
      </c>
      <c r="C25" s="51"/>
      <c r="D25" s="51"/>
      <c r="E25" s="51"/>
      <c r="F25" s="51"/>
      <c r="G25" s="51"/>
      <c r="H25" s="52"/>
      <c r="I25" s="52"/>
      <c r="J25" s="52" t="s">
        <v>201</v>
      </c>
      <c r="K25" s="52"/>
      <c r="L25" s="51"/>
      <c r="M25" s="51"/>
      <c r="N25" s="53"/>
      <c r="AC25" s="54"/>
    </row>
    <row r="26" spans="1:29">
      <c r="A26" s="6"/>
      <c r="B26" s="578" t="s">
        <v>202</v>
      </c>
      <c r="C26" s="578"/>
      <c r="D26" s="55" t="s">
        <v>203</v>
      </c>
      <c r="E26" s="56"/>
      <c r="F26" s="56"/>
      <c r="G26" s="56"/>
      <c r="H26" s="56"/>
      <c r="I26" s="56"/>
      <c r="J26" s="57"/>
      <c r="K26" s="56"/>
      <c r="L26" s="56"/>
      <c r="M26" s="56"/>
      <c r="N26" s="58"/>
      <c r="AC26" s="54"/>
    </row>
    <row r="27" spans="1:29" ht="18">
      <c r="A27" s="6"/>
      <c r="B27" s="59" t="s">
        <v>204</v>
      </c>
      <c r="C27" s="56"/>
      <c r="D27" s="56"/>
      <c r="E27" s="56"/>
      <c r="F27" s="56"/>
      <c r="G27" s="56"/>
      <c r="H27" s="56"/>
      <c r="I27" s="56"/>
      <c r="J27" s="57"/>
      <c r="K27" s="56"/>
      <c r="L27" s="56"/>
      <c r="M27" s="56"/>
      <c r="N27" s="58"/>
      <c r="AC27" s="54"/>
    </row>
    <row r="28" spans="1:29" ht="15" thickBot="1">
      <c r="A28" s="6"/>
      <c r="B28" s="6"/>
      <c r="C28" s="6"/>
      <c r="D28" s="6"/>
      <c r="E28" s="6"/>
      <c r="F28" s="6"/>
      <c r="G28" s="6"/>
      <c r="H28" s="6"/>
      <c r="I28" s="6"/>
      <c r="J28" s="6"/>
      <c r="K28" s="6"/>
      <c r="L28" s="6"/>
      <c r="M28" s="6"/>
    </row>
    <row r="29" spans="1:29">
      <c r="A29" s="6"/>
      <c r="B29" s="579" t="s">
        <v>205</v>
      </c>
      <c r="C29" s="579"/>
      <c r="D29" s="579"/>
      <c r="E29" s="579"/>
      <c r="F29" s="579"/>
      <c r="G29" s="579"/>
      <c r="H29" s="579"/>
      <c r="I29" s="579"/>
      <c r="J29" s="579"/>
      <c r="K29" s="579"/>
      <c r="L29" s="579"/>
      <c r="M29" s="579"/>
      <c r="N29" s="579"/>
      <c r="O29" s="60"/>
      <c r="P29" s="61">
        <f>+C33</f>
        <v>2859658.47</v>
      </c>
      <c r="Q29" s="62"/>
    </row>
    <row r="30" spans="1:29" ht="45" customHeight="1">
      <c r="A30" s="6"/>
      <c r="B30" s="63" t="s">
        <v>206</v>
      </c>
      <c r="C30" s="64" t="s">
        <v>16</v>
      </c>
      <c r="D30" s="64" t="s">
        <v>17</v>
      </c>
      <c r="E30" s="64" t="s">
        <v>18</v>
      </c>
      <c r="F30" s="64" t="s">
        <v>19</v>
      </c>
      <c r="G30" s="64" t="s">
        <v>20</v>
      </c>
      <c r="H30" s="64" t="s">
        <v>21</v>
      </c>
      <c r="I30" s="64" t="s">
        <v>22</v>
      </c>
      <c r="J30" s="64" t="s">
        <v>23</v>
      </c>
      <c r="K30" s="64" t="s">
        <v>207</v>
      </c>
      <c r="L30" s="64" t="s">
        <v>208</v>
      </c>
      <c r="M30" s="64" t="s">
        <v>209</v>
      </c>
      <c r="N30" s="64" t="s">
        <v>192</v>
      </c>
      <c r="O30" s="60"/>
      <c r="P30" s="61">
        <f>+D33</f>
        <v>4235392.8600000003</v>
      </c>
      <c r="Q30" s="62"/>
    </row>
    <row r="31" spans="1:29" ht="14.25" customHeight="1">
      <c r="A31" s="6"/>
      <c r="B31" s="65" t="str">
        <f>CONCATENATE("Presupuesto (en ",'Introducción de datos'!$D$26,")")</f>
        <v>Presupuesto (en $)</v>
      </c>
      <c r="C31" s="397">
        <v>2859658.47</v>
      </c>
      <c r="D31" s="398">
        <v>1375734.39</v>
      </c>
      <c r="E31" s="398">
        <v>1438471.81</v>
      </c>
      <c r="F31" s="398">
        <v>1327614.75</v>
      </c>
      <c r="G31" s="398"/>
      <c r="H31" s="398"/>
      <c r="I31" s="398"/>
      <c r="J31" s="398"/>
      <c r="K31" s="66"/>
      <c r="L31" s="66"/>
      <c r="M31" s="66"/>
      <c r="N31" s="66"/>
      <c r="O31" s="60"/>
      <c r="P31" s="61">
        <f>+E33</f>
        <v>5673864.6699999999</v>
      </c>
      <c r="Q31" s="62"/>
    </row>
    <row r="32" spans="1:29" ht="14.25" customHeight="1">
      <c r="A32" s="6"/>
      <c r="B32" s="67" t="str">
        <f>CONCATENATE("Desembolsos por el Fondo Mundial (en ",$D$26,")")</f>
        <v>Desembolsos por el Fondo Mundial (en $)</v>
      </c>
      <c r="C32" s="397">
        <v>3562573</v>
      </c>
      <c r="D32" s="397">
        <v>672819</v>
      </c>
      <c r="E32" s="397"/>
      <c r="F32" s="397"/>
      <c r="G32" s="397"/>
      <c r="H32" s="397"/>
      <c r="I32" s="398"/>
      <c r="J32" s="398"/>
      <c r="K32" s="66"/>
      <c r="L32" s="66"/>
      <c r="M32" s="66"/>
      <c r="N32" s="66"/>
      <c r="O32" s="60"/>
      <c r="P32" s="61">
        <f>+F33</f>
        <v>7001479.4199999999</v>
      </c>
      <c r="Q32" s="62"/>
    </row>
    <row r="33" spans="1:29" ht="14.25" customHeight="1">
      <c r="A33" s="6"/>
      <c r="B33" s="68" t="s">
        <v>210</v>
      </c>
      <c r="C33" s="499">
        <f>+C31</f>
        <v>2859658.47</v>
      </c>
      <c r="D33" s="499">
        <f>IF(AND(D31=0,D32=0),0,+C33+D31)</f>
        <v>4235392.8600000003</v>
      </c>
      <c r="E33" s="499">
        <f t="shared" ref="E33:N33" si="0">IF(AND(E31=0,E32=0),0,+D33+E31)</f>
        <v>5673864.6699999999</v>
      </c>
      <c r="F33" s="499">
        <f t="shared" si="0"/>
        <v>7001479.4199999999</v>
      </c>
      <c r="G33" s="69">
        <f t="shared" si="0"/>
        <v>0</v>
      </c>
      <c r="H33" s="69">
        <f t="shared" si="0"/>
        <v>0</v>
      </c>
      <c r="I33" s="69">
        <f t="shared" si="0"/>
        <v>0</v>
      </c>
      <c r="J33" s="400">
        <f t="shared" si="0"/>
        <v>0</v>
      </c>
      <c r="K33" s="69">
        <f t="shared" si="0"/>
        <v>0</v>
      </c>
      <c r="L33" s="69">
        <f t="shared" si="0"/>
        <v>0</v>
      </c>
      <c r="M33" s="69">
        <f t="shared" si="0"/>
        <v>0</v>
      </c>
      <c r="N33" s="69">
        <f t="shared" si="0"/>
        <v>0</v>
      </c>
      <c r="O33" s="60"/>
      <c r="P33" s="61">
        <f>+G33</f>
        <v>0</v>
      </c>
      <c r="Q33" s="62"/>
    </row>
    <row r="34" spans="1:29" ht="15" customHeight="1" thickBot="1">
      <c r="A34" s="6"/>
      <c r="B34" s="70" t="s">
        <v>211</v>
      </c>
      <c r="C34" s="71">
        <f>+C32</f>
        <v>3562573</v>
      </c>
      <c r="D34" s="71">
        <f>IF(AND(D31=0,D32=0),0,+C34+D32)</f>
        <v>4235392</v>
      </c>
      <c r="E34" s="71">
        <f t="shared" ref="E34:N34" si="1">IF(AND(E31=0,E32=0),0,+D34+E32)</f>
        <v>4235392</v>
      </c>
      <c r="F34" s="71">
        <f t="shared" si="1"/>
        <v>4235392</v>
      </c>
      <c r="G34" s="71">
        <f t="shared" si="1"/>
        <v>0</v>
      </c>
      <c r="H34" s="71">
        <f t="shared" si="1"/>
        <v>0</v>
      </c>
      <c r="I34" s="71">
        <f t="shared" si="1"/>
        <v>0</v>
      </c>
      <c r="J34" s="71">
        <f t="shared" si="1"/>
        <v>0</v>
      </c>
      <c r="K34" s="71">
        <f t="shared" si="1"/>
        <v>0</v>
      </c>
      <c r="L34" s="71">
        <f t="shared" si="1"/>
        <v>0</v>
      </c>
      <c r="M34" s="71">
        <f t="shared" si="1"/>
        <v>0</v>
      </c>
      <c r="N34" s="71">
        <f t="shared" si="1"/>
        <v>0</v>
      </c>
      <c r="O34" s="60"/>
      <c r="P34" s="61">
        <f>+H33</f>
        <v>0</v>
      </c>
      <c r="Q34" s="62"/>
    </row>
    <row r="35" spans="1:29">
      <c r="A35" s="6"/>
      <c r="B35" s="6"/>
      <c r="C35" s="72">
        <f>+IF(AND(C30=$C$16,C33&lt;&gt;0),C34/C33,0)</f>
        <v>0</v>
      </c>
      <c r="D35" s="72">
        <f t="shared" ref="D35:N35" si="2">+IF(AND(D30=$C$16,D33&lt;&gt;0),D34/D33,0)</f>
        <v>0.99999979694917829</v>
      </c>
      <c r="E35" s="72">
        <f t="shared" si="2"/>
        <v>0</v>
      </c>
      <c r="F35" s="72">
        <f t="shared" si="2"/>
        <v>0</v>
      </c>
      <c r="G35" s="72">
        <f t="shared" si="2"/>
        <v>0</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
      <c r="A36" s="6"/>
      <c r="B36" s="59" t="s">
        <v>350</v>
      </c>
      <c r="C36" s="6"/>
      <c r="D36" s="6"/>
      <c r="E36" s="74"/>
      <c r="F36" s="6"/>
      <c r="G36" s="75"/>
      <c r="H36" s="426"/>
      <c r="I36" s="6"/>
      <c r="J36" s="6"/>
      <c r="K36" s="6"/>
      <c r="L36" s="6"/>
      <c r="M36" s="6"/>
      <c r="N36" s="76"/>
      <c r="AC36" s="49"/>
    </row>
    <row r="37" spans="1:29" ht="15" thickBot="1">
      <c r="A37" s="6"/>
      <c r="B37" s="6"/>
      <c r="C37" s="6"/>
      <c r="D37" s="6"/>
      <c r="E37" s="6"/>
      <c r="F37" s="6"/>
      <c r="G37" s="6"/>
      <c r="H37" s="6"/>
      <c r="I37" s="6"/>
      <c r="J37" s="6"/>
      <c r="K37" s="6"/>
      <c r="L37" s="6"/>
      <c r="M37" s="6"/>
      <c r="N37" s="77"/>
    </row>
    <row r="38" spans="1:29" ht="30" customHeight="1">
      <c r="A38" s="6"/>
      <c r="B38" s="78" t="s">
        <v>349</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9" ht="14.25" customHeight="1">
      <c r="A39" s="6"/>
      <c r="B39" s="85" t="s">
        <v>351</v>
      </c>
      <c r="C39" s="86">
        <v>169982.2</v>
      </c>
      <c r="D39" s="87">
        <v>112889.74</v>
      </c>
      <c r="E39" s="504"/>
      <c r="F39" s="88"/>
      <c r="G39" s="89"/>
      <c r="H39" s="6"/>
      <c r="I39" s="6"/>
      <c r="J39" s="90"/>
      <c r="K39" s="91"/>
      <c r="N39"/>
      <c r="Y39" s="49"/>
      <c r="Z39" s="5"/>
    </row>
    <row r="40" spans="1:29" ht="14.25" customHeight="1">
      <c r="A40" s="6"/>
      <c r="B40" s="85" t="s">
        <v>352</v>
      </c>
      <c r="C40" s="86">
        <v>1871278.8</v>
      </c>
      <c r="D40" s="87">
        <v>1353685.2</v>
      </c>
      <c r="E40" s="504"/>
      <c r="F40" s="88"/>
      <c r="G40" s="89"/>
      <c r="H40" s="6"/>
      <c r="I40" s="6"/>
      <c r="J40" s="6"/>
      <c r="K40" s="91"/>
      <c r="N40"/>
      <c r="Y40" s="49"/>
      <c r="Z40" s="5"/>
    </row>
    <row r="41" spans="1:29">
      <c r="A41" s="6"/>
      <c r="B41" s="93" t="s">
        <v>353</v>
      </c>
      <c r="C41" s="86">
        <v>1409563.26</v>
      </c>
      <c r="D41" s="87">
        <v>682176.43</v>
      </c>
      <c r="E41" s="504"/>
      <c r="F41" s="94"/>
      <c r="G41" s="6"/>
      <c r="H41" s="6"/>
      <c r="I41" s="6"/>
      <c r="J41" s="6"/>
      <c r="K41" s="91"/>
      <c r="N41"/>
      <c r="Y41" s="49"/>
      <c r="Z41" s="5"/>
    </row>
    <row r="42" spans="1:29" ht="15" customHeight="1">
      <c r="A42" s="6"/>
      <c r="B42" s="85" t="s">
        <v>354</v>
      </c>
      <c r="C42" s="86">
        <v>635688.52</v>
      </c>
      <c r="D42" s="87">
        <v>495645.6</v>
      </c>
      <c r="E42" s="504"/>
      <c r="F42" s="95"/>
      <c r="G42" s="6"/>
      <c r="H42" s="6"/>
      <c r="I42" s="6"/>
      <c r="J42" s="6"/>
      <c r="K42" s="49"/>
      <c r="N42"/>
      <c r="Y42" s="49"/>
      <c r="Z42" s="5"/>
    </row>
    <row r="43" spans="1:29">
      <c r="A43" s="6"/>
      <c r="B43" s="85" t="s">
        <v>355</v>
      </c>
      <c r="C43" s="86">
        <v>148880.07999999999</v>
      </c>
      <c r="D43" s="87">
        <v>137218.97</v>
      </c>
      <c r="E43" s="504"/>
      <c r="F43" s="96"/>
      <c r="G43" s="6"/>
      <c r="H43" s="6"/>
      <c r="I43" s="6"/>
      <c r="J43" s="6"/>
      <c r="K43" s="49"/>
      <c r="N43"/>
      <c r="Y43" s="49"/>
      <c r="Z43" s="5"/>
    </row>
    <row r="44" spans="1:29">
      <c r="A44" s="6"/>
      <c r="B44" s="85"/>
      <c r="C44" s="97"/>
      <c r="D44" s="98"/>
      <c r="E44" s="92"/>
      <c r="F44" s="99"/>
      <c r="G44" s="6"/>
      <c r="H44" s="6"/>
      <c r="I44" s="6"/>
      <c r="J44" s="6"/>
      <c r="K44" s="49"/>
      <c r="N44"/>
      <c r="Y44" s="49"/>
      <c r="Z44" s="5"/>
    </row>
    <row r="45" spans="1:29">
      <c r="A45" s="6"/>
      <c r="B45" s="100"/>
      <c r="C45" s="97"/>
      <c r="D45" s="98"/>
      <c r="E45" s="92"/>
      <c r="F45" s="96"/>
      <c r="G45" s="92"/>
      <c r="H45" s="92"/>
      <c r="I45" s="92"/>
      <c r="J45" s="92"/>
      <c r="K45" s="49"/>
      <c r="N45"/>
      <c r="Y45" s="5"/>
      <c r="Z45" s="5"/>
    </row>
    <row r="46" spans="1:29" ht="15" thickBot="1">
      <c r="A46" s="6"/>
      <c r="B46" s="101"/>
      <c r="C46" s="97"/>
      <c r="D46" s="98"/>
      <c r="E46" s="92"/>
      <c r="F46" s="92"/>
      <c r="G46" s="92"/>
      <c r="H46" s="92"/>
      <c r="I46" s="92"/>
      <c r="J46" s="92"/>
      <c r="K46" s="49"/>
      <c r="N46"/>
      <c r="Y46" s="5"/>
      <c r="Z46" s="5"/>
    </row>
    <row r="47" spans="1:29" ht="15" thickBot="1">
      <c r="A47" s="6"/>
      <c r="B47" s="102" t="s">
        <v>212</v>
      </c>
      <c r="C47" s="399">
        <f>SUM(C39:C43)</f>
        <v>4235392.8599999994</v>
      </c>
      <c r="D47" s="491">
        <f>SUM(D39:D43)</f>
        <v>2781615.9400000004</v>
      </c>
      <c r="E47" s="103"/>
      <c r="F47" s="580" t="str">
        <f ca="1">+IF((ROUND(C47,0)=ROUND(OFFSET(B33,0,RIGHT('Introducción de datos'!$C$16,LEN('Introducción de datos'!$C$16)-1),1,1),0)),"OK: Datos corresponden","Atención: Datos no corresponden")</f>
        <v>OK: Datos corresponden</v>
      </c>
      <c r="G47" s="580"/>
      <c r="H47" s="580"/>
      <c r="I47" s="580"/>
      <c r="J47" s="104"/>
      <c r="K47" s="104"/>
      <c r="L47" s="104"/>
      <c r="M47" s="105"/>
      <c r="N47" s="73"/>
      <c r="Y47" s="5"/>
      <c r="Z47" s="5"/>
    </row>
    <row r="48" spans="1:29">
      <c r="A48" s="6"/>
      <c r="B48" s="6"/>
      <c r="C48" s="104"/>
      <c r="D48" s="104"/>
      <c r="E48" s="106"/>
      <c r="F48" s="104"/>
      <c r="G48" s="104"/>
      <c r="H48" s="104"/>
      <c r="I48" s="104"/>
      <c r="J48" s="104"/>
      <c r="K48" s="104"/>
      <c r="L48" s="104"/>
      <c r="M48" s="104"/>
      <c r="N48" s="104"/>
      <c r="O48" s="73"/>
      <c r="P48" s="61"/>
      <c r="Q48" s="62"/>
    </row>
    <row r="49" spans="1:29" ht="18">
      <c r="A49" s="6"/>
      <c r="B49" s="59" t="s">
        <v>213</v>
      </c>
      <c r="C49" s="6"/>
      <c r="D49" s="6"/>
      <c r="E49" s="6"/>
      <c r="F49" s="6"/>
      <c r="G49" s="6"/>
      <c r="H49" s="6"/>
      <c r="I49" s="6"/>
      <c r="J49" s="6"/>
      <c r="K49" s="6"/>
      <c r="L49" s="6"/>
      <c r="M49" s="6"/>
      <c r="O49" s="60"/>
      <c r="P49" s="61">
        <f>+J33</f>
        <v>0</v>
      </c>
      <c r="Q49" s="62"/>
    </row>
    <row r="50" spans="1:29" ht="15" thickBot="1">
      <c r="A50" s="6"/>
      <c r="B50" s="6"/>
      <c r="C50" s="6"/>
      <c r="D50" s="6"/>
      <c r="E50" s="6"/>
      <c r="F50" s="6"/>
      <c r="G50" s="6"/>
      <c r="H50" s="6"/>
      <c r="I50" s="6"/>
      <c r="J50" s="6"/>
      <c r="K50" s="6"/>
      <c r="L50" s="6"/>
      <c r="M50" s="6"/>
      <c r="O50" s="60"/>
      <c r="P50" s="61">
        <f>+K33</f>
        <v>0</v>
      </c>
      <c r="Q50" s="62"/>
    </row>
    <row r="51" spans="1:29" ht="46.5" customHeight="1">
      <c r="A51" s="6"/>
      <c r="B51" s="452"/>
      <c r="C51" s="453" t="s">
        <v>214</v>
      </c>
      <c r="D51" s="453" t="s">
        <v>215</v>
      </c>
      <c r="E51" s="454" t="str">
        <f>CONCATENATE("Total gastado y desembolso (en ",D26,")")</f>
        <v>Total gastado y desembolso (en $)</v>
      </c>
      <c r="F51" s="6"/>
      <c r="G51" s="107"/>
      <c r="H51" s="82"/>
      <c r="I51" s="108"/>
      <c r="J51" s="108"/>
      <c r="K51" s="108"/>
      <c r="L51" s="108"/>
      <c r="M51" s="109"/>
      <c r="N51" s="109"/>
      <c r="O51" s="61">
        <f>+M33</f>
        <v>0</v>
      </c>
      <c r="P51" s="62"/>
      <c r="AB51" s="49"/>
    </row>
    <row r="52" spans="1:29">
      <c r="A52" s="6"/>
      <c r="B52" s="455" t="s">
        <v>216</v>
      </c>
      <c r="C52" s="450">
        <v>3562573</v>
      </c>
      <c r="D52" s="450">
        <v>672819</v>
      </c>
      <c r="E52" s="483">
        <f t="shared" ref="E52:E57" si="3">+D52+C52</f>
        <v>4235392</v>
      </c>
      <c r="F52" s="481"/>
      <c r="G52" s="110"/>
      <c r="H52" s="111"/>
      <c r="I52" s="462"/>
      <c r="J52" s="113"/>
      <c r="K52" s="113"/>
      <c r="L52" s="114"/>
      <c r="M52" s="114"/>
      <c r="N52" s="114"/>
      <c r="O52" s="62"/>
      <c r="P52" s="62"/>
      <c r="AB52" s="49"/>
    </row>
    <row r="53" spans="1:29">
      <c r="A53" s="6"/>
      <c r="B53" s="455" t="s">
        <v>365</v>
      </c>
      <c r="C53" s="450">
        <v>486936.45</v>
      </c>
      <c r="D53" s="451">
        <v>875684.67</v>
      </c>
      <c r="E53" s="483">
        <f t="shared" si="3"/>
        <v>1362621.12</v>
      </c>
      <c r="F53" s="426"/>
      <c r="G53" s="492"/>
      <c r="H53" s="111"/>
      <c r="I53" s="112"/>
      <c r="J53" s="113"/>
      <c r="K53" s="113"/>
      <c r="L53" s="114"/>
      <c r="M53" s="115"/>
      <c r="N53" s="115"/>
      <c r="O53" s="62"/>
      <c r="P53" s="62"/>
      <c r="AB53" s="49"/>
    </row>
    <row r="54" spans="1:29">
      <c r="A54" s="6"/>
      <c r="B54" s="455" t="s">
        <v>217</v>
      </c>
      <c r="C54" s="450">
        <v>737969.59</v>
      </c>
      <c r="D54" s="451">
        <v>762395.97</v>
      </c>
      <c r="E54" s="483">
        <f t="shared" si="3"/>
        <v>1500365.56</v>
      </c>
      <c r="F54" s="485"/>
      <c r="G54" s="493"/>
      <c r="H54" s="111"/>
      <c r="I54" s="112"/>
      <c r="J54" s="113"/>
      <c r="K54" s="113"/>
      <c r="L54" s="114"/>
      <c r="M54" s="114"/>
      <c r="N54" s="114"/>
      <c r="AB54" s="49"/>
    </row>
    <row r="55" spans="1:29">
      <c r="A55" s="6"/>
      <c r="B55" s="455" t="s">
        <v>218</v>
      </c>
      <c r="C55" s="450">
        <v>600906.29</v>
      </c>
      <c r="D55" s="451">
        <v>818088.53</v>
      </c>
      <c r="E55" s="483">
        <f t="shared" si="3"/>
        <v>1418994.82</v>
      </c>
      <c r="F55" s="6"/>
      <c r="G55" s="493"/>
      <c r="H55" s="111"/>
      <c r="I55" s="112"/>
      <c r="J55" s="113"/>
      <c r="K55" s="113"/>
      <c r="L55" s="114"/>
      <c r="M55" s="114"/>
      <c r="N55" s="114"/>
      <c r="AB55" s="49"/>
    </row>
    <row r="56" spans="1:29">
      <c r="A56" s="6"/>
      <c r="B56" s="468" t="s">
        <v>372</v>
      </c>
      <c r="C56" s="469"/>
      <c r="D56" s="470">
        <v>594039.84</v>
      </c>
      <c r="E56" s="483">
        <f t="shared" si="3"/>
        <v>594039.84</v>
      </c>
      <c r="F56" s="485"/>
      <c r="G56" s="495"/>
      <c r="H56" s="111"/>
      <c r="I56" s="112"/>
      <c r="J56" s="113"/>
      <c r="K56" s="113"/>
      <c r="L56" s="114"/>
      <c r="M56" s="114"/>
      <c r="N56" s="114"/>
      <c r="AB56" s="49"/>
    </row>
    <row r="57" spans="1:29" ht="15" thickBot="1">
      <c r="A57" s="6"/>
      <c r="B57" s="456" t="s">
        <v>334</v>
      </c>
      <c r="C57" s="457"/>
      <c r="D57" s="458">
        <f>1667005.57+81657.29</f>
        <v>1748662.86</v>
      </c>
      <c r="E57" s="484">
        <f t="shared" si="3"/>
        <v>1748662.86</v>
      </c>
      <c r="F57" s="426"/>
      <c r="G57" s="495"/>
      <c r="H57" s="116"/>
      <c r="I57" s="117"/>
      <c r="J57" s="117"/>
      <c r="K57" s="117"/>
      <c r="L57" s="114"/>
      <c r="M57" s="115"/>
      <c r="N57" s="115"/>
      <c r="AB57" s="49"/>
    </row>
    <row r="58" spans="1:29" ht="5.25" customHeight="1">
      <c r="A58" s="6"/>
      <c r="B58" s="449"/>
      <c r="C58" s="6"/>
      <c r="D58" s="6"/>
      <c r="E58" s="6"/>
      <c r="F58" s="6"/>
      <c r="G58" s="6"/>
      <c r="H58" s="6"/>
      <c r="I58" s="6"/>
      <c r="J58" s="6"/>
      <c r="K58" s="6"/>
      <c r="L58" s="6"/>
      <c r="M58" s="6"/>
      <c r="AC58" s="49"/>
    </row>
    <row r="59" spans="1:29" ht="49.8" customHeight="1">
      <c r="A59" s="6"/>
      <c r="B59" s="503" t="s">
        <v>377</v>
      </c>
      <c r="C59" s="6"/>
      <c r="D59" s="576"/>
      <c r="E59" s="486"/>
      <c r="F59" s="485"/>
      <c r="G59" s="6"/>
      <c r="H59" s="6"/>
      <c r="I59" s="6"/>
      <c r="J59" s="6"/>
      <c r="K59" s="6"/>
      <c r="L59" s="6"/>
      <c r="M59" s="6"/>
    </row>
    <row r="60" spans="1:29">
      <c r="A60" s="6"/>
      <c r="B60" s="496" t="s">
        <v>378</v>
      </c>
      <c r="C60" s="482"/>
      <c r="D60" s="576"/>
      <c r="E60" s="494"/>
      <c r="F60" s="6"/>
      <c r="G60" s="6"/>
      <c r="H60" s="6"/>
      <c r="I60" s="6"/>
      <c r="J60" s="6"/>
      <c r="K60" s="6"/>
      <c r="L60" s="6"/>
      <c r="M60" s="6"/>
    </row>
    <row r="61" spans="1:29" ht="18">
      <c r="A61" s="6"/>
      <c r="B61" s="59" t="s">
        <v>219</v>
      </c>
      <c r="C61" s="481"/>
      <c r="D61" s="480"/>
      <c r="E61" s="481"/>
      <c r="F61" s="485"/>
      <c r="G61" s="6"/>
      <c r="H61" s="6"/>
      <c r="I61" s="6"/>
      <c r="J61" s="6"/>
      <c r="K61" s="6"/>
      <c r="L61" s="6"/>
      <c r="M61" s="6"/>
    </row>
    <row r="62" spans="1:29" ht="15" thickBot="1">
      <c r="A62" s="6"/>
      <c r="B62" s="6"/>
      <c r="C62" s="481"/>
      <c r="D62" s="480"/>
      <c r="E62" s="481"/>
      <c r="F62" s="6"/>
      <c r="G62" s="6"/>
      <c r="H62" s="6"/>
      <c r="I62" s="6"/>
      <c r="J62" s="6"/>
      <c r="K62" s="6"/>
      <c r="L62" s="6"/>
      <c r="M62" s="6"/>
    </row>
    <row r="63" spans="1:29" ht="14.25" customHeight="1">
      <c r="A63" s="6"/>
      <c r="B63" s="581" t="s">
        <v>220</v>
      </c>
      <c r="C63" s="581"/>
      <c r="D63" s="581"/>
      <c r="E63" s="6"/>
      <c r="F63" s="6"/>
      <c r="G63" s="6"/>
      <c r="H63" s="6"/>
      <c r="I63" s="6"/>
      <c r="J63" s="6"/>
      <c r="K63" s="6"/>
      <c r="L63" s="6"/>
      <c r="M63" s="5"/>
    </row>
    <row r="64" spans="1:29">
      <c r="A64" s="6"/>
      <c r="B64" s="118"/>
      <c r="C64" s="119" t="s">
        <v>221</v>
      </c>
      <c r="D64" s="120" t="s">
        <v>222</v>
      </c>
      <c r="E64" s="6"/>
      <c r="F64" s="6"/>
      <c r="G64" s="6"/>
      <c r="H64" s="6"/>
      <c r="I64" s="6"/>
      <c r="J64" s="6"/>
      <c r="K64" s="6"/>
      <c r="L64" s="6"/>
      <c r="M64" s="5"/>
    </row>
    <row r="65" spans="1:24">
      <c r="A65" s="6"/>
      <c r="B65" s="121" t="s">
        <v>333</v>
      </c>
      <c r="C65" s="122">
        <v>60</v>
      </c>
      <c r="D65" s="123">
        <v>74</v>
      </c>
      <c r="E65" s="6"/>
      <c r="F65" s="6"/>
      <c r="G65" s="6"/>
      <c r="H65" s="6"/>
      <c r="I65" s="6"/>
      <c r="J65" s="6"/>
      <c r="K65" s="6"/>
      <c r="L65" s="6"/>
      <c r="M65" s="5"/>
    </row>
    <row r="66" spans="1:24">
      <c r="A66" s="6"/>
      <c r="B66" s="124" t="s">
        <v>223</v>
      </c>
      <c r="C66" s="122">
        <v>45</v>
      </c>
      <c r="D66" s="123">
        <v>30</v>
      </c>
      <c r="E66" s="6"/>
      <c r="F66" s="6"/>
      <c r="G66" s="6"/>
      <c r="H66" s="111"/>
      <c r="I66" s="111"/>
      <c r="J66" s="6"/>
      <c r="K66" s="6"/>
      <c r="L66" s="6"/>
      <c r="M66" s="5"/>
    </row>
    <row r="67" spans="1:24" ht="15" thickBot="1">
      <c r="A67" s="6"/>
      <c r="B67" s="125" t="s">
        <v>224</v>
      </c>
      <c r="C67" s="126">
        <v>15</v>
      </c>
      <c r="D67" s="127">
        <v>15</v>
      </c>
      <c r="E67" s="6"/>
      <c r="F67" s="6"/>
      <c r="G67" s="6"/>
      <c r="H67" s="111"/>
      <c r="I67" s="111"/>
      <c r="J67" s="6"/>
      <c r="K67" s="6"/>
      <c r="L67" s="6"/>
      <c r="M67" s="5"/>
    </row>
    <row r="68" spans="1:24">
      <c r="A68" s="6"/>
      <c r="B68" s="459" t="s">
        <v>373</v>
      </c>
      <c r="C68" s="6"/>
      <c r="D68" s="487"/>
      <c r="E68" s="6"/>
      <c r="F68" s="6"/>
      <c r="G68" s="6"/>
      <c r="H68" s="6"/>
      <c r="I68" s="6"/>
      <c r="J68" s="6"/>
      <c r="K68" s="6"/>
      <c r="L68" s="6"/>
      <c r="M68" s="6"/>
    </row>
    <row r="69" spans="1:24" ht="15" thickBot="1">
      <c r="A69" s="6"/>
      <c r="B69" s="6"/>
      <c r="C69" s="6"/>
      <c r="D69" s="6"/>
      <c r="E69" s="6"/>
      <c r="F69" s="6"/>
      <c r="G69" s="6"/>
      <c r="H69" s="6"/>
      <c r="I69" s="6"/>
      <c r="J69" s="6"/>
      <c r="K69" s="6"/>
      <c r="L69" s="128"/>
      <c r="M69" s="6"/>
      <c r="W69" s="10"/>
      <c r="X69" s="10"/>
    </row>
    <row r="70" spans="1:24" ht="18.600000000000001" thickBot="1">
      <c r="A70" s="6"/>
      <c r="B70" s="129" t="s">
        <v>225</v>
      </c>
      <c r="C70" s="130"/>
      <c r="D70" s="130"/>
      <c r="E70" s="130"/>
      <c r="F70" s="130"/>
      <c r="G70" s="130"/>
      <c r="H70" s="131" t="s">
        <v>226</v>
      </c>
      <c r="I70" s="130"/>
      <c r="J70" s="132"/>
      <c r="K70" s="132"/>
      <c r="L70" s="133"/>
      <c r="M70" s="134"/>
      <c r="N70" s="135"/>
      <c r="Q70" s="54"/>
      <c r="W70" s="10"/>
      <c r="X70" s="10"/>
    </row>
    <row r="71" spans="1:24" ht="18">
      <c r="A71" s="6"/>
      <c r="B71" s="136"/>
      <c r="C71" s="137"/>
      <c r="D71" s="137"/>
      <c r="E71" s="137"/>
      <c r="F71" s="137"/>
      <c r="G71" s="137"/>
      <c r="H71" s="137"/>
      <c r="I71" s="137"/>
      <c r="J71" s="137"/>
      <c r="K71" s="138"/>
      <c r="L71" s="138"/>
      <c r="M71" s="137"/>
      <c r="N71" s="135"/>
      <c r="Q71" s="54"/>
      <c r="W71" s="10"/>
      <c r="X71" s="10"/>
    </row>
    <row r="72" spans="1:24" ht="18">
      <c r="A72" s="6"/>
      <c r="B72" s="136" t="s">
        <v>227</v>
      </c>
      <c r="C72" s="137"/>
      <c r="D72" s="137"/>
      <c r="E72" s="137"/>
      <c r="F72" s="137"/>
      <c r="G72" s="137"/>
      <c r="H72" s="137"/>
      <c r="I72" s="137"/>
      <c r="J72" s="137"/>
      <c r="K72" s="138"/>
      <c r="L72" s="138"/>
      <c r="M72" s="137"/>
      <c r="N72" s="135"/>
      <c r="Q72" s="54"/>
      <c r="W72" s="10"/>
      <c r="X72" s="10"/>
    </row>
    <row r="73" spans="1:24" ht="15" thickBot="1">
      <c r="A73" s="6"/>
      <c r="B73" s="139"/>
      <c r="C73" s="140"/>
      <c r="D73" s="140"/>
      <c r="E73" s="140"/>
      <c r="F73" s="140"/>
      <c r="G73" s="140"/>
      <c r="H73" s="139"/>
      <c r="I73" s="140"/>
      <c r="J73" s="139"/>
      <c r="K73" s="139"/>
      <c r="L73" s="139"/>
      <c r="M73" s="139"/>
      <c r="N73" s="49"/>
      <c r="O73" s="10"/>
      <c r="P73" s="10"/>
      <c r="Q73" s="10"/>
      <c r="X73" s="10"/>
    </row>
    <row r="74" spans="1:24" ht="43.2">
      <c r="A74" s="6"/>
      <c r="B74" s="554"/>
      <c r="C74" s="554"/>
      <c r="D74" s="141" t="s">
        <v>228</v>
      </c>
      <c r="E74" s="142" t="s">
        <v>229</v>
      </c>
      <c r="F74" s="142" t="s">
        <v>230</v>
      </c>
      <c r="G74" s="143" t="s">
        <v>212</v>
      </c>
      <c r="H74" s="144"/>
      <c r="I74" s="145"/>
      <c r="J74" s="92"/>
      <c r="K74" s="139"/>
      <c r="L74" s="139"/>
      <c r="M74" s="139"/>
      <c r="N74" s="49"/>
      <c r="O74" s="10"/>
      <c r="P74" s="10"/>
      <c r="Q74" s="10"/>
    </row>
    <row r="75" spans="1:24">
      <c r="A75" s="6"/>
      <c r="B75" s="575" t="s">
        <v>231</v>
      </c>
      <c r="C75" s="575"/>
      <c r="D75" s="147"/>
      <c r="E75" s="147">
        <v>0</v>
      </c>
      <c r="F75" s="147">
        <v>0</v>
      </c>
      <c r="G75" s="148">
        <f>SUM(D75:F75)</f>
        <v>0</v>
      </c>
      <c r="H75" s="96"/>
      <c r="I75" s="149"/>
      <c r="J75" s="149"/>
      <c r="K75" s="139"/>
      <c r="L75" s="139"/>
      <c r="M75" s="139"/>
      <c r="N75" s="49"/>
      <c r="O75" s="10"/>
      <c r="P75" s="10"/>
      <c r="Q75" s="10"/>
    </row>
    <row r="76" spans="1:24" ht="15" thickBot="1">
      <c r="A76" s="6"/>
      <c r="B76" s="577" t="s">
        <v>232</v>
      </c>
      <c r="C76" s="577"/>
      <c r="D76" s="151"/>
      <c r="E76" s="151">
        <v>0</v>
      </c>
      <c r="F76" s="151">
        <v>0</v>
      </c>
      <c r="G76" s="152">
        <f>SUM(D76:F76)</f>
        <v>0</v>
      </c>
      <c r="H76" s="96"/>
      <c r="I76" s="92"/>
      <c r="J76" s="92"/>
      <c r="K76" s="139"/>
      <c r="L76" s="139"/>
      <c r="M76" s="139"/>
      <c r="N76" s="10"/>
      <c r="O76" s="10"/>
      <c r="P76" s="10"/>
      <c r="Q76" s="10"/>
    </row>
    <row r="77" spans="1:24">
      <c r="A77" s="6"/>
      <c r="B77" s="139"/>
      <c r="C77" s="139"/>
      <c r="D77" s="139"/>
      <c r="E77" s="139"/>
      <c r="F77" s="139"/>
      <c r="G77" s="139"/>
      <c r="H77" s="139"/>
      <c r="I77" s="139"/>
      <c r="J77" s="139"/>
      <c r="K77" s="139"/>
      <c r="L77" s="139"/>
      <c r="M77" s="139"/>
      <c r="N77" s="10"/>
      <c r="O77" s="10"/>
      <c r="P77" s="10"/>
      <c r="Q77" s="10"/>
    </row>
    <row r="78" spans="1:24">
      <c r="A78" s="6"/>
      <c r="B78" s="139"/>
      <c r="C78" s="139"/>
      <c r="D78" s="139"/>
      <c r="E78" s="139"/>
      <c r="F78" s="139"/>
      <c r="G78" s="139"/>
      <c r="H78" s="139"/>
      <c r="I78" s="139"/>
      <c r="J78" s="139"/>
      <c r="K78" s="139"/>
      <c r="L78" s="139"/>
      <c r="M78" s="139"/>
      <c r="N78" s="10"/>
      <c r="Q78" s="10"/>
    </row>
    <row r="79" spans="1:24" ht="18">
      <c r="A79" s="6"/>
      <c r="B79" s="136" t="s">
        <v>233</v>
      </c>
      <c r="C79" s="139"/>
      <c r="D79" s="139"/>
      <c r="E79" s="139"/>
      <c r="F79" s="139"/>
      <c r="G79" s="139"/>
      <c r="H79" s="139"/>
      <c r="I79" s="139"/>
      <c r="J79" s="139"/>
      <c r="K79" s="139"/>
      <c r="L79" s="139"/>
      <c r="M79" s="139"/>
      <c r="N79" s="10"/>
      <c r="Q79" s="10"/>
    </row>
    <row r="80" spans="1:24" ht="15" thickBot="1">
      <c r="A80" s="6"/>
      <c r="B80" s="139"/>
      <c r="C80" s="139"/>
      <c r="D80" s="139"/>
      <c r="E80" s="139"/>
      <c r="F80" s="139"/>
      <c r="G80" s="139"/>
      <c r="H80" s="139"/>
      <c r="I80" s="139"/>
      <c r="J80" s="139"/>
      <c r="K80" s="139"/>
      <c r="L80" s="139"/>
      <c r="M80" s="139"/>
      <c r="N80" s="10"/>
      <c r="Q80" s="10"/>
    </row>
    <row r="81" spans="1:30">
      <c r="A81" s="6"/>
      <c r="B81" s="153"/>
      <c r="C81" s="154" t="s">
        <v>234</v>
      </c>
      <c r="D81" s="154" t="s">
        <v>235</v>
      </c>
      <c r="E81" s="155" t="s">
        <v>236</v>
      </c>
      <c r="F81" s="92"/>
      <c r="G81" s="92"/>
      <c r="H81" s="92"/>
      <c r="I81" s="145"/>
      <c r="J81" s="139"/>
      <c r="K81" s="139"/>
      <c r="L81" s="139"/>
      <c r="M81" s="139"/>
      <c r="N81" s="10"/>
      <c r="Q81" s="10"/>
    </row>
    <row r="82" spans="1:30" ht="15" thickBot="1">
      <c r="A82" s="6"/>
      <c r="B82" s="150" t="s">
        <v>237</v>
      </c>
      <c r="C82" s="156">
        <v>6</v>
      </c>
      <c r="D82" s="156">
        <v>6</v>
      </c>
      <c r="E82" s="157">
        <f>+C82-D82</f>
        <v>0</v>
      </c>
      <c r="F82" s="158"/>
      <c r="G82" s="159"/>
      <c r="H82" s="92"/>
      <c r="I82" s="149"/>
      <c r="J82" s="139"/>
      <c r="K82" s="139"/>
      <c r="L82" s="139"/>
      <c r="M82" s="139"/>
      <c r="N82" s="10"/>
      <c r="Q82" s="10"/>
    </row>
    <row r="83" spans="1:30">
      <c r="A83" s="6"/>
      <c r="B83" s="139"/>
      <c r="C83" s="139"/>
      <c r="D83" s="139"/>
      <c r="E83" s="139"/>
      <c r="F83" s="139"/>
      <c r="G83" s="139"/>
      <c r="H83" s="139"/>
      <c r="I83" s="139"/>
      <c r="J83" s="139"/>
      <c r="K83" s="139"/>
      <c r="L83" s="139"/>
      <c r="M83" s="139"/>
      <c r="N83" s="10"/>
      <c r="Q83" s="10"/>
    </row>
    <row r="84" spans="1:30" ht="18">
      <c r="A84" s="6"/>
      <c r="B84" s="136" t="s">
        <v>238</v>
      </c>
      <c r="C84" s="139"/>
      <c r="D84" s="139"/>
      <c r="E84" s="139"/>
      <c r="F84" s="139"/>
      <c r="G84" s="139"/>
      <c r="H84" s="139"/>
      <c r="I84" s="139"/>
      <c r="J84" s="139"/>
      <c r="K84" s="139"/>
      <c r="L84" s="139"/>
      <c r="M84" s="139"/>
      <c r="N84" s="10"/>
      <c r="Q84" s="10"/>
    </row>
    <row r="85" spans="1:30" ht="15" thickBot="1">
      <c r="A85" s="6"/>
      <c r="B85" s="139"/>
      <c r="C85" s="139"/>
      <c r="D85" s="139"/>
      <c r="E85" s="139"/>
      <c r="F85" s="139"/>
      <c r="G85" s="139"/>
      <c r="H85" s="139"/>
      <c r="I85" s="139"/>
      <c r="J85" s="139"/>
      <c r="K85" s="139"/>
      <c r="L85" s="139"/>
      <c r="M85" s="139"/>
      <c r="N85" s="10"/>
      <c r="Q85" s="10"/>
    </row>
    <row r="86" spans="1:30" ht="28.8">
      <c r="A86" s="6"/>
      <c r="B86" s="153"/>
      <c r="C86" s="154" t="s">
        <v>239</v>
      </c>
      <c r="D86" s="154" t="s">
        <v>240</v>
      </c>
      <c r="E86" s="154" t="s">
        <v>241</v>
      </c>
      <c r="F86" s="154" t="s">
        <v>242</v>
      </c>
      <c r="G86" s="160" t="s">
        <v>243</v>
      </c>
      <c r="H86" s="427"/>
      <c r="I86" s="145"/>
      <c r="J86" s="139"/>
      <c r="K86" s="139"/>
      <c r="L86" s="139"/>
      <c r="M86" s="139"/>
      <c r="N86" s="10"/>
      <c r="Q86" s="10"/>
    </row>
    <row r="87" spans="1:30" ht="15" thickBot="1">
      <c r="A87" s="6"/>
      <c r="B87" s="150" t="s">
        <v>244</v>
      </c>
      <c r="C87" s="156">
        <v>8</v>
      </c>
      <c r="D87" s="156">
        <v>8</v>
      </c>
      <c r="E87" s="156">
        <v>8</v>
      </c>
      <c r="F87" s="156">
        <v>8</v>
      </c>
      <c r="G87" s="161">
        <v>8</v>
      </c>
      <c r="H87" s="162"/>
      <c r="I87" s="96"/>
      <c r="J87" s="139"/>
      <c r="K87" s="139"/>
      <c r="L87" s="139"/>
      <c r="M87" s="139"/>
      <c r="N87" s="10"/>
      <c r="Q87" s="10"/>
    </row>
    <row r="88" spans="1:30">
      <c r="A88" s="6"/>
      <c r="B88" s="139"/>
      <c r="C88" s="139"/>
      <c r="D88" s="139"/>
      <c r="E88" s="139"/>
      <c r="F88" s="139"/>
      <c r="G88" s="139"/>
      <c r="H88" s="139"/>
      <c r="J88" s="139"/>
      <c r="K88" s="139"/>
      <c r="L88" s="139"/>
      <c r="M88" s="139"/>
      <c r="N88" s="10"/>
      <c r="Q88" s="10"/>
    </row>
    <row r="89" spans="1:30" ht="18">
      <c r="A89" s="6"/>
      <c r="B89" s="136" t="s">
        <v>245</v>
      </c>
      <c r="C89" s="139"/>
      <c r="D89" s="139"/>
      <c r="E89" s="139"/>
      <c r="F89" s="139"/>
      <c r="G89" s="139"/>
      <c r="H89" s="139"/>
      <c r="I89" s="139"/>
      <c r="J89" s="139"/>
      <c r="K89" s="139"/>
      <c r="L89" s="139"/>
      <c r="M89" s="139"/>
      <c r="N89" s="10"/>
      <c r="Q89" s="10"/>
    </row>
    <row r="90" spans="1:30" ht="15" thickBot="1">
      <c r="A90" s="6"/>
      <c r="B90" s="139"/>
      <c r="C90" s="139"/>
      <c r="D90" s="139"/>
      <c r="E90" s="139"/>
      <c r="F90" s="139"/>
      <c r="G90" s="139"/>
      <c r="H90" s="139"/>
      <c r="I90" s="139"/>
      <c r="J90" s="139"/>
      <c r="K90" s="139"/>
      <c r="L90" s="139"/>
      <c r="M90" s="139"/>
      <c r="N90" s="10"/>
      <c r="Q90" s="10"/>
    </row>
    <row r="91" spans="1:30">
      <c r="A91" s="6"/>
      <c r="B91" s="153"/>
      <c r="C91" s="163" t="s">
        <v>246</v>
      </c>
      <c r="D91" s="163" t="s">
        <v>247</v>
      </c>
      <c r="E91" s="164" t="s">
        <v>248</v>
      </c>
      <c r="F91" s="139"/>
      <c r="G91" s="139"/>
      <c r="H91" s="139"/>
      <c r="I91" s="139"/>
      <c r="J91" s="10"/>
      <c r="K91" s="10"/>
      <c r="L91" s="10"/>
      <c r="N91"/>
      <c r="AA91" s="5"/>
      <c r="AD91"/>
    </row>
    <row r="92" spans="1:30">
      <c r="A92" s="6"/>
      <c r="B92" s="146" t="s">
        <v>249</v>
      </c>
      <c r="C92" s="147">
        <v>0</v>
      </c>
      <c r="D92" s="165">
        <v>0</v>
      </c>
      <c r="E92" s="166">
        <f>C92-D92</f>
        <v>0</v>
      </c>
      <c r="F92" s="139"/>
      <c r="G92" s="139"/>
      <c r="H92" s="139"/>
      <c r="I92" s="139"/>
      <c r="J92" s="10"/>
      <c r="K92" s="10"/>
      <c r="L92" s="10"/>
      <c r="N92"/>
      <c r="AA92" s="5"/>
      <c r="AD92"/>
    </row>
    <row r="93" spans="1:30" ht="15" thickBot="1">
      <c r="A93" s="6"/>
      <c r="B93" s="150" t="s">
        <v>314</v>
      </c>
      <c r="C93" s="151">
        <v>16</v>
      </c>
      <c r="D93" s="167">
        <v>16</v>
      </c>
      <c r="E93" s="166">
        <f>C93-D93</f>
        <v>0</v>
      </c>
      <c r="F93" s="139"/>
      <c r="G93" s="139"/>
      <c r="H93" s="139"/>
      <c r="I93" s="139"/>
      <c r="J93" s="10"/>
      <c r="K93" s="10"/>
      <c r="L93" s="10"/>
      <c r="N93"/>
      <c r="AA93" s="5"/>
      <c r="AD93"/>
    </row>
    <row r="94" spans="1:30">
      <c r="A94" s="6"/>
      <c r="B94" s="139" t="s">
        <v>356</v>
      </c>
      <c r="C94" s="139"/>
      <c r="D94" s="139"/>
      <c r="E94" s="139"/>
      <c r="F94" s="139"/>
      <c r="G94" s="139"/>
      <c r="H94" s="139"/>
      <c r="I94" s="139"/>
      <c r="J94" s="139"/>
      <c r="K94" s="139"/>
      <c r="L94" s="139"/>
      <c r="M94" s="139"/>
      <c r="N94" s="10"/>
      <c r="Q94" s="10"/>
    </row>
    <row r="95" spans="1:30">
      <c r="A95" s="6"/>
      <c r="B95" s="139"/>
      <c r="C95" s="139"/>
      <c r="D95" s="139"/>
      <c r="E95" s="139"/>
      <c r="F95" s="139"/>
      <c r="G95" s="139"/>
      <c r="H95" s="139"/>
      <c r="I95" s="139"/>
      <c r="J95" s="139"/>
      <c r="K95" s="139"/>
      <c r="L95" s="139"/>
      <c r="M95" s="139"/>
      <c r="N95" s="10"/>
      <c r="Q95" s="10"/>
    </row>
    <row r="96" spans="1:30" ht="18">
      <c r="A96" s="6"/>
      <c r="B96" s="136" t="s">
        <v>250</v>
      </c>
      <c r="C96" s="139"/>
      <c r="D96" s="139"/>
      <c r="E96" s="139"/>
      <c r="F96" s="139"/>
      <c r="G96" s="139"/>
      <c r="H96" s="139"/>
      <c r="I96" s="139"/>
      <c r="J96" s="139"/>
      <c r="K96" s="139"/>
      <c r="L96" s="139"/>
      <c r="M96" s="139"/>
      <c r="N96" s="10"/>
      <c r="Q96" s="10"/>
    </row>
    <row r="97" spans="1:17" ht="15" thickBot="1">
      <c r="A97" s="6"/>
      <c r="B97" s="139"/>
      <c r="C97" s="139"/>
      <c r="D97" s="139"/>
      <c r="E97" s="139"/>
      <c r="F97" s="139"/>
      <c r="G97" s="139"/>
      <c r="H97" s="139"/>
      <c r="I97" s="92"/>
      <c r="J97" s="92"/>
      <c r="K97" s="92"/>
      <c r="L97" s="92"/>
      <c r="M97" s="92"/>
      <c r="N97" s="49"/>
      <c r="Q97" s="10"/>
    </row>
    <row r="98" spans="1:17">
      <c r="A98" s="6"/>
      <c r="B98" s="168"/>
      <c r="C98" s="169" t="s">
        <v>16</v>
      </c>
      <c r="D98" s="169" t="s">
        <v>17</v>
      </c>
      <c r="E98" s="169" t="s">
        <v>18</v>
      </c>
      <c r="F98" s="169" t="s">
        <v>19</v>
      </c>
      <c r="G98" s="169" t="s">
        <v>20</v>
      </c>
      <c r="H98" s="169" t="s">
        <v>21</v>
      </c>
      <c r="I98" s="169" t="s">
        <v>22</v>
      </c>
      <c r="J98" s="169" t="s">
        <v>23</v>
      </c>
      <c r="K98" s="169" t="s">
        <v>207</v>
      </c>
      <c r="L98" s="169" t="s">
        <v>208</v>
      </c>
      <c r="M98" s="169" t="s">
        <v>209</v>
      </c>
      <c r="N98" s="170" t="s">
        <v>192</v>
      </c>
      <c r="Q98" s="10"/>
    </row>
    <row r="99" spans="1:17" ht="15" customHeight="1">
      <c r="A99" s="6"/>
      <c r="B99" s="171" t="s">
        <v>251</v>
      </c>
      <c r="C99" s="172">
        <v>928047.13</v>
      </c>
      <c r="D99" s="172">
        <v>0</v>
      </c>
      <c r="E99" s="172">
        <v>31826.77</v>
      </c>
      <c r="F99" s="172"/>
      <c r="G99" s="172"/>
      <c r="H99" s="172"/>
      <c r="I99" s="172"/>
      <c r="J99" s="172"/>
      <c r="K99" s="173"/>
      <c r="L99" s="173"/>
      <c r="M99" s="173"/>
      <c r="N99" s="173"/>
      <c r="Q99" s="10"/>
    </row>
    <row r="100" spans="1:17" ht="15" customHeight="1">
      <c r="A100" s="6"/>
      <c r="B100" s="171" t="s">
        <v>252</v>
      </c>
      <c r="C100" s="172">
        <v>0</v>
      </c>
      <c r="D100" s="172">
        <v>321963.14</v>
      </c>
      <c r="E100" s="172">
        <v>0</v>
      </c>
      <c r="F100" s="172"/>
      <c r="G100" s="172"/>
      <c r="H100" s="172"/>
      <c r="I100" s="172"/>
      <c r="J100" s="172"/>
      <c r="K100" s="173"/>
      <c r="L100" s="173"/>
      <c r="M100" s="173"/>
      <c r="N100" s="173"/>
      <c r="Q100" s="10"/>
    </row>
    <row r="101" spans="1:17" ht="15" customHeight="1">
      <c r="A101" s="6"/>
      <c r="B101" s="171" t="s">
        <v>253</v>
      </c>
      <c r="C101" s="172">
        <v>33385.26</v>
      </c>
      <c r="D101" s="172">
        <v>224955.9</v>
      </c>
      <c r="E101" s="172">
        <v>0</v>
      </c>
      <c r="F101" s="172">
        <v>0</v>
      </c>
      <c r="G101" s="172">
        <v>0</v>
      </c>
      <c r="H101" s="172"/>
      <c r="I101" s="172"/>
      <c r="J101" s="172"/>
      <c r="K101" s="173"/>
      <c r="L101" s="173"/>
      <c r="M101" s="173"/>
      <c r="N101" s="173"/>
      <c r="Q101" s="10"/>
    </row>
    <row r="102" spans="1:17" ht="15" customHeight="1">
      <c r="A102" s="6"/>
      <c r="B102" s="174" t="s">
        <v>254</v>
      </c>
      <c r="C102" s="175">
        <f>+C99</f>
        <v>928047.13</v>
      </c>
      <c r="D102" s="175">
        <f>+C102+D99</f>
        <v>928047.13</v>
      </c>
      <c r="E102" s="175">
        <f t="shared" ref="E102:L102" si="4">+D102+E99</f>
        <v>959873.9</v>
      </c>
      <c r="F102" s="175">
        <f t="shared" si="4"/>
        <v>959873.9</v>
      </c>
      <c r="G102" s="175">
        <f t="shared" si="4"/>
        <v>959873.9</v>
      </c>
      <c r="H102" s="175">
        <f t="shared" si="4"/>
        <v>959873.9</v>
      </c>
      <c r="I102" s="175">
        <f t="shared" si="4"/>
        <v>959873.9</v>
      </c>
      <c r="J102" s="175">
        <f t="shared" si="4"/>
        <v>959873.9</v>
      </c>
      <c r="K102" s="175">
        <f t="shared" si="4"/>
        <v>959873.9</v>
      </c>
      <c r="L102" s="175">
        <f t="shared" si="4"/>
        <v>959873.9</v>
      </c>
      <c r="M102" s="176">
        <f t="shared" ref="M102:N104" si="5">+L102+M99</f>
        <v>959873.9</v>
      </c>
      <c r="N102" s="176">
        <f t="shared" si="5"/>
        <v>959873.9</v>
      </c>
      <c r="Q102" s="10"/>
    </row>
    <row r="103" spans="1:17" ht="15" customHeight="1">
      <c r="A103" s="6"/>
      <c r="B103" s="174" t="s">
        <v>255</v>
      </c>
      <c r="C103" s="175">
        <f>+C100</f>
        <v>0</v>
      </c>
      <c r="D103" s="175">
        <f t="shared" ref="D103:L103" si="6">+C103+D100</f>
        <v>321963.14</v>
      </c>
      <c r="E103" s="175">
        <f>+D103+E100</f>
        <v>321963.14</v>
      </c>
      <c r="F103" s="175">
        <f t="shared" si="6"/>
        <v>321963.14</v>
      </c>
      <c r="G103" s="175">
        <f t="shared" si="6"/>
        <v>321963.14</v>
      </c>
      <c r="H103" s="175">
        <f t="shared" si="6"/>
        <v>321963.14</v>
      </c>
      <c r="I103" s="175">
        <f t="shared" si="6"/>
        <v>321963.14</v>
      </c>
      <c r="J103" s="175">
        <f t="shared" si="6"/>
        <v>321963.14</v>
      </c>
      <c r="K103" s="175">
        <f t="shared" si="6"/>
        <v>321963.14</v>
      </c>
      <c r="L103" s="175">
        <f t="shared" si="6"/>
        <v>321963.14</v>
      </c>
      <c r="M103" s="176">
        <f t="shared" si="5"/>
        <v>321963.14</v>
      </c>
      <c r="N103" s="176">
        <f t="shared" si="5"/>
        <v>321963.14</v>
      </c>
      <c r="Q103" s="10"/>
    </row>
    <row r="104" spans="1:17">
      <c r="A104" s="6"/>
      <c r="B104" s="177" t="s">
        <v>256</v>
      </c>
      <c r="C104" s="178">
        <f>+C101</f>
        <v>33385.26</v>
      </c>
      <c r="D104" s="175">
        <f t="shared" ref="D104:L104" si="7">+C104+D101</f>
        <v>258341.16</v>
      </c>
      <c r="E104" s="175">
        <f t="shared" si="7"/>
        <v>258341.16</v>
      </c>
      <c r="F104" s="175">
        <f t="shared" si="7"/>
        <v>258341.16</v>
      </c>
      <c r="G104" s="175">
        <f t="shared" si="7"/>
        <v>258341.16</v>
      </c>
      <c r="H104" s="175">
        <f t="shared" si="7"/>
        <v>258341.16</v>
      </c>
      <c r="I104" s="175">
        <f t="shared" si="7"/>
        <v>258341.16</v>
      </c>
      <c r="J104" s="175">
        <f t="shared" si="7"/>
        <v>258341.16</v>
      </c>
      <c r="K104" s="175">
        <f t="shared" si="7"/>
        <v>258341.16</v>
      </c>
      <c r="L104" s="175">
        <f t="shared" si="7"/>
        <v>258341.16</v>
      </c>
      <c r="M104" s="176">
        <f t="shared" si="5"/>
        <v>258341.16</v>
      </c>
      <c r="N104" s="176">
        <f t="shared" si="5"/>
        <v>258341.16</v>
      </c>
      <c r="Q104" s="10"/>
    </row>
    <row r="105" spans="1:17" ht="11.25" customHeight="1">
      <c r="A105" s="6"/>
      <c r="B105" s="6"/>
      <c r="C105" s="139"/>
      <c r="D105" s="139"/>
      <c r="E105" s="428"/>
      <c r="F105" s="139"/>
      <c r="G105" s="139"/>
      <c r="H105" s="139"/>
      <c r="I105" s="92"/>
      <c r="J105" s="179"/>
      <c r="K105" s="180"/>
      <c r="L105" s="92"/>
      <c r="M105" s="181"/>
      <c r="N105" s="49"/>
      <c r="Q105" s="10"/>
    </row>
    <row r="106" spans="1:17">
      <c r="A106" s="6"/>
      <c r="B106" s="497" t="s">
        <v>357</v>
      </c>
      <c r="C106" s="139"/>
      <c r="D106" s="139"/>
      <c r="E106" s="139"/>
      <c r="F106" s="139"/>
      <c r="G106" s="139"/>
      <c r="H106" s="139"/>
      <c r="I106" s="92"/>
      <c r="J106" s="179"/>
      <c r="K106" s="180"/>
      <c r="L106" s="92"/>
      <c r="M106" s="181"/>
      <c r="N106" s="49"/>
      <c r="Q106" s="10"/>
    </row>
    <row r="107" spans="1:17">
      <c r="A107" s="6"/>
      <c r="B107" s="5" t="s">
        <v>358</v>
      </c>
      <c r="C107" s="139"/>
      <c r="D107" s="139"/>
      <c r="E107" s="139"/>
      <c r="F107" s="139"/>
      <c r="G107" s="139"/>
      <c r="H107" s="139"/>
      <c r="I107" s="92"/>
      <c r="J107" s="179"/>
      <c r="K107" s="181"/>
      <c r="L107" s="92"/>
      <c r="M107" s="181"/>
      <c r="N107" s="49"/>
      <c r="Q107" s="10"/>
    </row>
    <row r="108" spans="1:17">
      <c r="A108" s="6"/>
      <c r="B108" s="6"/>
      <c r="C108" s="6"/>
      <c r="D108" s="6"/>
      <c r="E108" s="6"/>
      <c r="F108" s="6"/>
      <c r="G108" s="6"/>
      <c r="H108" s="6"/>
      <c r="I108" s="92"/>
      <c r="J108" s="92"/>
      <c r="K108" s="92"/>
      <c r="L108" s="92"/>
      <c r="M108" s="92"/>
      <c r="N108" s="49"/>
    </row>
    <row r="109" spans="1:17" ht="18">
      <c r="A109" s="6"/>
      <c r="B109" s="136" t="s">
        <v>257</v>
      </c>
      <c r="C109" s="6"/>
      <c r="D109" s="6"/>
      <c r="E109" s="6"/>
      <c r="F109" s="6"/>
      <c r="G109" s="6"/>
      <c r="H109" s="6"/>
      <c r="I109" s="92"/>
      <c r="J109" s="92"/>
      <c r="K109" s="92"/>
      <c r="L109" s="92"/>
      <c r="M109" s="92"/>
      <c r="N109" s="49"/>
    </row>
    <row r="110" spans="1:17" ht="15" thickBot="1">
      <c r="A110" s="6"/>
      <c r="B110" s="6"/>
      <c r="C110" s="92"/>
      <c r="D110" s="92"/>
      <c r="E110" s="92"/>
      <c r="F110" s="92"/>
      <c r="G110" s="139"/>
      <c r="H110" s="139"/>
      <c r="I110" s="139"/>
      <c r="J110" s="92"/>
      <c r="K110" s="139"/>
      <c r="L110" s="92"/>
      <c r="M110" s="92"/>
      <c r="N110" s="49"/>
      <c r="O110" s="10"/>
      <c r="Q110" s="49"/>
    </row>
    <row r="111" spans="1:17" ht="121.95" customHeight="1">
      <c r="A111" s="6"/>
      <c r="B111" s="435" t="s">
        <v>258</v>
      </c>
      <c r="C111" s="436" t="s">
        <v>259</v>
      </c>
      <c r="D111" s="437" t="s">
        <v>336</v>
      </c>
      <c r="E111" s="437" t="s">
        <v>348</v>
      </c>
      <c r="F111" s="438" t="s">
        <v>337</v>
      </c>
      <c r="G111" s="465" t="s">
        <v>338</v>
      </c>
      <c r="H111" s="460" t="s">
        <v>321</v>
      </c>
      <c r="I111" s="438" t="s">
        <v>339</v>
      </c>
      <c r="J111" s="460" t="s">
        <v>322</v>
      </c>
      <c r="K111" s="461" t="s">
        <v>260</v>
      </c>
      <c r="L111" s="139"/>
      <c r="M111" s="49"/>
      <c r="N111" s="49"/>
      <c r="P111" s="49"/>
    </row>
    <row r="112" spans="1:17" ht="29.4" customHeight="1" thickBot="1">
      <c r="A112" s="6"/>
      <c r="B112" s="595" t="s">
        <v>45</v>
      </c>
      <c r="C112" s="432" t="s">
        <v>324</v>
      </c>
      <c r="D112" s="430">
        <v>0</v>
      </c>
      <c r="E112" s="430">
        <v>96</v>
      </c>
      <c r="F112" s="478">
        <v>18230</v>
      </c>
      <c r="G112" s="471">
        <f>E112*F112</f>
        <v>1750080</v>
      </c>
      <c r="H112" s="633">
        <v>7026192</v>
      </c>
      <c r="I112" s="636">
        <f>IF(AND((G112+G113+G114)&gt;0,H112&gt;0),H112/(G112+G113+G114),"")*6</f>
        <v>9.199195234250551</v>
      </c>
      <c r="J112" s="639">
        <v>5</v>
      </c>
      <c r="K112" s="642">
        <f>IF(AND(I112&gt;0,J112&gt;0),I112-J112,"")</f>
        <v>4.199195234250551</v>
      </c>
      <c r="L112" s="583"/>
      <c r="M112" s="583"/>
      <c r="N112" s="49"/>
      <c r="P112" s="49"/>
    </row>
    <row r="113" spans="1:17" ht="29.4" thickBot="1">
      <c r="A113" s="6"/>
      <c r="B113" s="595"/>
      <c r="C113" s="432" t="s">
        <v>325</v>
      </c>
      <c r="D113" s="430">
        <v>0</v>
      </c>
      <c r="E113" s="430">
        <v>266</v>
      </c>
      <c r="F113" s="478">
        <v>9766</v>
      </c>
      <c r="G113" s="471">
        <f>E113*F113</f>
        <v>2597756</v>
      </c>
      <c r="H113" s="634"/>
      <c r="I113" s="637" t="e">
        <f>IF(AND(G113&gt;0,H113&gt;0),H113/G113,"")*12</f>
        <v>#VALUE!</v>
      </c>
      <c r="J113" s="640"/>
      <c r="K113" s="643"/>
      <c r="L113" s="583"/>
      <c r="M113" s="583"/>
      <c r="N113" s="49"/>
      <c r="P113" s="49"/>
    </row>
    <row r="114" spans="1:17" ht="31.95" customHeight="1" thickBot="1">
      <c r="A114" s="6"/>
      <c r="B114" s="595"/>
      <c r="C114" s="432" t="s">
        <v>326</v>
      </c>
      <c r="D114" s="430">
        <v>0</v>
      </c>
      <c r="E114" s="430">
        <v>144</v>
      </c>
      <c r="F114" s="478">
        <v>1631</v>
      </c>
      <c r="G114" s="471">
        <f>E114*F114</f>
        <v>234864</v>
      </c>
      <c r="H114" s="635"/>
      <c r="I114" s="638" t="e">
        <f>IF(AND(G114&gt;0,H114&gt;0),H114/G114,"")*12</f>
        <v>#VALUE!</v>
      </c>
      <c r="J114" s="641"/>
      <c r="K114" s="644"/>
      <c r="L114" s="583"/>
      <c r="M114" s="583"/>
      <c r="N114" s="49"/>
      <c r="P114" s="49"/>
    </row>
    <row r="115" spans="1:17" ht="29.4" thickBot="1">
      <c r="A115" s="6"/>
      <c r="B115" s="595"/>
      <c r="C115" s="432" t="s">
        <v>320</v>
      </c>
      <c r="D115" s="464">
        <v>0</v>
      </c>
      <c r="E115" s="430">
        <v>9</v>
      </c>
      <c r="F115" s="478">
        <v>9766</v>
      </c>
      <c r="G115" s="471">
        <f>E115*F115</f>
        <v>87894</v>
      </c>
      <c r="H115" s="472">
        <v>92700</v>
      </c>
      <c r="I115" s="473">
        <f>IF(AND(G115&gt;0,H115&gt;0),H115/G115,"")*6</f>
        <v>6.3280770018431296</v>
      </c>
      <c r="J115" s="474">
        <v>5</v>
      </c>
      <c r="K115" s="475">
        <f>IF(AND(I115&gt;0,J115&gt;0),I115-J115,"")</f>
        <v>1.3280770018431296</v>
      </c>
      <c r="L115" s="139"/>
      <c r="M115" s="49"/>
      <c r="N115" s="49"/>
    </row>
    <row r="116" spans="1:17" ht="15" thickBot="1">
      <c r="A116" s="6"/>
      <c r="B116" s="595"/>
      <c r="C116" s="432" t="s">
        <v>327</v>
      </c>
      <c r="D116" s="430">
        <v>0</v>
      </c>
      <c r="E116" s="430">
        <v>1</v>
      </c>
      <c r="F116" s="478">
        <v>6165</v>
      </c>
      <c r="G116" s="476">
        <f>IF(AND(E116&gt;0,F116&gt;0),(F116*E116),"")</f>
        <v>6165</v>
      </c>
      <c r="H116" s="472">
        <v>6800</v>
      </c>
      <c r="I116" s="473">
        <f>IF(AND(G116&gt;0,H116&gt;0),H116/G116,"")*12</f>
        <v>13.236009732360095</v>
      </c>
      <c r="J116" s="474">
        <v>5</v>
      </c>
      <c r="K116" s="475">
        <f>IF(AND(I116&gt;0,J116&gt;0),I116-J116,"")</f>
        <v>8.2360097323600954</v>
      </c>
      <c r="L116" s="139"/>
      <c r="M116" s="49"/>
      <c r="N116" s="49"/>
    </row>
    <row r="117" spans="1:17" ht="15" thickBot="1">
      <c r="A117" s="6"/>
      <c r="B117" s="595"/>
      <c r="C117" s="433" t="s">
        <v>328</v>
      </c>
      <c r="D117" s="430">
        <v>0</v>
      </c>
      <c r="E117" s="430">
        <v>7</v>
      </c>
      <c r="F117" s="478">
        <v>18230</v>
      </c>
      <c r="G117" s="471">
        <f>E117*F117</f>
        <v>127610</v>
      </c>
      <c r="H117" s="603">
        <v>316061</v>
      </c>
      <c r="I117" s="600">
        <f>IF(AND((G117+G118+G119)&gt;0,H117&gt;0),H117/(G117+G118+G119),"")*6</f>
        <v>8.237798812352576</v>
      </c>
      <c r="J117" s="592">
        <v>5</v>
      </c>
      <c r="K117" s="597">
        <f>IF(AND(I117&gt;0,J117&gt;0),I117-J117,"")</f>
        <v>3.237798812352576</v>
      </c>
      <c r="L117" s="139"/>
      <c r="M117" s="49"/>
      <c r="N117" s="49"/>
      <c r="P117" s="49"/>
    </row>
    <row r="118" spans="1:17" ht="21" customHeight="1" thickBot="1">
      <c r="A118" s="6"/>
      <c r="B118" s="595"/>
      <c r="C118" s="433" t="s">
        <v>329</v>
      </c>
      <c r="D118" s="430">
        <v>0</v>
      </c>
      <c r="E118" s="431">
        <v>8</v>
      </c>
      <c r="F118" s="478">
        <v>9766</v>
      </c>
      <c r="G118" s="471">
        <f>E118*F118</f>
        <v>78128</v>
      </c>
      <c r="H118" s="604"/>
      <c r="I118" s="601"/>
      <c r="J118" s="593"/>
      <c r="K118" s="598"/>
      <c r="L118" s="139"/>
      <c r="M118" s="429"/>
      <c r="N118" s="49"/>
      <c r="P118" s="49"/>
    </row>
    <row r="119" spans="1:17" ht="31.2" customHeight="1" thickBot="1">
      <c r="A119" s="6"/>
      <c r="B119" s="595"/>
      <c r="C119" s="433" t="s">
        <v>330</v>
      </c>
      <c r="D119" s="430">
        <v>0</v>
      </c>
      <c r="E119" s="431">
        <v>15</v>
      </c>
      <c r="F119" s="478">
        <v>1631</v>
      </c>
      <c r="G119" s="471">
        <f>E119*F119</f>
        <v>24465</v>
      </c>
      <c r="H119" s="605"/>
      <c r="I119" s="602"/>
      <c r="J119" s="594"/>
      <c r="K119" s="599"/>
      <c r="L119" s="139"/>
      <c r="M119" s="429"/>
      <c r="N119" s="49"/>
      <c r="P119" s="49"/>
    </row>
    <row r="120" spans="1:17" ht="29.4" thickBot="1">
      <c r="A120" s="6"/>
      <c r="B120" s="595"/>
      <c r="C120" s="434" t="s">
        <v>331</v>
      </c>
      <c r="D120" s="430">
        <v>0</v>
      </c>
      <c r="E120" s="431">
        <v>26</v>
      </c>
      <c r="F120" s="478">
        <v>18230</v>
      </c>
      <c r="G120" s="471">
        <f>E120*F120</f>
        <v>473980</v>
      </c>
      <c r="H120" s="586">
        <v>1075278</v>
      </c>
      <c r="I120" s="588">
        <f>IF(AND((G117+G118)&gt;0,H117&gt;0),H117/(G117+G118),"")*6</f>
        <v>9.2173832738725956</v>
      </c>
      <c r="J120" s="590">
        <v>5</v>
      </c>
      <c r="K120" s="606">
        <f>IF(AND(I120&gt;0,J120&gt;0),I120-J120,"")</f>
        <v>4.2173832738725956</v>
      </c>
      <c r="L120" s="139"/>
      <c r="M120" s="49"/>
      <c r="N120" s="49"/>
      <c r="P120" s="49"/>
    </row>
    <row r="121" spans="1:17" ht="15" thickBot="1">
      <c r="A121" s="6"/>
      <c r="B121" s="595"/>
      <c r="C121" s="434" t="s">
        <v>332</v>
      </c>
      <c r="D121" s="430">
        <v>0</v>
      </c>
      <c r="E121" s="431">
        <v>26</v>
      </c>
      <c r="F121" s="478">
        <v>9766</v>
      </c>
      <c r="G121" s="471">
        <f>E121*F121</f>
        <v>253916</v>
      </c>
      <c r="H121" s="587"/>
      <c r="I121" s="589"/>
      <c r="J121" s="591"/>
      <c r="K121" s="607"/>
      <c r="L121" s="139"/>
      <c r="M121" s="49"/>
      <c r="N121" s="49"/>
      <c r="P121" s="49"/>
    </row>
    <row r="122" spans="1:17" ht="15" thickBot="1">
      <c r="A122" s="6"/>
      <c r="B122" s="596"/>
      <c r="C122" s="439"/>
      <c r="D122" s="440"/>
      <c r="E122" s="440"/>
      <c r="F122" s="479"/>
      <c r="G122" s="477"/>
      <c r="H122" s="488"/>
      <c r="I122" s="489"/>
      <c r="J122" s="490"/>
      <c r="K122" s="498"/>
      <c r="L122" s="139"/>
      <c r="M122" s="49"/>
      <c r="N122" s="49"/>
      <c r="P122" s="49"/>
    </row>
    <row r="123" spans="1:17" ht="4.5" customHeight="1">
      <c r="A123" s="6"/>
      <c r="B123" s="467"/>
      <c r="C123" s="467"/>
      <c r="D123" s="182"/>
      <c r="E123" s="6"/>
      <c r="F123" s="6"/>
      <c r="G123" s="139"/>
      <c r="H123" s="139"/>
      <c r="I123" s="139"/>
      <c r="J123" s="6"/>
      <c r="K123" s="6"/>
      <c r="L123" s="139"/>
      <c r="M123" s="139"/>
      <c r="N123" s="49"/>
      <c r="O123" s="10"/>
      <c r="Q123" s="49"/>
    </row>
    <row r="124" spans="1:17" ht="45.6" customHeight="1">
      <c r="A124" s="6"/>
      <c r="B124" s="582" t="s">
        <v>386</v>
      </c>
      <c r="C124" s="582"/>
      <c r="D124" s="582"/>
      <c r="E124" s="582"/>
      <c r="L124" s="6"/>
      <c r="M124" s="6"/>
    </row>
    <row r="125" spans="1:17" ht="18.600000000000001" thickBot="1">
      <c r="A125" s="6"/>
      <c r="B125" s="183" t="s">
        <v>265</v>
      </c>
      <c r="C125" s="184"/>
      <c r="D125" s="184"/>
      <c r="E125" s="185"/>
      <c r="F125" s="185"/>
      <c r="G125" s="185"/>
      <c r="H125" s="186"/>
      <c r="I125" s="187"/>
      <c r="J125" s="188"/>
      <c r="K125" s="189" t="s">
        <v>266</v>
      </c>
      <c r="L125" s="185"/>
      <c r="M125" s="190"/>
      <c r="N125" s="191"/>
      <c r="O125" s="5"/>
    </row>
    <row r="126" spans="1:17" ht="15" thickBot="1">
      <c r="A126" s="6"/>
      <c r="B126" s="6"/>
      <c r="C126" s="6"/>
      <c r="D126" s="6"/>
      <c r="E126" s="6"/>
      <c r="F126" s="6"/>
      <c r="G126" s="6"/>
      <c r="H126" s="6"/>
      <c r="I126" s="6"/>
      <c r="J126" s="6"/>
      <c r="K126" s="6"/>
      <c r="L126" s="6"/>
      <c r="M126" s="6"/>
      <c r="N126"/>
      <c r="O126" s="5"/>
    </row>
    <row r="127" spans="1:17" ht="26.4">
      <c r="A127" s="6"/>
      <c r="B127" s="614" t="s">
        <v>267</v>
      </c>
      <c r="C127" s="614"/>
      <c r="D127" s="614"/>
      <c r="E127" s="192" t="s">
        <v>268</v>
      </c>
      <c r="F127" s="193" t="s">
        <v>269</v>
      </c>
      <c r="G127" s="194"/>
      <c r="H127" s="195" t="s">
        <v>16</v>
      </c>
      <c r="I127" s="195" t="s">
        <v>17</v>
      </c>
      <c r="J127" s="195" t="s">
        <v>18</v>
      </c>
      <c r="K127" s="195" t="s">
        <v>19</v>
      </c>
      <c r="L127" s="195" t="s">
        <v>20</v>
      </c>
      <c r="M127" s="195" t="s">
        <v>21</v>
      </c>
      <c r="N127" s="195" t="s">
        <v>22</v>
      </c>
      <c r="O127" s="195" t="s">
        <v>23</v>
      </c>
      <c r="P127" s="195" t="s">
        <v>207</v>
      </c>
      <c r="Q127" s="195" t="s">
        <v>208</v>
      </c>
    </row>
    <row r="128" spans="1:17">
      <c r="A128" s="6"/>
      <c r="B128" s="196"/>
      <c r="C128" s="197"/>
      <c r="D128" s="197"/>
      <c r="E128" s="198"/>
      <c r="F128" s="199"/>
      <c r="G128" s="200"/>
      <c r="H128" s="401"/>
      <c r="I128" s="401"/>
      <c r="J128" s="401"/>
      <c r="K128" s="401"/>
      <c r="L128" s="401"/>
      <c r="M128" s="401"/>
      <c r="N128" s="401"/>
      <c r="O128" s="401"/>
      <c r="P128" s="401"/>
      <c r="Q128" s="402"/>
    </row>
    <row r="129" spans="1:17" ht="15" customHeight="1">
      <c r="A129" s="566" t="s">
        <v>270</v>
      </c>
      <c r="B129" s="567" t="s">
        <v>315</v>
      </c>
      <c r="C129" s="568"/>
      <c r="D129" s="569"/>
      <c r="E129" s="573" t="s">
        <v>318</v>
      </c>
      <c r="F129" s="584" t="s">
        <v>271</v>
      </c>
      <c r="G129" s="410" t="s">
        <v>272</v>
      </c>
      <c r="H129" s="201">
        <v>18118</v>
      </c>
      <c r="I129" s="201"/>
      <c r="J129" s="201"/>
      <c r="K129" s="404"/>
      <c r="L129" s="202"/>
      <c r="M129" s="403"/>
      <c r="N129" s="412"/>
      <c r="O129" s="412"/>
      <c r="P129" s="405"/>
      <c r="Q129" s="405"/>
    </row>
    <row r="130" spans="1:17">
      <c r="A130" s="566"/>
      <c r="B130" s="570"/>
      <c r="C130" s="571"/>
      <c r="D130" s="572"/>
      <c r="E130" s="574"/>
      <c r="F130" s="585"/>
      <c r="G130" s="410" t="s">
        <v>273</v>
      </c>
      <c r="H130" s="201">
        <v>18230</v>
      </c>
      <c r="I130" s="201"/>
      <c r="J130" s="201"/>
      <c r="K130" s="404"/>
      <c r="L130" s="201"/>
      <c r="M130" s="403"/>
      <c r="N130" s="412"/>
      <c r="O130" s="412"/>
      <c r="P130" s="405"/>
      <c r="Q130" s="405"/>
    </row>
    <row r="131" spans="1:17" ht="15" customHeight="1">
      <c r="A131" s="566"/>
      <c r="B131" s="608" t="s">
        <v>316</v>
      </c>
      <c r="C131" s="609"/>
      <c r="D131" s="610"/>
      <c r="E131" s="573" t="s">
        <v>318</v>
      </c>
      <c r="F131" s="584" t="s">
        <v>271</v>
      </c>
      <c r="G131" s="411" t="s">
        <v>272</v>
      </c>
      <c r="H131" s="201">
        <v>9714</v>
      </c>
      <c r="I131" s="201"/>
      <c r="J131" s="201"/>
      <c r="K131" s="404"/>
      <c r="L131" s="201"/>
      <c r="M131" s="403"/>
      <c r="N131" s="413"/>
      <c r="O131" s="413"/>
      <c r="P131" s="406"/>
      <c r="Q131" s="406"/>
    </row>
    <row r="132" spans="1:17">
      <c r="A132" s="566"/>
      <c r="B132" s="611"/>
      <c r="C132" s="612"/>
      <c r="D132" s="613"/>
      <c r="E132" s="574"/>
      <c r="F132" s="585"/>
      <c r="G132" s="411" t="s">
        <v>273</v>
      </c>
      <c r="H132" s="201">
        <v>9766</v>
      </c>
      <c r="I132" s="201"/>
      <c r="J132" s="201"/>
      <c r="K132" s="404"/>
      <c r="L132" s="201"/>
      <c r="M132" s="403"/>
      <c r="N132" s="413"/>
      <c r="O132" s="413"/>
      <c r="P132" s="406"/>
      <c r="Q132" s="406"/>
    </row>
    <row r="133" spans="1:17" ht="15" customHeight="1">
      <c r="A133" s="566"/>
      <c r="B133" s="567" t="s">
        <v>317</v>
      </c>
      <c r="C133" s="568"/>
      <c r="D133" s="569"/>
      <c r="E133" s="573" t="s">
        <v>318</v>
      </c>
      <c r="F133" s="584" t="s">
        <v>271</v>
      </c>
      <c r="G133" s="410" t="s">
        <v>272</v>
      </c>
      <c r="H133" s="201">
        <v>1615</v>
      </c>
      <c r="I133" s="201"/>
      <c r="J133" s="201"/>
      <c r="K133" s="404"/>
      <c r="L133" s="201"/>
      <c r="M133" s="403"/>
      <c r="N133" s="412"/>
      <c r="O133" s="412"/>
      <c r="P133" s="405"/>
      <c r="Q133" s="405"/>
    </row>
    <row r="134" spans="1:17">
      <c r="A134" s="566"/>
      <c r="B134" s="570"/>
      <c r="C134" s="571"/>
      <c r="D134" s="572"/>
      <c r="E134" s="574"/>
      <c r="F134" s="585"/>
      <c r="G134" s="410" t="s">
        <v>273</v>
      </c>
      <c r="H134" s="201">
        <v>1631</v>
      </c>
      <c r="I134" s="201"/>
      <c r="J134" s="201"/>
      <c r="K134" s="404"/>
      <c r="L134" s="201"/>
      <c r="M134" s="408"/>
      <c r="N134" s="412"/>
      <c r="O134" s="412"/>
      <c r="P134" s="405"/>
      <c r="Q134" s="405"/>
    </row>
    <row r="135" spans="1:17" ht="15" customHeight="1">
      <c r="A135" s="6"/>
      <c r="B135" s="608" t="s">
        <v>369</v>
      </c>
      <c r="C135" s="609"/>
      <c r="D135" s="610"/>
      <c r="E135" s="573" t="s">
        <v>319</v>
      </c>
      <c r="F135" s="584" t="s">
        <v>271</v>
      </c>
      <c r="G135" s="411" t="s">
        <v>272</v>
      </c>
      <c r="H135" s="201">
        <v>7572</v>
      </c>
      <c r="I135" s="201"/>
      <c r="J135" s="201"/>
      <c r="K135" s="404"/>
      <c r="L135" s="201"/>
      <c r="M135" s="403"/>
      <c r="N135" s="412"/>
      <c r="O135" s="412"/>
      <c r="P135" s="406"/>
      <c r="Q135" s="406"/>
    </row>
    <row r="136" spans="1:17">
      <c r="A136" s="6"/>
      <c r="B136" s="611"/>
      <c r="C136" s="612"/>
      <c r="D136" s="613"/>
      <c r="E136" s="574"/>
      <c r="F136" s="585"/>
      <c r="G136" s="411" t="s">
        <v>273</v>
      </c>
      <c r="H136" s="201">
        <v>7603</v>
      </c>
      <c r="I136" s="201"/>
      <c r="J136" s="201"/>
      <c r="K136" s="404"/>
      <c r="L136" s="201"/>
      <c r="M136" s="408"/>
      <c r="N136" s="412"/>
      <c r="O136" s="412"/>
      <c r="P136" s="406"/>
      <c r="Q136" s="406"/>
    </row>
    <row r="137" spans="1:17" ht="15" customHeight="1">
      <c r="A137" s="6"/>
      <c r="B137" s="615" t="s">
        <v>345</v>
      </c>
      <c r="C137" s="616"/>
      <c r="D137" s="617"/>
      <c r="E137" s="573" t="s">
        <v>319</v>
      </c>
      <c r="F137" s="584" t="s">
        <v>271</v>
      </c>
      <c r="G137" s="410" t="s">
        <v>272</v>
      </c>
      <c r="H137" s="201">
        <v>4080</v>
      </c>
      <c r="I137" s="201"/>
      <c r="J137" s="201"/>
      <c r="K137" s="404"/>
      <c r="L137" s="201"/>
      <c r="M137" s="403"/>
      <c r="N137" s="412"/>
      <c r="O137" s="412"/>
      <c r="P137" s="405"/>
      <c r="Q137" s="405"/>
    </row>
    <row r="138" spans="1:17">
      <c r="A138" s="6"/>
      <c r="B138" s="618"/>
      <c r="C138" s="619"/>
      <c r="D138" s="620"/>
      <c r="E138" s="574"/>
      <c r="F138" s="585"/>
      <c r="G138" s="410" t="s">
        <v>273</v>
      </c>
      <c r="H138" s="201">
        <v>4107</v>
      </c>
      <c r="I138" s="201"/>
      <c r="J138" s="201"/>
      <c r="K138" s="404"/>
      <c r="L138" s="201"/>
      <c r="M138" s="408"/>
      <c r="N138" s="412"/>
      <c r="O138" s="412"/>
      <c r="P138" s="405"/>
      <c r="Q138" s="405"/>
    </row>
    <row r="139" spans="1:17" ht="15" customHeight="1">
      <c r="A139" s="6"/>
      <c r="B139" s="615" t="s">
        <v>346</v>
      </c>
      <c r="C139" s="616"/>
      <c r="D139" s="617"/>
      <c r="E139" s="573" t="s">
        <v>319</v>
      </c>
      <c r="F139" s="584" t="s">
        <v>271</v>
      </c>
      <c r="G139" s="411" t="s">
        <v>272</v>
      </c>
      <c r="H139" s="201">
        <v>678</v>
      </c>
      <c r="I139" s="201"/>
      <c r="J139" s="201"/>
      <c r="K139" s="404"/>
      <c r="L139" s="201"/>
      <c r="M139" s="403"/>
      <c r="N139" s="414"/>
      <c r="O139" s="414"/>
      <c r="P139" s="407"/>
      <c r="Q139" s="407"/>
    </row>
    <row r="140" spans="1:17">
      <c r="A140" s="6"/>
      <c r="B140" s="618"/>
      <c r="C140" s="619"/>
      <c r="D140" s="620"/>
      <c r="E140" s="574"/>
      <c r="F140" s="585"/>
      <c r="G140" s="411" t="s">
        <v>273</v>
      </c>
      <c r="H140" s="201">
        <v>676</v>
      </c>
      <c r="I140" s="201"/>
      <c r="J140" s="201"/>
      <c r="K140" s="404"/>
      <c r="L140" s="201"/>
      <c r="M140" s="403"/>
      <c r="N140" s="414"/>
      <c r="O140" s="414"/>
      <c r="P140" s="407"/>
      <c r="Q140" s="407"/>
    </row>
    <row r="141" spans="1:17" ht="14.25" customHeight="1">
      <c r="A141" s="6"/>
      <c r="B141" s="567"/>
      <c r="C141" s="568"/>
      <c r="D141" s="569"/>
      <c r="E141" s="573"/>
      <c r="F141" s="584" t="s">
        <v>271</v>
      </c>
      <c r="G141" s="410" t="s">
        <v>272</v>
      </c>
      <c r="H141" s="201"/>
      <c r="I141" s="201"/>
      <c r="J141" s="201"/>
      <c r="K141" s="404"/>
      <c r="L141" s="201"/>
      <c r="M141" s="403"/>
      <c r="N141" s="413"/>
      <c r="O141" s="413"/>
      <c r="P141" s="405"/>
      <c r="Q141" s="405"/>
    </row>
    <row r="142" spans="1:17">
      <c r="A142" s="6"/>
      <c r="B142" s="570"/>
      <c r="C142" s="571"/>
      <c r="D142" s="572"/>
      <c r="E142" s="574"/>
      <c r="F142" s="585"/>
      <c r="G142" s="410" t="s">
        <v>273</v>
      </c>
      <c r="H142" s="201"/>
      <c r="I142" s="201"/>
      <c r="J142" s="201"/>
      <c r="K142" s="404"/>
      <c r="L142" s="201"/>
      <c r="M142" s="403"/>
      <c r="N142" s="413"/>
      <c r="O142" s="413"/>
      <c r="P142" s="405"/>
      <c r="Q142" s="405"/>
    </row>
    <row r="143" spans="1:17" ht="14.25" customHeight="1">
      <c r="A143" s="6"/>
      <c r="B143" s="567"/>
      <c r="C143" s="568"/>
      <c r="D143" s="569"/>
      <c r="E143" s="573"/>
      <c r="F143" s="584" t="s">
        <v>271</v>
      </c>
      <c r="G143" s="411" t="s">
        <v>272</v>
      </c>
      <c r="H143" s="201"/>
      <c r="I143" s="201"/>
      <c r="J143" s="201"/>
      <c r="K143" s="404"/>
      <c r="L143" s="201"/>
      <c r="M143" s="403"/>
      <c r="N143" s="412"/>
      <c r="O143" s="412"/>
      <c r="P143" s="407"/>
      <c r="Q143" s="407"/>
    </row>
    <row r="144" spans="1:17">
      <c r="A144" s="6"/>
      <c r="B144" s="570"/>
      <c r="C144" s="571"/>
      <c r="D144" s="572"/>
      <c r="E144" s="574"/>
      <c r="F144" s="585"/>
      <c r="G144" s="411" t="s">
        <v>273</v>
      </c>
      <c r="H144" s="201"/>
      <c r="I144" s="201"/>
      <c r="J144" s="201"/>
      <c r="K144" s="404"/>
      <c r="L144" s="201"/>
      <c r="M144" s="408"/>
      <c r="N144" s="412"/>
      <c r="O144" s="412"/>
      <c r="P144" s="407"/>
      <c r="Q144" s="407"/>
    </row>
    <row r="145" spans="1:17" ht="14.25" customHeight="1">
      <c r="A145" s="6"/>
      <c r="B145" s="567"/>
      <c r="C145" s="568"/>
      <c r="D145" s="569"/>
      <c r="E145" s="573"/>
      <c r="F145" s="584" t="s">
        <v>271</v>
      </c>
      <c r="G145" s="410" t="s">
        <v>272</v>
      </c>
      <c r="H145" s="201"/>
      <c r="I145" s="201"/>
      <c r="J145" s="201"/>
      <c r="K145" s="404"/>
      <c r="L145" s="202"/>
      <c r="M145" s="403"/>
      <c r="N145" s="412"/>
      <c r="O145" s="412"/>
      <c r="P145" s="405"/>
      <c r="Q145" s="405"/>
    </row>
    <row r="146" spans="1:17">
      <c r="A146" s="6"/>
      <c r="B146" s="570"/>
      <c r="C146" s="571"/>
      <c r="D146" s="572"/>
      <c r="E146" s="574"/>
      <c r="F146" s="585"/>
      <c r="G146" s="410" t="s">
        <v>273</v>
      </c>
      <c r="H146" s="201"/>
      <c r="I146" s="201"/>
      <c r="J146" s="201"/>
      <c r="K146" s="404"/>
      <c r="L146" s="202"/>
      <c r="M146" s="408"/>
      <c r="N146" s="412"/>
      <c r="O146" s="412"/>
      <c r="P146" s="405"/>
      <c r="Q146" s="405"/>
    </row>
    <row r="147" spans="1:17" ht="14.25" customHeight="1">
      <c r="A147" s="6"/>
      <c r="B147" s="627"/>
      <c r="C147" s="628"/>
      <c r="D147" s="629"/>
      <c r="E147" s="573"/>
      <c r="F147" s="584" t="s">
        <v>271</v>
      </c>
      <c r="G147" s="411" t="s">
        <v>272</v>
      </c>
      <c r="H147" s="201"/>
      <c r="I147" s="201"/>
      <c r="J147" s="201"/>
      <c r="K147" s="404"/>
      <c r="L147" s="201"/>
      <c r="M147" s="403"/>
      <c r="N147" s="414"/>
      <c r="O147" s="414"/>
      <c r="P147" s="407"/>
      <c r="Q147" s="407"/>
    </row>
    <row r="148" spans="1:17">
      <c r="A148" s="6"/>
      <c r="B148" s="630"/>
      <c r="C148" s="631"/>
      <c r="D148" s="632"/>
      <c r="E148" s="574"/>
      <c r="F148" s="585"/>
      <c r="G148" s="411" t="s">
        <v>273</v>
      </c>
      <c r="H148" s="201"/>
      <c r="I148" s="201"/>
      <c r="J148" s="201"/>
      <c r="K148" s="404"/>
      <c r="L148" s="201"/>
      <c r="M148" s="408"/>
      <c r="N148" s="414"/>
      <c r="O148" s="414"/>
      <c r="P148" s="407"/>
      <c r="Q148" s="407"/>
    </row>
    <row r="149" spans="1:17" ht="15" customHeight="1">
      <c r="A149" s="6"/>
      <c r="B149" s="621"/>
      <c r="C149" s="622"/>
      <c r="D149" s="623"/>
      <c r="E149" s="573"/>
      <c r="F149" s="584" t="s">
        <v>271</v>
      </c>
      <c r="G149" s="410" t="s">
        <v>272</v>
      </c>
      <c r="H149" s="201"/>
      <c r="I149" s="201"/>
      <c r="J149" s="201"/>
      <c r="K149" s="404"/>
      <c r="L149" s="201"/>
      <c r="M149" s="403"/>
      <c r="N149" s="414"/>
      <c r="O149" s="414"/>
      <c r="P149" s="407"/>
      <c r="Q149" s="407"/>
    </row>
    <row r="150" spans="1:17">
      <c r="A150" s="6"/>
      <c r="B150" s="624"/>
      <c r="C150" s="625"/>
      <c r="D150" s="626"/>
      <c r="E150" s="574"/>
      <c r="F150" s="585"/>
      <c r="G150" s="410" t="s">
        <v>273</v>
      </c>
      <c r="H150" s="201"/>
      <c r="I150" s="201"/>
      <c r="J150" s="201"/>
      <c r="K150" s="404"/>
      <c r="L150" s="201"/>
      <c r="M150" s="408"/>
      <c r="N150" s="414"/>
      <c r="O150" s="414"/>
      <c r="P150" s="407"/>
      <c r="Q150" s="407"/>
    </row>
    <row r="151" spans="1:17" ht="15" customHeight="1">
      <c r="A151" s="6"/>
      <c r="B151" s="608"/>
      <c r="C151" s="609"/>
      <c r="D151" s="610"/>
      <c r="E151" s="573"/>
      <c r="F151" s="584" t="s">
        <v>271</v>
      </c>
      <c r="G151" s="411" t="s">
        <v>272</v>
      </c>
      <c r="H151" s="201"/>
      <c r="I151" s="201"/>
      <c r="J151" s="201"/>
      <c r="K151" s="404"/>
      <c r="L151" s="201"/>
      <c r="M151" s="403"/>
      <c r="N151" s="414"/>
      <c r="O151" s="414"/>
      <c r="P151" s="407"/>
      <c r="Q151" s="407"/>
    </row>
    <row r="152" spans="1:17">
      <c r="A152" s="6"/>
      <c r="B152" s="611"/>
      <c r="C152" s="612"/>
      <c r="D152" s="613"/>
      <c r="E152" s="574"/>
      <c r="F152" s="585"/>
      <c r="G152" s="411" t="s">
        <v>273</v>
      </c>
      <c r="H152" s="201"/>
      <c r="I152" s="201"/>
      <c r="J152" s="201"/>
      <c r="K152" s="404"/>
      <c r="L152" s="201"/>
      <c r="M152" s="403"/>
      <c r="N152" s="412"/>
      <c r="O152" s="412"/>
      <c r="P152" s="407"/>
      <c r="Q152" s="407"/>
    </row>
    <row r="153" spans="1:17" ht="15" customHeight="1">
      <c r="A153" s="6"/>
      <c r="B153" s="621"/>
      <c r="C153" s="622"/>
      <c r="D153" s="623"/>
      <c r="E153" s="573"/>
      <c r="F153" s="584" t="s">
        <v>271</v>
      </c>
      <c r="G153" s="410" t="s">
        <v>272</v>
      </c>
      <c r="H153" s="201"/>
      <c r="I153" s="201"/>
      <c r="J153" s="201"/>
      <c r="K153" s="404"/>
      <c r="L153" s="201"/>
      <c r="M153" s="403"/>
      <c r="N153" s="412"/>
      <c r="O153" s="412"/>
      <c r="P153" s="407"/>
      <c r="Q153" s="407"/>
    </row>
    <row r="154" spans="1:17">
      <c r="A154" s="6"/>
      <c r="B154" s="624"/>
      <c r="C154" s="625"/>
      <c r="D154" s="626"/>
      <c r="E154" s="574"/>
      <c r="F154" s="585"/>
      <c r="G154" s="410" t="s">
        <v>273</v>
      </c>
      <c r="H154" s="201"/>
      <c r="I154" s="201"/>
      <c r="J154" s="201"/>
      <c r="K154" s="404"/>
      <c r="L154" s="201"/>
      <c r="M154" s="408"/>
      <c r="N154" s="412"/>
      <c r="O154" s="412"/>
      <c r="P154" s="407"/>
      <c r="Q154" s="407"/>
    </row>
    <row r="155" spans="1:17" ht="15" customHeight="1">
      <c r="A155" s="6"/>
      <c r="B155" s="608"/>
      <c r="C155" s="609"/>
      <c r="D155" s="610"/>
      <c r="E155" s="573"/>
      <c r="F155" s="584" t="s">
        <v>271</v>
      </c>
      <c r="G155" s="411" t="s">
        <v>272</v>
      </c>
      <c r="H155" s="201"/>
      <c r="I155" s="201"/>
      <c r="J155" s="201"/>
      <c r="K155" s="404"/>
      <c r="L155" s="201"/>
      <c r="M155" s="403"/>
      <c r="N155" s="414"/>
      <c r="O155" s="414"/>
      <c r="P155" s="407"/>
      <c r="Q155" s="407"/>
    </row>
    <row r="156" spans="1:17">
      <c r="A156" s="6"/>
      <c r="B156" s="611"/>
      <c r="C156" s="612"/>
      <c r="D156" s="613"/>
      <c r="E156" s="574"/>
      <c r="F156" s="585"/>
      <c r="G156" s="411" t="s">
        <v>273</v>
      </c>
      <c r="H156" s="201"/>
      <c r="I156" s="201"/>
      <c r="J156" s="201"/>
      <c r="K156" s="404"/>
      <c r="L156" s="201"/>
      <c r="M156" s="408"/>
      <c r="N156" s="414"/>
      <c r="O156" s="414"/>
      <c r="P156" s="407"/>
      <c r="Q156" s="407"/>
    </row>
    <row r="157" spans="1:17" ht="15" customHeight="1">
      <c r="A157" s="6"/>
      <c r="B157" s="621"/>
      <c r="C157" s="622"/>
      <c r="D157" s="623"/>
      <c r="E157" s="573"/>
      <c r="F157" s="584" t="s">
        <v>271</v>
      </c>
      <c r="G157" s="410" t="s">
        <v>272</v>
      </c>
      <c r="H157" s="201"/>
      <c r="I157" s="201"/>
      <c r="J157" s="201"/>
      <c r="K157" s="404"/>
      <c r="L157" s="201"/>
      <c r="M157" s="409"/>
      <c r="N157" s="413"/>
      <c r="O157" s="413"/>
      <c r="P157" s="407"/>
      <c r="Q157" s="407"/>
    </row>
    <row r="158" spans="1:17">
      <c r="A158" s="6"/>
      <c r="B158" s="624"/>
      <c r="C158" s="625"/>
      <c r="D158" s="626"/>
      <c r="E158" s="574"/>
      <c r="F158" s="585"/>
      <c r="G158" s="410" t="s">
        <v>273</v>
      </c>
      <c r="H158" s="201"/>
      <c r="I158" s="201"/>
      <c r="J158" s="201"/>
      <c r="K158" s="404"/>
      <c r="L158" s="201"/>
      <c r="M158" s="409"/>
      <c r="N158" s="413"/>
      <c r="O158" s="413"/>
      <c r="P158" s="407"/>
      <c r="Q158" s="407"/>
    </row>
    <row r="159" spans="1:17" ht="15" customHeight="1">
      <c r="A159" s="6"/>
      <c r="B159" s="608"/>
      <c r="C159" s="609"/>
      <c r="D159" s="610"/>
      <c r="E159" s="573"/>
      <c r="F159" s="584" t="s">
        <v>271</v>
      </c>
      <c r="G159" s="411" t="s">
        <v>272</v>
      </c>
      <c r="H159" s="201"/>
      <c r="I159" s="201"/>
      <c r="J159" s="201"/>
      <c r="K159" s="404"/>
      <c r="L159" s="201"/>
      <c r="M159" s="409"/>
      <c r="N159" s="414"/>
      <c r="O159" s="414"/>
      <c r="P159" s="407"/>
      <c r="Q159" s="407"/>
    </row>
    <row r="160" spans="1:17">
      <c r="A160" s="6"/>
      <c r="B160" s="611"/>
      <c r="C160" s="612"/>
      <c r="D160" s="613"/>
      <c r="E160" s="574"/>
      <c r="F160" s="585"/>
      <c r="G160" s="411" t="s">
        <v>273</v>
      </c>
      <c r="H160" s="201"/>
      <c r="I160" s="201"/>
      <c r="J160" s="201"/>
      <c r="K160" s="404"/>
      <c r="L160" s="201"/>
      <c r="M160" s="409"/>
      <c r="N160" s="414"/>
      <c r="O160" s="414"/>
      <c r="P160" s="407"/>
      <c r="Q160" s="407"/>
    </row>
    <row r="161" spans="1:17">
      <c r="A161" s="6"/>
      <c r="B161" s="6"/>
      <c r="C161" s="6"/>
      <c r="D161" s="6"/>
      <c r="E161" s="6"/>
      <c r="F161" s="6"/>
      <c r="G161" s="139"/>
      <c r="H161" s="6"/>
      <c r="I161" s="6"/>
      <c r="J161" s="6"/>
      <c r="K161" s="6"/>
      <c r="L161" s="6"/>
      <c r="M161" s="6"/>
      <c r="N161" s="6"/>
      <c r="P161" s="5"/>
      <c r="Q161" s="5"/>
    </row>
    <row r="162" spans="1:17">
      <c r="A162" s="6"/>
      <c r="B162" s="6" t="s">
        <v>361</v>
      </c>
      <c r="C162" s="6"/>
      <c r="D162" s="6"/>
      <c r="E162" s="6"/>
      <c r="F162" s="6"/>
      <c r="G162" s="139"/>
      <c r="H162" s="6"/>
      <c r="I162" s="6"/>
      <c r="J162" s="6"/>
      <c r="K162" s="6"/>
      <c r="L162" s="6"/>
      <c r="M162" s="6"/>
      <c r="N162" s="6"/>
      <c r="P162" s="5"/>
      <c r="Q162" s="5"/>
    </row>
    <row r="163" spans="1:17">
      <c r="A163" s="6"/>
      <c r="B163" s="6" t="s">
        <v>362</v>
      </c>
      <c r="C163" s="6"/>
      <c r="D163" s="6"/>
      <c r="E163" s="6"/>
      <c r="F163" s="6"/>
      <c r="G163" s="139"/>
      <c r="H163" s="6"/>
      <c r="I163" s="6"/>
      <c r="J163" s="6"/>
      <c r="K163" s="6"/>
      <c r="L163" s="6"/>
      <c r="M163" s="6"/>
      <c r="N163" s="6"/>
      <c r="P163" s="5"/>
      <c r="Q163" s="5"/>
    </row>
    <row r="164" spans="1:17" ht="14.25" customHeight="1">
      <c r="A164" s="6"/>
      <c r="B164" s="6" t="s">
        <v>364</v>
      </c>
      <c r="C164" s="6"/>
      <c r="D164" s="6"/>
      <c r="E164" s="6"/>
      <c r="F164" s="6"/>
      <c r="G164" s="139"/>
      <c r="H164" s="6"/>
      <c r="I164" s="6"/>
      <c r="J164" s="6"/>
      <c r="K164" s="6"/>
      <c r="L164" s="6"/>
      <c r="M164" s="6"/>
      <c r="N164" s="6"/>
      <c r="P164" s="5"/>
      <c r="Q164" s="5"/>
    </row>
    <row r="165" spans="1:17" ht="16.2" thickBot="1">
      <c r="A165" s="6"/>
      <c r="B165" s="203" t="s">
        <v>363</v>
      </c>
      <c r="C165" s="6"/>
      <c r="D165" s="6"/>
      <c r="E165" s="6"/>
      <c r="F165" s="6"/>
      <c r="G165" s="139"/>
      <c r="H165" s="6"/>
      <c r="I165" s="6"/>
      <c r="J165" s="6"/>
      <c r="K165" s="6"/>
      <c r="L165" s="6"/>
      <c r="M165" s="6"/>
      <c r="N165" s="6"/>
      <c r="P165" s="5"/>
      <c r="Q165" s="5"/>
    </row>
    <row r="166" spans="1:17" ht="26.4">
      <c r="A166" s="6"/>
      <c r="B166" s="204" t="s">
        <v>274</v>
      </c>
      <c r="C166" s="6"/>
      <c r="D166" s="6"/>
      <c r="E166" s="205" t="s">
        <v>268</v>
      </c>
      <c r="F166" s="206" t="s">
        <v>269</v>
      </c>
      <c r="G166" s="194"/>
      <c r="H166" s="195" t="str">
        <f t="shared" ref="H166:N166" si="8">C30</f>
        <v>P1</v>
      </c>
      <c r="I166" s="195" t="str">
        <f t="shared" si="8"/>
        <v>P2</v>
      </c>
      <c r="J166" s="195" t="str">
        <f t="shared" si="8"/>
        <v>P3</v>
      </c>
      <c r="K166" s="195" t="str">
        <f t="shared" si="8"/>
        <v>P4</v>
      </c>
      <c r="L166" s="195" t="str">
        <f t="shared" si="8"/>
        <v>P5</v>
      </c>
      <c r="M166" s="195" t="str">
        <f t="shared" si="8"/>
        <v>P6</v>
      </c>
      <c r="N166" s="195" t="str">
        <f t="shared" si="8"/>
        <v>P7</v>
      </c>
      <c r="O166" s="195" t="str">
        <f>L30</f>
        <v>P10</v>
      </c>
      <c r="P166" s="195" t="str">
        <f>M30</f>
        <v>P11</v>
      </c>
      <c r="Q166" s="195" t="str">
        <f>N30</f>
        <v>P12</v>
      </c>
    </row>
    <row r="167" spans="1:17" ht="14.25" customHeight="1" thickBot="1">
      <c r="A167" s="6"/>
      <c r="B167" s="648" t="str">
        <f>IF(ISBLANK(B129),"",(B129))</f>
        <v>% Y Número de personas HSH alcanzadas con el paquete básico de prevención de VIH</v>
      </c>
      <c r="C167" s="648"/>
      <c r="D167" s="648"/>
      <c r="E167" s="646" t="str">
        <f>IF(ISBLANK(E129),"",(E129))</f>
        <v>TOP TEN</v>
      </c>
      <c r="F167" s="647" t="str">
        <f>IF(ISBLANK(F129),"",(F129))</f>
        <v>Yes</v>
      </c>
      <c r="G167" s="207" t="s">
        <v>272</v>
      </c>
      <c r="H167" s="208">
        <f t="shared" ref="H167:H172" si="9">H129</f>
        <v>18118</v>
      </c>
      <c r="I167" s="208">
        <f t="shared" ref="I167:I172" si="10">+I129</f>
        <v>0</v>
      </c>
      <c r="J167" s="208">
        <f t="shared" ref="J167:J172" si="11">J135</f>
        <v>0</v>
      </c>
      <c r="K167" s="208">
        <f t="shared" ref="K167:K172" si="12">+K129</f>
        <v>0</v>
      </c>
      <c r="L167" s="208">
        <f t="shared" ref="L167:L172" si="13">L135</f>
        <v>0</v>
      </c>
      <c r="M167" s="208">
        <f t="shared" ref="M167:M172" si="14">+M129</f>
        <v>0</v>
      </c>
      <c r="N167" s="209">
        <f t="shared" ref="N167:Q172" si="15">N129</f>
        <v>0</v>
      </c>
      <c r="O167" s="209">
        <f t="shared" si="15"/>
        <v>0</v>
      </c>
      <c r="P167" s="209">
        <f t="shared" si="15"/>
        <v>0</v>
      </c>
      <c r="Q167" s="209">
        <f t="shared" si="15"/>
        <v>0</v>
      </c>
    </row>
    <row r="168" spans="1:17" ht="15" thickBot="1">
      <c r="A168" s="6"/>
      <c r="B168" s="648"/>
      <c r="C168" s="648"/>
      <c r="D168" s="648"/>
      <c r="E168" s="646"/>
      <c r="F168" s="647"/>
      <c r="G168" s="210" t="s">
        <v>273</v>
      </c>
      <c r="H168" s="208">
        <f t="shared" si="9"/>
        <v>18230</v>
      </c>
      <c r="I168" s="208">
        <f t="shared" si="10"/>
        <v>0</v>
      </c>
      <c r="J168" s="208">
        <f t="shared" si="11"/>
        <v>0</v>
      </c>
      <c r="K168" s="208">
        <f t="shared" si="12"/>
        <v>0</v>
      </c>
      <c r="L168" s="208">
        <f t="shared" si="13"/>
        <v>0</v>
      </c>
      <c r="M168" s="208">
        <f t="shared" si="14"/>
        <v>0</v>
      </c>
      <c r="N168" s="209">
        <f t="shared" si="15"/>
        <v>0</v>
      </c>
      <c r="O168" s="209">
        <f t="shared" si="15"/>
        <v>0</v>
      </c>
      <c r="P168" s="209">
        <f t="shared" si="15"/>
        <v>0</v>
      </c>
      <c r="Q168" s="209">
        <f t="shared" si="15"/>
        <v>0</v>
      </c>
    </row>
    <row r="169" spans="1:17" ht="15" thickBot="1">
      <c r="A169" s="6"/>
      <c r="B169" s="649" t="str">
        <f>IF(ISBLANK(B131),"",(B131))</f>
        <v>% Y Número de personas TS alcanzadas con el paquete básico de prevención de VIH</v>
      </c>
      <c r="C169" s="649"/>
      <c r="D169" s="649"/>
      <c r="E169" s="650" t="str">
        <f>IF(ISBLANK(E131),"",(E131))</f>
        <v>TOP TEN</v>
      </c>
      <c r="F169" s="651" t="str">
        <f>IF(ISBLANK(F131),"",(F131))</f>
        <v>Yes</v>
      </c>
      <c r="G169" s="211" t="s">
        <v>272</v>
      </c>
      <c r="H169" s="208">
        <f t="shared" si="9"/>
        <v>9714</v>
      </c>
      <c r="I169" s="208">
        <f t="shared" si="10"/>
        <v>0</v>
      </c>
      <c r="J169" s="208">
        <f t="shared" si="11"/>
        <v>0</v>
      </c>
      <c r="K169" s="208">
        <f t="shared" si="12"/>
        <v>0</v>
      </c>
      <c r="L169" s="208">
        <f t="shared" si="13"/>
        <v>0</v>
      </c>
      <c r="M169" s="208">
        <f t="shared" si="14"/>
        <v>0</v>
      </c>
      <c r="N169" s="212">
        <f t="shared" si="15"/>
        <v>0</v>
      </c>
      <c r="O169" s="212">
        <f t="shared" si="15"/>
        <v>0</v>
      </c>
      <c r="P169" s="212">
        <f t="shared" si="15"/>
        <v>0</v>
      </c>
      <c r="Q169" s="212">
        <f t="shared" si="15"/>
        <v>0</v>
      </c>
    </row>
    <row r="170" spans="1:17" ht="14.25" customHeight="1" thickBot="1">
      <c r="A170" s="6"/>
      <c r="B170" s="649"/>
      <c r="C170" s="649"/>
      <c r="D170" s="649"/>
      <c r="E170" s="650"/>
      <c r="F170" s="651"/>
      <c r="G170" s="211" t="s">
        <v>273</v>
      </c>
      <c r="H170" s="208">
        <f t="shared" si="9"/>
        <v>9766</v>
      </c>
      <c r="I170" s="208">
        <f t="shared" si="10"/>
        <v>0</v>
      </c>
      <c r="J170" s="208">
        <f t="shared" si="11"/>
        <v>0</v>
      </c>
      <c r="K170" s="208">
        <f t="shared" si="12"/>
        <v>0</v>
      </c>
      <c r="L170" s="208">
        <f t="shared" si="13"/>
        <v>0</v>
      </c>
      <c r="M170" s="208">
        <f t="shared" si="14"/>
        <v>0</v>
      </c>
      <c r="N170" s="212">
        <f t="shared" si="15"/>
        <v>0</v>
      </c>
      <c r="O170" s="212">
        <f t="shared" si="15"/>
        <v>0</v>
      </c>
      <c r="P170" s="212">
        <f t="shared" si="15"/>
        <v>0</v>
      </c>
      <c r="Q170" s="212">
        <f t="shared" si="15"/>
        <v>0</v>
      </c>
    </row>
    <row r="171" spans="1:17" ht="14.25" customHeight="1" thickBot="1">
      <c r="A171" s="6"/>
      <c r="B171" s="645" t="str">
        <f>IF(ISBLANK(B133),"",(B133))</f>
        <v>% Y Número de personas TRANS alcanzadas con el paquete básico de prevención de VIH</v>
      </c>
      <c r="C171" s="645"/>
      <c r="D171" s="645"/>
      <c r="E171" s="646" t="str">
        <f>IF(ISBLANK(E133),"",(E133))</f>
        <v>TOP TEN</v>
      </c>
      <c r="F171" s="647" t="str">
        <f>IF(ISBLANK(F133),"",(F133))</f>
        <v>Yes</v>
      </c>
      <c r="G171" s="210" t="s">
        <v>272</v>
      </c>
      <c r="H171" s="208">
        <f t="shared" si="9"/>
        <v>1615</v>
      </c>
      <c r="I171" s="208">
        <f t="shared" si="10"/>
        <v>0</v>
      </c>
      <c r="J171" s="208">
        <f t="shared" si="11"/>
        <v>0</v>
      </c>
      <c r="K171" s="208">
        <f t="shared" si="12"/>
        <v>0</v>
      </c>
      <c r="L171" s="208">
        <f t="shared" si="13"/>
        <v>0</v>
      </c>
      <c r="M171" s="208">
        <f t="shared" si="14"/>
        <v>0</v>
      </c>
      <c r="N171" s="209">
        <f t="shared" si="15"/>
        <v>0</v>
      </c>
      <c r="O171" s="209">
        <f t="shared" si="15"/>
        <v>0</v>
      </c>
      <c r="P171" s="209">
        <f t="shared" si="15"/>
        <v>0</v>
      </c>
      <c r="Q171" s="209">
        <f t="shared" si="15"/>
        <v>0</v>
      </c>
    </row>
    <row r="172" spans="1:17" ht="15" customHeight="1" thickBot="1">
      <c r="A172" s="6"/>
      <c r="B172" s="645"/>
      <c r="C172" s="645"/>
      <c r="D172" s="645"/>
      <c r="E172" s="646"/>
      <c r="F172" s="647"/>
      <c r="G172" s="213" t="s">
        <v>273</v>
      </c>
      <c r="H172" s="214">
        <f t="shared" si="9"/>
        <v>1631</v>
      </c>
      <c r="I172" s="208">
        <f t="shared" si="10"/>
        <v>0</v>
      </c>
      <c r="J172" s="214">
        <f t="shared" si="11"/>
        <v>0</v>
      </c>
      <c r="K172" s="208">
        <f t="shared" si="12"/>
        <v>0</v>
      </c>
      <c r="L172" s="214">
        <f t="shared" si="13"/>
        <v>0</v>
      </c>
      <c r="M172" s="208">
        <f t="shared" si="14"/>
        <v>0</v>
      </c>
      <c r="N172" s="209">
        <f t="shared" si="15"/>
        <v>0</v>
      </c>
      <c r="O172" s="209">
        <f t="shared" si="15"/>
        <v>0</v>
      </c>
      <c r="P172" s="209">
        <f t="shared" si="15"/>
        <v>0</v>
      </c>
      <c r="Q172" s="209">
        <f t="shared" si="15"/>
        <v>0</v>
      </c>
    </row>
  </sheetData>
  <sheetProtection selectLockedCells="1" selectUnlockedCells="1"/>
  <mergeCells count="105">
    <mergeCell ref="H112:H114"/>
    <mergeCell ref="I112:I114"/>
    <mergeCell ref="J112:J114"/>
    <mergeCell ref="K112:K114"/>
    <mergeCell ref="B171:D172"/>
    <mergeCell ref="E171:E172"/>
    <mergeCell ref="F171:F172"/>
    <mergeCell ref="B167:D168"/>
    <mergeCell ref="E167:E168"/>
    <mergeCell ref="F167:F168"/>
    <mergeCell ref="B169:D170"/>
    <mergeCell ref="E169:E170"/>
    <mergeCell ref="F169:F170"/>
    <mergeCell ref="B157:D158"/>
    <mergeCell ref="E157:E158"/>
    <mergeCell ref="F157:F158"/>
    <mergeCell ref="B159:D160"/>
    <mergeCell ref="E159:E160"/>
    <mergeCell ref="F159:F160"/>
    <mergeCell ref="B153:D154"/>
    <mergeCell ref="E153:E154"/>
    <mergeCell ref="F153:F154"/>
    <mergeCell ref="B155:D156"/>
    <mergeCell ref="E155:E156"/>
    <mergeCell ref="F155:F156"/>
    <mergeCell ref="B149:D150"/>
    <mergeCell ref="E149:E150"/>
    <mergeCell ref="F149:F150"/>
    <mergeCell ref="B151:D152"/>
    <mergeCell ref="E151:E152"/>
    <mergeCell ref="F151:F152"/>
    <mergeCell ref="B145:D146"/>
    <mergeCell ref="E145:E146"/>
    <mergeCell ref="F145:F146"/>
    <mergeCell ref="B147:D148"/>
    <mergeCell ref="E147:E148"/>
    <mergeCell ref="F147:F148"/>
    <mergeCell ref="B143:D144"/>
    <mergeCell ref="E143:E144"/>
    <mergeCell ref="F143:F144"/>
    <mergeCell ref="B137:D138"/>
    <mergeCell ref="E137:E138"/>
    <mergeCell ref="F137:F138"/>
    <mergeCell ref="B139:D140"/>
    <mergeCell ref="E139:E140"/>
    <mergeCell ref="F139:F140"/>
    <mergeCell ref="B135:D136"/>
    <mergeCell ref="E135:E136"/>
    <mergeCell ref="F135:F136"/>
    <mergeCell ref="F129:F130"/>
    <mergeCell ref="B131:D132"/>
    <mergeCell ref="E131:E132"/>
    <mergeCell ref="F131:F132"/>
    <mergeCell ref="B127:D127"/>
    <mergeCell ref="B141:D142"/>
    <mergeCell ref="E141:E142"/>
    <mergeCell ref="F141:F142"/>
    <mergeCell ref="A129:A134"/>
    <mergeCell ref="B129:D130"/>
    <mergeCell ref="E129:E130"/>
    <mergeCell ref="B133:D134"/>
    <mergeCell ref="E133:E134"/>
    <mergeCell ref="B75:C75"/>
    <mergeCell ref="D59:D60"/>
    <mergeCell ref="B76:C76"/>
    <mergeCell ref="B26:C26"/>
    <mergeCell ref="B29:N29"/>
    <mergeCell ref="F47:I47"/>
    <mergeCell ref="B63:D63"/>
    <mergeCell ref="B124:E124"/>
    <mergeCell ref="L112:M114"/>
    <mergeCell ref="F133:F134"/>
    <mergeCell ref="H120:H121"/>
    <mergeCell ref="I120:I121"/>
    <mergeCell ref="J120:J121"/>
    <mergeCell ref="J117:J119"/>
    <mergeCell ref="B112:B122"/>
    <mergeCell ref="K117:K119"/>
    <mergeCell ref="I117:I119"/>
    <mergeCell ref="H117:H119"/>
    <mergeCell ref="K120:K121"/>
    <mergeCell ref="H16:I16"/>
    <mergeCell ref="B18:C18"/>
    <mergeCell ref="D18:F18"/>
    <mergeCell ref="B21:J21"/>
    <mergeCell ref="B74:C74"/>
    <mergeCell ref="B14:J14"/>
    <mergeCell ref="B2:J2"/>
    <mergeCell ref="C4:D4"/>
    <mergeCell ref="E4:F4"/>
    <mergeCell ref="G4:J4"/>
    <mergeCell ref="C10:D10"/>
    <mergeCell ref="E10:F10"/>
    <mergeCell ref="G10:J10"/>
    <mergeCell ref="C6:D6"/>
    <mergeCell ref="E6:F6"/>
    <mergeCell ref="I6:J6"/>
    <mergeCell ref="C8:D8"/>
    <mergeCell ref="I8:J8"/>
    <mergeCell ref="C12:D12"/>
    <mergeCell ref="E12:F12"/>
    <mergeCell ref="G12:J12"/>
    <mergeCell ref="D24:E24"/>
    <mergeCell ref="G24:H24"/>
    <mergeCell ref="I24:J24"/>
  </mergeCells>
  <phoneticPr fontId="71" type="noConversion"/>
  <conditionalFormatting sqref="B34 B32 C33:N33">
    <cfRule type="expression" dxfId="38" priority="6" stopIfTrue="1">
      <formula>+AND(B31&gt;=#REF!,B31&lt;=#REF!)</formula>
    </cfRule>
  </conditionalFormatting>
  <conditionalFormatting sqref="C34:N34">
    <cfRule type="expression" dxfId="37" priority="7" stopIfTrue="1">
      <formula>+AND(C32&gt;=#REF!,C32&lt;=#REF!)</formula>
    </cfRule>
  </conditionalFormatting>
  <conditionalFormatting sqref="C30:N30 C98:N98">
    <cfRule type="cellIs" dxfId="36" priority="8"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66:Q166 H127:Q128 H153:J153 L153:M153">
    <cfRule type="cellIs" dxfId="32" priority="12" stopIfTrue="1" operator="equal">
      <formula>$C$16</formula>
    </cfRule>
  </conditionalFormatting>
  <conditionalFormatting sqref="F47:I47">
    <cfRule type="expression" dxfId="31" priority="13" stopIfTrue="1">
      <formula>LEFT($F$47,2)="OK"</formula>
    </cfRule>
  </conditionalFormatting>
  <conditionalFormatting sqref="L153 H153:J153">
    <cfRule type="cellIs" dxfId="30" priority="5" stopIfTrue="1" operator="equal">
      <formula>$C$16</formula>
    </cfRule>
  </conditionalFormatting>
  <dataValidations count="9">
    <dataValidation type="list" allowBlank="1" showErrorMessage="1" sqref="G6 B112:B114">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2:C122">
      <formula1>Medicaments</formula1>
      <formula2>0</formula2>
    </dataValidation>
  </dataValidations>
  <pageMargins left="0.70833333333333337" right="0.70833333333333337" top="0.74791666666666667" bottom="0.74861111111111112" header="0.51180555555555551" footer="0.31527777777777777"/>
  <pageSetup paperSize="9" firstPageNumber="0" fitToHeight="8" orientation="landscape" horizontalDpi="300" verticalDpi="300" r:id="rId1"/>
  <headerFooter alignWithMargins="0">
    <oddFooter>&amp;L&amp;F&amp;C&amp;A&amp;R&amp;D</oddFooter>
  </headerFooter>
  <rowBreaks count="1" manualBreakCount="1">
    <brk id="48"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O34"/>
  <sheetViews>
    <sheetView showGridLines="0" topLeftCell="A25" zoomScale="120" zoomScaleNormal="120" workbookViewId="0">
      <selection activeCell="F37" sqref="F37"/>
    </sheetView>
  </sheetViews>
  <sheetFormatPr baseColWidth="10" defaultColWidth="9.109375" defaultRowHeight="14.4"/>
  <cols>
    <col min="1" max="1" width="3.5546875" customWidth="1"/>
    <col min="2" max="2" width="11.33203125" customWidth="1"/>
    <col min="3" max="3" width="5.109375" customWidth="1"/>
    <col min="4" max="4" width="12.44140625" customWidth="1"/>
    <col min="5" max="5" width="11.44140625" customWidth="1"/>
    <col min="6" max="6" width="28" customWidth="1"/>
    <col min="7" max="7" width="3.88671875" customWidth="1"/>
    <col min="8" max="8" width="14" customWidth="1"/>
    <col min="9" max="9" width="15.88671875" customWidth="1"/>
    <col min="10" max="10" width="13.88671875" customWidth="1"/>
    <col min="11" max="11" width="17" customWidth="1"/>
    <col min="12" max="12" width="3.6640625" customWidth="1"/>
    <col min="14" max="14" width="12.44140625" bestFit="1" customWidth="1"/>
  </cols>
  <sheetData>
    <row r="1" spans="2:15" ht="30.75" customHeight="1">
      <c r="B1" s="6"/>
      <c r="C1" s="6"/>
      <c r="D1" s="6"/>
      <c r="E1" s="6"/>
      <c r="F1" s="6"/>
      <c r="G1" s="6"/>
      <c r="H1" s="6"/>
      <c r="I1" s="6"/>
      <c r="J1" s="6"/>
      <c r="K1" s="6"/>
    </row>
    <row r="2" spans="2:15" ht="27.75" customHeight="1">
      <c r="B2" s="553" t="str">
        <f>+"Cuadro de mando:  "&amp;"  "&amp;+'Introducción de datos'!C4&amp;" - "&amp;'Introducción de datos'!G6</f>
        <v>Cuadro de mando:    El Salvador - VIH / SIDA</v>
      </c>
      <c r="C2" s="553"/>
      <c r="D2" s="553"/>
      <c r="E2" s="553"/>
      <c r="F2" s="553"/>
      <c r="G2" s="553"/>
      <c r="H2" s="553"/>
      <c r="I2" s="553"/>
      <c r="J2" s="553"/>
      <c r="K2" s="553"/>
      <c r="L2" s="245"/>
      <c r="M2" s="245"/>
      <c r="N2" s="502">
        <f>4235392-2781615.94</f>
        <v>1453776.06</v>
      </c>
      <c r="O2" s="245"/>
    </row>
    <row r="3" spans="2:15">
      <c r="B3" s="246" t="str">
        <f>+'Introducción de datos'!G8</f>
        <v>Seleccionar</v>
      </c>
      <c r="C3" s="668" t="str">
        <f>+'Introducción de datos'!I8</f>
        <v>Seleccionar</v>
      </c>
      <c r="D3" s="668"/>
      <c r="E3" s="669"/>
      <c r="F3" s="669"/>
      <c r="G3" s="669"/>
      <c r="H3" s="669"/>
      <c r="I3" s="670" t="str">
        <f>+'Introducción de datos'!B16</f>
        <v>Periodo:</v>
      </c>
      <c r="J3" s="670"/>
      <c r="K3" s="248" t="str">
        <f>+'Introducción de datos'!C16</f>
        <v>P2</v>
      </c>
      <c r="L3" s="249"/>
      <c r="N3" s="501">
        <v>262723.06</v>
      </c>
    </row>
    <row r="4" spans="2:15">
      <c r="B4" s="246" t="str">
        <f>+'Introducción de datos'!B12</f>
        <v>Ultima calificación:</v>
      </c>
      <c r="C4" s="672" t="str">
        <f>+'Introducción de datos'!C12</f>
        <v>A1</v>
      </c>
      <c r="D4" s="672"/>
      <c r="E4" s="669" t="str">
        <f>+'Introducción de datos'!C8</f>
        <v>PLAN  INTERNACIONAL</v>
      </c>
      <c r="F4" s="669"/>
      <c r="G4" s="669"/>
      <c r="H4" s="669"/>
      <c r="I4" s="670" t="str">
        <f>+'Introducción de datos'!D16</f>
        <v>Desde:</v>
      </c>
      <c r="J4" s="670"/>
      <c r="K4" s="250">
        <f>+'Introducción de datos'!E16</f>
        <v>42736</v>
      </c>
      <c r="N4" s="501">
        <v>31877.19</v>
      </c>
    </row>
    <row r="5" spans="2:15" ht="18.75" customHeight="1">
      <c r="B5" s="246"/>
      <c r="C5" s="246"/>
      <c r="D5" s="673" t="str">
        <f>+'Introducción de datos'!G4</f>
        <v>INNOVANDO SERVICIOS, REDUCIENDO RIESGOS, RENOVANDO VIDAS EN EL SALVADOR</v>
      </c>
      <c r="E5" s="673"/>
      <c r="F5" s="673"/>
      <c r="G5" s="673"/>
      <c r="H5" s="673"/>
      <c r="I5" s="673"/>
      <c r="J5" s="246" t="str">
        <f>+'Introducción de datos'!F16</f>
        <v>Hasta:</v>
      </c>
      <c r="K5" s="250">
        <f>+'Introducción de datos'!G16</f>
        <v>43100</v>
      </c>
      <c r="N5" s="501">
        <v>286.55</v>
      </c>
    </row>
    <row r="6" spans="2:15" ht="18">
      <c r="B6" s="251"/>
      <c r="C6" s="246"/>
      <c r="D6" s="252"/>
      <c r="E6" s="671" t="s">
        <v>283</v>
      </c>
      <c r="F6" s="671"/>
      <c r="G6" s="671"/>
      <c r="H6" s="671"/>
      <c r="I6" s="6"/>
      <c r="J6" s="6"/>
      <c r="K6" s="6"/>
    </row>
    <row r="7" spans="2:15" ht="10.5" customHeight="1">
      <c r="B7" s="253"/>
      <c r="C7" s="247"/>
      <c r="D7" s="252"/>
      <c r="E7" s="254"/>
      <c r="F7" s="254"/>
      <c r="G7" s="255"/>
      <c r="H7" s="255"/>
      <c r="I7" s="256"/>
      <c r="J7" s="256"/>
      <c r="K7" s="257"/>
    </row>
    <row r="8" spans="2:15">
      <c r="B8" s="258" t="str">
        <f>+'Introducción de datos'!B27&amp;" - en ("&amp;'Introducción de datos'!D26&amp;")         "&amp;+I3&amp;" "&amp;+K3</f>
        <v>F1: Presupuesto y desembolsos del Fondo Mundial - en ($)         Periodo: P2</v>
      </c>
      <c r="C8" s="259"/>
      <c r="D8" s="139"/>
      <c r="E8" s="139"/>
      <c r="F8" s="139"/>
      <c r="H8" s="258" t="str">
        <f>+'Introducción de datos'!B49&amp;" - en ("&amp;'Introducción de datos'!D26&amp;")         "&amp;+I3&amp;" "&amp;+K3</f>
        <v>F3: Desembolsos y gastos - en ($)         Periodo: P2</v>
      </c>
      <c r="I8" s="6"/>
      <c r="J8" s="6"/>
      <c r="K8" s="6"/>
    </row>
    <row r="9" spans="2:15" ht="126.75" customHeight="1">
      <c r="B9" s="421" t="s">
        <v>284</v>
      </c>
      <c r="C9" s="652" t="s">
        <v>374</v>
      </c>
      <c r="D9" s="652"/>
      <c r="E9" s="652"/>
      <c r="F9" s="652"/>
      <c r="H9" s="420" t="s">
        <v>284</v>
      </c>
      <c r="I9" s="657" t="s">
        <v>376</v>
      </c>
      <c r="J9" s="658"/>
      <c r="K9" s="658"/>
      <c r="L9" s="658"/>
      <c r="M9" s="658"/>
      <c r="N9" s="658"/>
      <c r="O9" s="658"/>
    </row>
    <row r="10" spans="2:15" ht="12.75" customHeight="1">
      <c r="B10" s="139"/>
      <c r="C10" s="139"/>
      <c r="D10" s="139"/>
      <c r="E10" s="139"/>
      <c r="F10" s="139"/>
      <c r="G10" s="6"/>
      <c r="H10" s="6"/>
      <c r="I10" s="6"/>
      <c r="J10" s="6"/>
      <c r="K10" s="6"/>
    </row>
    <row r="11" spans="2:15" hidden="1">
      <c r="B11" s="139"/>
      <c r="C11" s="139"/>
      <c r="D11" s="139"/>
      <c r="E11" s="139"/>
      <c r="F11" s="139"/>
      <c r="G11" s="6"/>
      <c r="H11" s="6"/>
      <c r="I11" s="6"/>
      <c r="J11" s="6"/>
      <c r="K11" s="6"/>
    </row>
    <row r="12" spans="2:15" hidden="1">
      <c r="B12" s="139"/>
      <c r="C12" s="139"/>
      <c r="D12" s="139"/>
      <c r="E12" s="139"/>
      <c r="F12" s="139"/>
      <c r="G12" s="6"/>
      <c r="H12" s="6"/>
      <c r="I12" s="6"/>
      <c r="J12" s="6"/>
      <c r="K12" s="6"/>
    </row>
    <row r="13" spans="2:15">
      <c r="B13" s="139"/>
      <c r="C13" s="139"/>
      <c r="D13" s="139"/>
      <c r="E13" s="139"/>
      <c r="F13" s="139"/>
      <c r="G13" s="6"/>
      <c r="H13" s="6"/>
      <c r="I13" s="6"/>
      <c r="J13" s="6"/>
      <c r="K13" s="6"/>
    </row>
    <row r="14" spans="2:15">
      <c r="B14" s="139"/>
      <c r="C14" s="139"/>
      <c r="D14" s="139"/>
      <c r="E14" s="139"/>
      <c r="F14" s="139"/>
      <c r="G14" s="6"/>
      <c r="H14" s="6"/>
      <c r="I14" s="6"/>
      <c r="J14" s="6"/>
      <c r="K14" s="6"/>
    </row>
    <row r="15" spans="2:15">
      <c r="B15" s="139"/>
      <c r="C15" s="139"/>
      <c r="D15" s="139"/>
      <c r="E15" s="139"/>
      <c r="F15" s="139"/>
      <c r="G15" s="6"/>
      <c r="H15" s="6"/>
      <c r="I15" s="6"/>
      <c r="J15" s="6"/>
      <c r="K15" s="6"/>
      <c r="M15" s="260" t="s">
        <v>285</v>
      </c>
    </row>
    <row r="16" spans="2:15">
      <c r="B16" s="139"/>
      <c r="C16" s="139"/>
      <c r="D16" s="139"/>
      <c r="E16" s="139"/>
      <c r="F16" s="139"/>
      <c r="G16" s="6"/>
      <c r="H16" s="6"/>
      <c r="I16" s="6"/>
      <c r="J16" s="6"/>
      <c r="K16" s="6"/>
      <c r="M16" s="260" t="s">
        <v>286</v>
      </c>
    </row>
    <row r="17" spans="1:11">
      <c r="B17" s="139"/>
      <c r="C17" s="139"/>
      <c r="D17" s="139"/>
      <c r="E17" s="139"/>
      <c r="F17" s="139"/>
      <c r="G17" s="6"/>
      <c r="H17" s="6"/>
      <c r="I17" s="6"/>
      <c r="J17" s="6"/>
      <c r="K17" s="6"/>
    </row>
    <row r="18" spans="1:11">
      <c r="B18" s="139"/>
      <c r="C18" s="139"/>
      <c r="D18" s="139"/>
      <c r="E18" s="139"/>
      <c r="F18" s="139"/>
      <c r="G18" s="6"/>
      <c r="H18" s="6"/>
      <c r="I18" s="6"/>
      <c r="J18" s="6"/>
      <c r="K18" s="6"/>
    </row>
    <row r="19" spans="1:11">
      <c r="B19" s="139"/>
      <c r="C19" s="139"/>
      <c r="D19" s="139"/>
      <c r="E19" s="139"/>
      <c r="F19" s="139"/>
      <c r="G19" s="6"/>
      <c r="H19" s="6"/>
      <c r="I19" s="6"/>
      <c r="J19" s="6"/>
      <c r="K19" s="6"/>
    </row>
    <row r="20" spans="1:11">
      <c r="B20" s="139"/>
      <c r="C20" s="139"/>
      <c r="D20" s="139"/>
      <c r="E20" s="139"/>
      <c r="F20" s="139"/>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1:11" ht="23.25" customHeight="1">
      <c r="B23" s="261" t="str">
        <f>+'Introducción de datos'!B36&amp;" - en ("&amp;'Introducción de datos'!D26&amp;")  "&amp;+I3&amp;" "&amp;+K3</f>
        <v>F2: Presupuesto y gastos reales por modulo de la subvención - en ($)  Periodo: P2</v>
      </c>
      <c r="C23" s="139"/>
      <c r="D23" s="139"/>
      <c r="E23" s="139"/>
      <c r="F23" s="139"/>
      <c r="H23" s="261" t="str">
        <f>+'Introducción de datos'!B61&amp;"   "&amp;+I3&amp;" "&amp;+K3</f>
        <v>F4: Último ciclo de información y desembolso del RP   Periodo: P2</v>
      </c>
      <c r="J23" s="6"/>
      <c r="K23" s="6"/>
    </row>
    <row r="24" spans="1:11" ht="167.25" customHeight="1">
      <c r="B24" s="420" t="s">
        <v>287</v>
      </c>
      <c r="C24" s="653" t="s">
        <v>379</v>
      </c>
      <c r="D24" s="654"/>
      <c r="E24" s="654"/>
      <c r="F24" s="654"/>
      <c r="G24" s="262"/>
      <c r="H24" s="420" t="s">
        <v>284</v>
      </c>
      <c r="I24" s="655" t="s">
        <v>375</v>
      </c>
      <c r="J24" s="656"/>
      <c r="K24" s="656"/>
    </row>
    <row r="25" spans="1:11" ht="15.75" customHeight="1" thickBot="1">
      <c r="B25" s="263"/>
      <c r="C25" s="263"/>
      <c r="D25" s="263"/>
      <c r="E25" s="263"/>
      <c r="F25" s="263"/>
      <c r="G25" s="263"/>
      <c r="H25" s="264"/>
      <c r="I25" s="264"/>
      <c r="J25" s="263"/>
      <c r="K25" s="263"/>
    </row>
    <row r="26" spans="1:11" ht="29.25" customHeight="1" thickBot="1">
      <c r="B26" s="6"/>
      <c r="C26" s="6"/>
      <c r="D26" s="6"/>
      <c r="E26" s="6"/>
      <c r="F26" s="6"/>
      <c r="G26" s="265"/>
      <c r="H26" s="661" t="s">
        <v>288</v>
      </c>
      <c r="I26" s="662"/>
      <c r="J26" s="662"/>
      <c r="K26" s="663"/>
    </row>
    <row r="27" spans="1:11">
      <c r="B27" s="6"/>
      <c r="C27" s="6"/>
      <c r="D27" s="6"/>
      <c r="E27" s="6"/>
      <c r="F27" s="6"/>
      <c r="G27" s="44"/>
      <c r="H27" s="664"/>
      <c r="I27" s="665"/>
      <c r="J27" s="266" t="s">
        <v>221</v>
      </c>
      <c r="K27" s="267" t="s">
        <v>222</v>
      </c>
    </row>
    <row r="28" spans="1:11" ht="29.25" customHeight="1" thickBot="1">
      <c r="B28" s="6"/>
      <c r="C28" s="6"/>
      <c r="D28" s="6"/>
      <c r="E28" s="6"/>
      <c r="F28" s="6"/>
      <c r="G28" s="268"/>
      <c r="H28" s="666" t="str">
        <f>'Introducción de datos'!B65</f>
        <v>Días tardados en presentar el informe de progreso actualizado y solicitud de desembolso al ALF*</v>
      </c>
      <c r="I28" s="667"/>
      <c r="J28" s="269">
        <f>+'Introducción de datos'!C65</f>
        <v>60</v>
      </c>
      <c r="K28" s="418">
        <f>+'Introducción de datos'!D65</f>
        <v>74</v>
      </c>
    </row>
    <row r="29" spans="1:11" ht="21" customHeight="1" thickBot="1">
      <c r="B29" s="6"/>
      <c r="C29" s="6"/>
      <c r="D29" s="6"/>
      <c r="E29" s="6"/>
      <c r="F29" s="6"/>
      <c r="G29" s="268"/>
      <c r="H29" s="666" t="str">
        <f>'Introducción de datos'!B66</f>
        <v>Días que el desembolso ha tardado en llegar al RP</v>
      </c>
      <c r="I29" s="667"/>
      <c r="J29" s="269">
        <f>+'Introducción de datos'!C66</f>
        <v>45</v>
      </c>
      <c r="K29" s="271">
        <f>+'Introducción de datos'!D66</f>
        <v>30</v>
      </c>
    </row>
    <row r="30" spans="1:11" ht="21" customHeight="1" thickBot="1">
      <c r="B30" s="6"/>
      <c r="C30" s="6"/>
      <c r="D30" s="6"/>
      <c r="E30" s="6"/>
      <c r="F30" s="6"/>
      <c r="G30" s="268"/>
      <c r="H30" s="659" t="str">
        <f>'Introducción de datos'!B67</f>
        <v xml:space="preserve">Días que el desembolso ha tardado en llegar a los subreceptores </v>
      </c>
      <c r="I30" s="660"/>
      <c r="J30" s="270">
        <f>+'Introducción de datos'!C67</f>
        <v>15</v>
      </c>
      <c r="K30" s="271">
        <f>+'Introducción de datos'!D67</f>
        <v>15</v>
      </c>
    </row>
    <row r="31" spans="1:11">
      <c r="B31" s="6"/>
      <c r="C31" s="6"/>
      <c r="D31" s="6"/>
      <c r="E31" s="6"/>
      <c r="F31" s="6"/>
      <c r="G31" s="6"/>
      <c r="H31" s="6"/>
      <c r="I31" s="6"/>
      <c r="J31" s="6"/>
      <c r="K31" s="6"/>
    </row>
    <row r="32" spans="1:11">
      <c r="B32" s="6"/>
      <c r="C32" s="92"/>
      <c r="D32" s="272"/>
      <c r="E32" s="6"/>
      <c r="F32" s="6"/>
      <c r="G32" s="6"/>
      <c r="H32" s="6"/>
      <c r="I32" s="6"/>
      <c r="J32" s="6"/>
      <c r="K32" s="6"/>
    </row>
    <row r="33" spans="2:11">
      <c r="B33" s="6"/>
      <c r="C33" s="238" t="s">
        <v>210</v>
      </c>
      <c r="D33" s="272"/>
      <c r="E33" s="6"/>
      <c r="F33" s="6"/>
      <c r="G33" s="6"/>
      <c r="H33" s="6"/>
      <c r="I33" s="6"/>
      <c r="J33" s="6"/>
      <c r="K33" s="6"/>
    </row>
    <row r="34" spans="2:11">
      <c r="C34" s="260" t="s">
        <v>256</v>
      </c>
    </row>
  </sheetData>
  <mergeCells count="18">
    <mergeCell ref="B2:K2"/>
    <mergeCell ref="C3:D3"/>
    <mergeCell ref="E3:H3"/>
    <mergeCell ref="I3:J3"/>
    <mergeCell ref="E6:H6"/>
    <mergeCell ref="C4:D4"/>
    <mergeCell ref="E4:H4"/>
    <mergeCell ref="I4:J4"/>
    <mergeCell ref="D5:I5"/>
    <mergeCell ref="C9:F9"/>
    <mergeCell ref="C24:F24"/>
    <mergeCell ref="I24:K24"/>
    <mergeCell ref="I9:O9"/>
    <mergeCell ref="H30:I30"/>
    <mergeCell ref="H26:K26"/>
    <mergeCell ref="H27:I27"/>
    <mergeCell ref="H28:I28"/>
    <mergeCell ref="H29:I29"/>
  </mergeCells>
  <phoneticPr fontId="71" type="noConversion"/>
  <conditionalFormatting sqref="K28:K30">
    <cfRule type="cellIs" dxfId="29" priority="1" stopIfTrue="1" operator="greaterThan">
      <formula>J28</formula>
    </cfRule>
    <cfRule type="cellIs" dxfId="28" priority="2" stopIfTrue="1" operator="between">
      <formula>J28</formula>
      <formula>1</formula>
    </cfRule>
    <cfRule type="cellIs" dxfId="27" priority="3" stopIfTrue="1" operator="equal">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pageMargins left="0.70833333333333337" right="0.70833333333333337" top="0.74791666666666667" bottom="0.74861111111111112" header="0.51180555555555551" footer="0.31527777777777777"/>
  <pageSetup paperSize="9" scale="97"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P40"/>
  <sheetViews>
    <sheetView showGridLines="0" tabSelected="1" topLeftCell="B28" zoomScale="110" zoomScaleNormal="110" workbookViewId="0">
      <selection activeCell="M32" sqref="M32"/>
    </sheetView>
  </sheetViews>
  <sheetFormatPr baseColWidth="10" defaultColWidth="9.109375" defaultRowHeight="14.4"/>
  <cols>
    <col min="1" max="1" width="3.33203125" customWidth="1"/>
    <col min="2" max="2" width="14.33203125" customWidth="1"/>
    <col min="3" max="3" width="12.44140625" customWidth="1"/>
    <col min="4" max="4" width="13.109375" customWidth="1"/>
    <col min="5" max="5" width="11.44140625" customWidth="1"/>
    <col min="6" max="6" width="11.88671875" customWidth="1"/>
    <col min="7" max="7" width="18.6640625" customWidth="1"/>
    <col min="8" max="8" width="11.33203125" customWidth="1"/>
    <col min="9" max="9" width="27.33203125" bestFit="1" customWidth="1"/>
    <col min="10" max="10" width="15.109375" customWidth="1"/>
    <col min="11" max="11" width="15.33203125" customWidth="1"/>
    <col min="12" max="12" width="15.6640625" customWidth="1"/>
  </cols>
  <sheetData>
    <row r="1" spans="1:16" ht="28.5" customHeight="1">
      <c r="C1" s="273"/>
      <c r="E1" s="273"/>
    </row>
    <row r="2" spans="1:16" ht="27.75" customHeight="1">
      <c r="B2" s="674" t="str">
        <f>+"Cuadro de mando:  "&amp;"  "&amp;+'Introducción de datos'!C4&amp;" - "&amp;'Introducción de datos'!G6</f>
        <v>Cuadro de mando:    El Salvador - VIH / SIDA</v>
      </c>
      <c r="C2" s="674"/>
      <c r="D2" s="674"/>
      <c r="E2" s="674"/>
      <c r="F2" s="674"/>
      <c r="G2" s="674"/>
      <c r="H2" s="674"/>
      <c r="I2" s="674"/>
      <c r="J2" s="674"/>
      <c r="K2" s="674"/>
      <c r="L2" s="674"/>
      <c r="M2" s="274"/>
      <c r="N2" s="274"/>
      <c r="O2" s="274"/>
      <c r="P2" s="274"/>
    </row>
    <row r="3" spans="1:16">
      <c r="B3" s="275" t="str">
        <f>+'Introducción de datos'!G8</f>
        <v>Seleccionar</v>
      </c>
      <c r="C3" s="675" t="str">
        <f>+'Introducción de datos'!I8</f>
        <v>Seleccionar</v>
      </c>
      <c r="D3" s="675"/>
      <c r="E3" s="676"/>
      <c r="F3" s="676"/>
      <c r="G3" s="676"/>
      <c r="H3" s="676"/>
      <c r="I3" s="676"/>
      <c r="J3" s="677" t="str">
        <f>+'Introducción de datos'!B16</f>
        <v>Periodo:</v>
      </c>
      <c r="K3" s="677"/>
      <c r="L3" s="248" t="str">
        <f>+'Introducción de datos'!C16</f>
        <v>P2</v>
      </c>
    </row>
    <row r="4" spans="1:16">
      <c r="B4" s="275" t="str">
        <f>+'Introducción de datos'!B12</f>
        <v>Ultima calificación:</v>
      </c>
      <c r="C4" s="672" t="str">
        <f>+'Introducción de datos'!C12</f>
        <v>A1</v>
      </c>
      <c r="D4" s="672"/>
      <c r="E4" s="676" t="str">
        <f>+'Introducción de datos'!C8</f>
        <v>PLAN  INTERNACIONAL</v>
      </c>
      <c r="F4" s="676"/>
      <c r="G4" s="676"/>
      <c r="H4" s="676"/>
      <c r="I4" s="676"/>
      <c r="J4" s="677" t="str">
        <f>+'Introducción de datos'!D16</f>
        <v>Desde:</v>
      </c>
      <c r="K4" s="677"/>
      <c r="L4" s="250">
        <f>+'Introducción de datos'!E16</f>
        <v>42736</v>
      </c>
    </row>
    <row r="5" spans="1:16" ht="18.75" customHeight="1">
      <c r="B5" s="275"/>
      <c r="C5" s="275"/>
      <c r="D5" s="676" t="str">
        <f>+'Introducción de datos'!G4</f>
        <v>INNOVANDO SERVICIOS, REDUCIENDO RIESGOS, RENOVANDO VIDAS EN EL SALVADOR</v>
      </c>
      <c r="E5" s="676"/>
      <c r="F5" s="676"/>
      <c r="G5" s="676"/>
      <c r="H5" s="676"/>
      <c r="I5" s="676"/>
      <c r="J5" s="676"/>
      <c r="K5" s="275" t="str">
        <f>+'Introducción de datos'!F16</f>
        <v>Hasta:</v>
      </c>
      <c r="L5" s="250">
        <f>+'Introducción de datos'!G16</f>
        <v>43100</v>
      </c>
    </row>
    <row r="6" spans="1:16" ht="18">
      <c r="B6" s="276"/>
      <c r="C6" s="275"/>
      <c r="D6" s="252"/>
      <c r="E6" s="682" t="s">
        <v>145</v>
      </c>
      <c r="F6" s="682"/>
      <c r="G6" s="682"/>
      <c r="H6" s="682"/>
      <c r="I6" s="682"/>
    </row>
    <row r="7" spans="1:16">
      <c r="B7" s="277" t="str">
        <f>+'Introducción de datos'!B72&amp;"     "&amp;+J3&amp;" "&amp;+L3</f>
        <v>M1: Estado de las condiciones precedentes y acciones con fecha límite     Periodo: P2</v>
      </c>
      <c r="C7" s="278"/>
      <c r="H7" s="277" t="str">
        <f>+'Introducción de datos'!B79&amp;"         "&amp;+J3&amp;"  "&amp;+L3</f>
        <v>M2: Estado de los principales puestos directivos del RP         Periodo:  P2</v>
      </c>
    </row>
    <row r="8" spans="1:16" ht="19.5" customHeight="1">
      <c r="B8" s="417" t="s">
        <v>284</v>
      </c>
      <c r="C8" s="683" t="s">
        <v>323</v>
      </c>
      <c r="D8" s="683"/>
      <c r="E8" s="683"/>
      <c r="F8" s="683"/>
      <c r="G8" s="279"/>
      <c r="H8" s="417" t="s">
        <v>284</v>
      </c>
      <c r="I8" s="681" t="s">
        <v>344</v>
      </c>
      <c r="J8" s="681"/>
      <c r="K8" s="681"/>
      <c r="L8" s="681"/>
    </row>
    <row r="9" spans="1:16">
      <c r="B9" s="10"/>
      <c r="C9" s="10"/>
      <c r="D9" s="10"/>
      <c r="E9" s="10"/>
      <c r="F9" s="10"/>
      <c r="G9" s="10"/>
      <c r="H9" s="10"/>
    </row>
    <row r="10" spans="1:16">
      <c r="A10" s="280"/>
      <c r="B10" s="10"/>
      <c r="C10" s="10"/>
      <c r="D10" s="684"/>
      <c r="E10" s="517"/>
      <c r="F10" s="517"/>
      <c r="G10" s="12"/>
      <c r="H10" s="10"/>
      <c r="N10" s="282"/>
      <c r="O10" s="282"/>
      <c r="P10" s="283"/>
    </row>
    <row r="11" spans="1:16">
      <c r="B11" s="10"/>
      <c r="C11" s="281"/>
      <c r="D11" s="684"/>
      <c r="E11" s="281"/>
      <c r="F11" s="281"/>
      <c r="G11" s="281"/>
      <c r="H11" s="281"/>
      <c r="N11" s="10"/>
      <c r="O11" s="10"/>
    </row>
    <row r="12" spans="1:16">
      <c r="B12" s="281"/>
      <c r="C12" s="284"/>
      <c r="D12" s="285"/>
      <c r="E12" s="285"/>
      <c r="F12" s="285"/>
      <c r="G12" s="285"/>
      <c r="H12" s="286"/>
    </row>
    <row r="13" spans="1:16">
      <c r="B13" s="281"/>
      <c r="C13" s="284"/>
      <c r="D13" s="285"/>
      <c r="E13" s="285"/>
      <c r="F13" s="285"/>
      <c r="G13" s="285"/>
      <c r="H13" s="286"/>
    </row>
    <row r="15" spans="1:16" ht="27.75" customHeight="1">
      <c r="B15" s="277" t="str">
        <f>+'Introducción de datos'!B84&amp;"            "&amp;+J3&amp;" "&amp;+L3</f>
        <v>M3: Acuerdos contractuales (subreceptores)             Periodo: P2</v>
      </c>
      <c r="H15" s="277" t="str">
        <f>+'Introducción de datos'!B89&amp;"                "&amp;+J3&amp;" "&amp;+L3</f>
        <v>M4: Número de informes completos recibidos a tiempo                Periodo: P2</v>
      </c>
    </row>
    <row r="16" spans="1:16" ht="33.75" customHeight="1">
      <c r="B16" s="417" t="s">
        <v>284</v>
      </c>
      <c r="C16" s="681" t="s">
        <v>359</v>
      </c>
      <c r="D16" s="681"/>
      <c r="E16" s="681"/>
      <c r="F16" s="681"/>
      <c r="G16" s="279"/>
      <c r="H16" s="417" t="s">
        <v>284</v>
      </c>
      <c r="I16" s="681" t="s">
        <v>360</v>
      </c>
      <c r="J16" s="681"/>
      <c r="K16" s="681"/>
      <c r="L16" s="681"/>
    </row>
    <row r="17" spans="2:13">
      <c r="B17" s="287"/>
      <c r="H17" s="288"/>
    </row>
    <row r="18" spans="2:13">
      <c r="M18" s="249"/>
    </row>
    <row r="25" spans="2:13" ht="22.5" customHeight="1"/>
    <row r="26" spans="2:13">
      <c r="B26" s="277" t="str">
        <f>+'Introducción de datos'!B96</f>
        <v>M5: Presupuesto y compra de productos y equipo sanitario, medicamentos y productos farmacéuticos</v>
      </c>
      <c r="H26" s="277" t="str">
        <f>+'Introducción de datos'!B109&amp;"    "&amp;+J3&amp;"  "&amp;+L3</f>
        <v>M6: Diferencia entre existencias actuales y existencias de seguridad    Periodo:  P2</v>
      </c>
    </row>
    <row r="27" spans="2:13" ht="36.75" customHeight="1">
      <c r="B27" s="417" t="s">
        <v>284</v>
      </c>
      <c r="C27" s="688" t="s">
        <v>342</v>
      </c>
      <c r="D27" s="689"/>
      <c r="E27" s="689"/>
      <c r="F27" s="690"/>
      <c r="G27" s="279"/>
      <c r="H27" s="417" t="s">
        <v>284</v>
      </c>
      <c r="I27" s="688" t="s">
        <v>343</v>
      </c>
      <c r="J27" s="689"/>
      <c r="K27" s="689"/>
      <c r="L27" s="690"/>
    </row>
    <row r="29" spans="2:13" ht="104.25" customHeight="1" thickBot="1">
      <c r="F29" s="289"/>
      <c r="G29" s="289"/>
      <c r="H29" s="442" t="s">
        <v>258</v>
      </c>
      <c r="I29" s="443" t="s">
        <v>259</v>
      </c>
      <c r="J29" s="444" t="s">
        <v>289</v>
      </c>
      <c r="K29" s="445" t="s">
        <v>290</v>
      </c>
      <c r="L29" s="446" t="s">
        <v>291</v>
      </c>
    </row>
    <row r="30" spans="2:13" ht="15" customHeight="1">
      <c r="F30" s="289"/>
      <c r="G30" s="289"/>
      <c r="H30" s="691" t="str">
        <f>+'Introducción de datos'!B112</f>
        <v>VIH / SIDA</v>
      </c>
      <c r="I30" s="447" t="str">
        <f>+'Introducción de datos'!C112</f>
        <v>CONDONES MASCULINOS (HSH)</v>
      </c>
      <c r="J30" s="678">
        <f>+'Introducción de datos'!I112</f>
        <v>9.199195234250551</v>
      </c>
      <c r="K30" s="695">
        <f>+'Introducción de datos'!J112</f>
        <v>5</v>
      </c>
      <c r="L30" s="699">
        <f>+'Introducción de datos'!K112</f>
        <v>4.199195234250551</v>
      </c>
    </row>
    <row r="31" spans="2:13">
      <c r="F31" s="289"/>
      <c r="G31" s="289"/>
      <c r="H31" s="692"/>
      <c r="I31" s="290" t="str">
        <f>+'Introducción de datos'!C113</f>
        <v>CONDONES MASCULINOS (TS)</v>
      </c>
      <c r="J31" s="679"/>
      <c r="K31" s="696"/>
      <c r="L31" s="686"/>
    </row>
    <row r="32" spans="2:13">
      <c r="F32" s="289"/>
      <c r="G32" s="289"/>
      <c r="H32" s="692"/>
      <c r="I32" s="290" t="str">
        <f>+'Introducción de datos'!C114</f>
        <v>CONDONES MASCULINOS (TRANS)</v>
      </c>
      <c r="J32" s="680"/>
      <c r="K32" s="697"/>
      <c r="L32" s="700"/>
    </row>
    <row r="33" spans="2:12">
      <c r="F33" s="289"/>
      <c r="G33" s="289"/>
      <c r="H33" s="692"/>
      <c r="I33" s="290" t="str">
        <f>+'Introducción de datos'!C115</f>
        <v>CONDONES FEMENINOS (TS)</v>
      </c>
      <c r="J33" s="291">
        <f>+'Introducción de datos'!I115</f>
        <v>6.3280770018431296</v>
      </c>
      <c r="K33" s="292">
        <f>+'Introducción de datos'!J115</f>
        <v>5</v>
      </c>
      <c r="L33" s="448">
        <f>+'Introducción de datos'!K115</f>
        <v>1.3280770018431296</v>
      </c>
    </row>
    <row r="34" spans="2:12">
      <c r="F34" s="289"/>
      <c r="G34" s="289"/>
      <c r="H34" s="692"/>
      <c r="I34" s="290" t="str">
        <f>+'Introducción de datos'!C116</f>
        <v>PRUEBAS RAPIDAS*</v>
      </c>
      <c r="J34" s="291">
        <f>+'Introducción de datos'!I116</f>
        <v>13.236009732360095</v>
      </c>
      <c r="K34" s="292">
        <f>+'Introducción de datos'!J116</f>
        <v>5</v>
      </c>
      <c r="L34" s="448">
        <f>+'Introducción de datos'!K116</f>
        <v>8.2360097323600954</v>
      </c>
    </row>
    <row r="35" spans="2:12" ht="18" customHeight="1" thickBot="1">
      <c r="B35" s="704"/>
      <c r="C35" s="704"/>
      <c r="D35" s="704"/>
      <c r="E35" s="704"/>
      <c r="F35" s="10"/>
      <c r="G35" s="10"/>
      <c r="H35" s="693"/>
      <c r="I35" s="441" t="str">
        <f>+'Introducción de datos'!C117</f>
        <v>LUBRICANTES/TUBOS HSH</v>
      </c>
      <c r="J35" s="701">
        <f>+'Introducción de datos'!I117</f>
        <v>8.237798812352576</v>
      </c>
      <c r="K35" s="698">
        <f>+'Introducción de datos'!J117</f>
        <v>5</v>
      </c>
      <c r="L35" s="685">
        <f>+'Introducción de datos'!K117</f>
        <v>3.237798812352576</v>
      </c>
    </row>
    <row r="36" spans="2:12" ht="15" thickBot="1">
      <c r="B36" s="704"/>
      <c r="C36" s="704"/>
      <c r="D36" s="704"/>
      <c r="E36" s="704"/>
      <c r="H36" s="693"/>
      <c r="I36" s="441" t="str">
        <f>+'Introducción de datos'!C118</f>
        <v>LUBRICANTES/TUBOS TS</v>
      </c>
      <c r="J36" s="679"/>
      <c r="K36" s="696"/>
      <c r="L36" s="686"/>
    </row>
    <row r="37" spans="2:12" ht="15" thickBot="1">
      <c r="B37" s="704"/>
      <c r="C37" s="704"/>
      <c r="D37" s="704"/>
      <c r="E37" s="704"/>
      <c r="H37" s="693"/>
      <c r="I37" s="441" t="str">
        <f>+'Introducción de datos'!C119</f>
        <v>LUBRICANTES/TUBOS TRANS</v>
      </c>
      <c r="J37" s="680"/>
      <c r="K37" s="697"/>
      <c r="L37" s="700"/>
    </row>
    <row r="38" spans="2:12" ht="15" thickBot="1">
      <c r="H38" s="693"/>
      <c r="I38" s="441" t="str">
        <f>+'Introducción de datos'!C120</f>
        <v>LUBRICANTES/SACHETS HSH</v>
      </c>
      <c r="J38" s="701">
        <f>+'Introducción de datos'!I120</f>
        <v>9.2173832738725956</v>
      </c>
      <c r="K38" s="698">
        <f>+'Introducción de datos'!J120</f>
        <v>5</v>
      </c>
      <c r="L38" s="685">
        <f>+'Introducción de datos'!K120</f>
        <v>4.2173832738725956</v>
      </c>
    </row>
    <row r="39" spans="2:12" ht="15" thickBot="1">
      <c r="H39" s="693"/>
      <c r="I39" s="463" t="str">
        <f>+'Introducción de datos'!C121</f>
        <v>LUBRICANTES/SACHETS TS</v>
      </c>
      <c r="J39" s="679"/>
      <c r="K39" s="696"/>
      <c r="L39" s="686"/>
    </row>
    <row r="40" spans="2:12" ht="15" thickBot="1">
      <c r="H40" s="694"/>
      <c r="I40" s="466" t="str">
        <f>+'Introducción de datos'!C121</f>
        <v>LUBRICANTES/SACHETS TS</v>
      </c>
      <c r="J40" s="702"/>
      <c r="K40" s="703"/>
      <c r="L40" s="687"/>
    </row>
  </sheetData>
  <mergeCells count="28">
    <mergeCell ref="C27:F27"/>
    <mergeCell ref="B35:E37"/>
    <mergeCell ref="L38:L40"/>
    <mergeCell ref="I27:L27"/>
    <mergeCell ref="H30:H40"/>
    <mergeCell ref="K30:K32"/>
    <mergeCell ref="K35:K37"/>
    <mergeCell ref="L30:L32"/>
    <mergeCell ref="J38:J40"/>
    <mergeCell ref="K38:K40"/>
    <mergeCell ref="J35:J37"/>
    <mergeCell ref="L35:L37"/>
    <mergeCell ref="B2:L2"/>
    <mergeCell ref="C3:D3"/>
    <mergeCell ref="E3:I3"/>
    <mergeCell ref="J3:K3"/>
    <mergeCell ref="J30:J32"/>
    <mergeCell ref="C4:D4"/>
    <mergeCell ref="E4:I4"/>
    <mergeCell ref="J4:K4"/>
    <mergeCell ref="D5:J5"/>
    <mergeCell ref="C16:F16"/>
    <mergeCell ref="E6:I6"/>
    <mergeCell ref="C8:F8"/>
    <mergeCell ref="I8:L8"/>
    <mergeCell ref="D10:D11"/>
    <mergeCell ref="E10:F10"/>
    <mergeCell ref="I16:L16"/>
  </mergeCells>
  <phoneticPr fontId="71" type="noConversion"/>
  <conditionalFormatting sqref="D12:D13">
    <cfRule type="cellIs" dxfId="23" priority="15" stopIfTrue="1" operator="greaterThan">
      <formula>0</formula>
    </cfRule>
  </conditionalFormatting>
  <conditionalFormatting sqref="E12:E13">
    <cfRule type="cellIs" dxfId="22" priority="16" stopIfTrue="1" operator="greaterThan">
      <formula>0</formula>
    </cfRule>
  </conditionalFormatting>
  <conditionalFormatting sqref="F12:G13">
    <cfRule type="cellIs" dxfId="21" priority="17" stopIfTrue="1" operator="greaterThan">
      <formula>0</formula>
    </cfRule>
  </conditionalFormatting>
  <conditionalFormatting sqref="C4:D4">
    <cfRule type="cellIs" dxfId="20" priority="18" stopIfTrue="1" operator="equal">
      <formula>"C"</formula>
    </cfRule>
    <cfRule type="cellIs" dxfId="19" priority="19" stopIfTrue="1" operator="equal">
      <formula>"B2"</formula>
    </cfRule>
    <cfRule type="cellIs" dxfId="18" priority="20" stopIfTrue="1" operator="equal">
      <formula>"B1"</formula>
    </cfRule>
  </conditionalFormatting>
  <conditionalFormatting sqref="L30 L38 L33 L35">
    <cfRule type="cellIs" dxfId="17" priority="21" stopIfTrue="1" operator="lessThan">
      <formula>1</formula>
    </cfRule>
    <cfRule type="cellIs" dxfId="16" priority="22" stopIfTrue="1" operator="between">
      <formula>3</formula>
      <formula>17</formula>
    </cfRule>
    <cfRule type="cellIs" dxfId="15" priority="23" stopIfTrue="1" operator="between">
      <formula>1</formula>
      <formula>3</formula>
    </cfRule>
  </conditionalFormatting>
  <conditionalFormatting sqref="L34">
    <cfRule type="cellIs" dxfId="14" priority="1" stopIfTrue="1" operator="lessThan">
      <formula>1</formula>
    </cfRule>
    <cfRule type="cellIs" dxfId="13" priority="2" stopIfTrue="1" operator="between">
      <formula>3</formula>
      <formula>17</formula>
    </cfRule>
    <cfRule type="cellIs" dxfId="12" priority="3" stopIfTrue="1" operator="between">
      <formula>1</formula>
      <formula>3</formula>
    </cfRule>
  </conditionalFormatting>
  <pageMargins left="0.70833333333333337" right="0.70833333333333337" top="0.74791666666666667" bottom="0.74861111111111112" header="0.51180555555555551" footer="0.31527777777777777"/>
  <pageSetup paperSize="9" scale="83" firstPageNumber="0" orientation="landscape" horizontalDpi="300" verticalDpi="300" r:id="rId1"/>
  <headerFooter alignWithMargins="0">
    <oddFooter>&amp;L&amp;F&amp;C&amp;A&amp;R&amp;D</oddFooter>
  </headerFooter>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AI28"/>
  <sheetViews>
    <sheetView showGridLines="0" topLeftCell="D30" zoomScale="120" zoomScaleNormal="120" workbookViewId="0">
      <selection activeCell="L25" sqref="L25:Q25"/>
    </sheetView>
  </sheetViews>
  <sheetFormatPr baseColWidth="10" defaultColWidth="9.109375" defaultRowHeight="14.4"/>
  <cols>
    <col min="1" max="1" width="0.44140625" customWidth="1"/>
    <col min="2" max="2" width="17.88671875" customWidth="1"/>
    <col min="3" max="3" width="16.109375" customWidth="1"/>
    <col min="4" max="4" width="17.33203125" customWidth="1"/>
    <col min="5" max="5" width="8" customWidth="1"/>
    <col min="6" max="6" width="10.6640625" customWidth="1"/>
    <col min="7" max="7" width="8.33203125" customWidth="1"/>
    <col min="8" max="8" width="6.33203125" customWidth="1"/>
    <col min="9" max="9" width="6" customWidth="1"/>
    <col min="10" max="10" width="6.109375" customWidth="1"/>
    <col min="11" max="11" width="11.33203125" customWidth="1"/>
    <col min="12" max="12" width="14" customWidth="1"/>
    <col min="13" max="13" width="11.6640625" customWidth="1"/>
    <col min="14" max="14" width="9.5546875" customWidth="1"/>
    <col min="15" max="15" width="7.44140625" customWidth="1"/>
    <col min="16" max="16" width="15.6640625" customWidth="1"/>
    <col min="17" max="17" width="23.6640625" customWidth="1"/>
    <col min="18" max="18" width="21.88671875" customWidth="1"/>
  </cols>
  <sheetData>
    <row r="1" spans="1:35" ht="26.25" customHeight="1">
      <c r="A1" s="6"/>
      <c r="B1" s="6"/>
      <c r="C1" s="6"/>
      <c r="D1" s="6"/>
      <c r="E1" s="6"/>
      <c r="F1" s="6"/>
      <c r="G1" s="6"/>
      <c r="H1" s="6"/>
      <c r="I1" s="6"/>
      <c r="J1" s="6"/>
      <c r="K1" s="6"/>
      <c r="L1" s="6"/>
      <c r="M1" s="6"/>
      <c r="N1" s="6"/>
      <c r="O1" s="6"/>
      <c r="P1" s="6"/>
    </row>
    <row r="2" spans="1:35" ht="21.75" customHeight="1">
      <c r="A2" s="6"/>
      <c r="B2" s="730" t="str">
        <f>+"Cuadro de mando:  "&amp;"  "&amp;+'Introducción de datos'!C4&amp;" - "&amp;'Introducción de datos'!G6</f>
        <v>Cuadro de mando:    El Salvador - VIH / SIDA</v>
      </c>
      <c r="C2" s="730"/>
      <c r="D2" s="730"/>
      <c r="E2" s="730"/>
      <c r="F2" s="730"/>
      <c r="G2" s="730"/>
      <c r="H2" s="730"/>
      <c r="I2" s="730"/>
      <c r="J2" s="730"/>
      <c r="K2" s="730"/>
      <c r="L2" s="730"/>
      <c r="M2" s="730"/>
      <c r="N2" s="730"/>
      <c r="O2" s="730"/>
      <c r="P2" s="730"/>
      <c r="Q2" s="730"/>
    </row>
    <row r="3" spans="1:35">
      <c r="A3" s="6"/>
      <c r="B3" s="246" t="str">
        <f>+'Introducción de datos'!G8</f>
        <v>Seleccionar</v>
      </c>
      <c r="C3" s="668" t="str">
        <f>+'Introducción de datos'!I8</f>
        <v>Seleccionar</v>
      </c>
      <c r="D3" s="668"/>
      <c r="E3" s="669"/>
      <c r="F3" s="669"/>
      <c r="G3" s="669"/>
      <c r="H3" s="669"/>
      <c r="I3" s="669"/>
      <c r="J3" s="669"/>
      <c r="K3" s="669"/>
      <c r="L3" s="6"/>
      <c r="M3" s="6"/>
      <c r="O3" s="670" t="str">
        <f>+'Introducción de datos'!B16</f>
        <v>Periodo:</v>
      </c>
      <c r="P3" s="670"/>
      <c r="Q3" s="293" t="str">
        <f>+'Introducción de datos'!C16</f>
        <v>P2</v>
      </c>
    </row>
    <row r="4" spans="1:35" ht="12" customHeight="1">
      <c r="A4" s="6"/>
      <c r="B4" s="246" t="str">
        <f>+'Introducción de datos'!B12</f>
        <v>Ultima calificación:</v>
      </c>
      <c r="C4" s="708" t="str">
        <f>+'Introducción de datos'!C12</f>
        <v>A1</v>
      </c>
      <c r="D4" s="708"/>
      <c r="E4" s="669" t="str">
        <f>+'Introducción de datos'!C8</f>
        <v>PLAN  INTERNACIONAL</v>
      </c>
      <c r="F4" s="669"/>
      <c r="G4" s="669"/>
      <c r="H4" s="669"/>
      <c r="I4" s="669"/>
      <c r="J4" s="669"/>
      <c r="K4" s="669"/>
      <c r="L4" s="669"/>
      <c r="M4" s="6"/>
      <c r="O4" s="294"/>
      <c r="P4" s="246" t="str">
        <f>+'Introducción de datos'!D16</f>
        <v>Desde:</v>
      </c>
      <c r="Q4" s="295">
        <f>+'Introducción de datos'!E16</f>
        <v>42736</v>
      </c>
      <c r="Y4" s="260"/>
      <c r="Z4" s="260"/>
      <c r="AA4" s="260"/>
      <c r="AB4" s="260"/>
      <c r="AC4" s="260"/>
    </row>
    <row r="5" spans="1:35" ht="15.75" customHeight="1">
      <c r="A5" s="6"/>
      <c r="B5" s="246"/>
      <c r="C5" s="246"/>
      <c r="D5" s="669" t="str">
        <f>+'Introducción de datos'!G4</f>
        <v>INNOVANDO SERVICIOS, REDUCIENDO RIESGOS, RENOVANDO VIDAS EN EL SALVADOR</v>
      </c>
      <c r="E5" s="669"/>
      <c r="F5" s="669"/>
      <c r="G5" s="669"/>
      <c r="H5" s="669"/>
      <c r="I5" s="669"/>
      <c r="J5" s="669"/>
      <c r="K5" s="669"/>
      <c r="L5" s="669"/>
      <c r="M5" s="669"/>
      <c r="N5" s="669"/>
      <c r="P5" s="246" t="str">
        <f>+'Introducción de datos'!F16</f>
        <v>Hasta:</v>
      </c>
      <c r="Q5" s="295">
        <f>+'Introducción de datos'!G16</f>
        <v>43100</v>
      </c>
      <c r="S5" s="296"/>
      <c r="T5" s="296"/>
      <c r="U5" s="296"/>
      <c r="V5" s="296"/>
      <c r="W5" s="296"/>
      <c r="X5" s="296"/>
      <c r="Y5" s="260"/>
      <c r="Z5" s="260"/>
      <c r="AA5" s="260" t="s">
        <v>292</v>
      </c>
      <c r="AB5" s="260"/>
      <c r="AC5" s="297" t="s">
        <v>293</v>
      </c>
      <c r="AD5" s="296"/>
      <c r="AE5" s="296"/>
      <c r="AF5" s="296"/>
      <c r="AG5" s="296"/>
      <c r="AH5" s="296"/>
      <c r="AI5" s="296"/>
    </row>
    <row r="6" spans="1:35" ht="15.75" customHeight="1">
      <c r="A6" s="6"/>
      <c r="B6" s="246"/>
      <c r="C6" s="246"/>
      <c r="D6" s="298"/>
      <c r="E6" s="298"/>
      <c r="F6" s="709" t="s">
        <v>294</v>
      </c>
      <c r="G6" s="709"/>
      <c r="H6" s="709"/>
      <c r="I6" s="709"/>
      <c r="J6" s="709"/>
      <c r="K6" s="709"/>
      <c r="L6" s="298"/>
      <c r="M6" s="6"/>
      <c r="N6" s="6"/>
      <c r="O6" s="299"/>
      <c r="P6" s="300"/>
      <c r="S6" s="296"/>
      <c r="T6" s="296"/>
      <c r="U6" s="296"/>
      <c r="V6" s="296"/>
      <c r="W6" s="296"/>
      <c r="X6" s="296"/>
      <c r="Y6" s="260"/>
      <c r="Z6" s="260"/>
      <c r="AA6" s="260"/>
      <c r="AB6" s="260"/>
      <c r="AC6" s="260"/>
      <c r="AD6" s="296"/>
      <c r="AE6" s="296"/>
      <c r="AF6" s="296"/>
      <c r="AG6" s="296"/>
      <c r="AH6" s="296"/>
      <c r="AI6" s="296"/>
    </row>
    <row r="7" spans="1:35" ht="3" customHeight="1">
      <c r="A7" s="6"/>
      <c r="B7" s="246"/>
      <c r="C7" s="246"/>
      <c r="D7" s="298"/>
      <c r="E7" s="298"/>
      <c r="F7" s="298"/>
      <c r="G7" s="298"/>
      <c r="H7" s="298"/>
      <c r="I7" s="298"/>
      <c r="J7" s="298"/>
      <c r="K7" s="298"/>
      <c r="L7" s="298"/>
      <c r="M7" s="6"/>
      <c r="N7" s="6"/>
      <c r="O7" s="299"/>
      <c r="P7" s="250"/>
      <c r="Q7" s="250"/>
      <c r="S7" s="296"/>
      <c r="T7" s="296"/>
      <c r="U7" s="296"/>
      <c r="V7" s="296"/>
      <c r="W7" s="296"/>
      <c r="X7" s="296"/>
      <c r="Y7" s="260"/>
      <c r="Z7" s="260"/>
      <c r="AA7" s="260"/>
      <c r="AB7" s="260"/>
      <c r="AC7" s="260"/>
      <c r="AD7" s="296"/>
      <c r="AE7" s="296"/>
      <c r="AF7" s="296"/>
      <c r="AG7" s="296"/>
      <c r="AH7" s="296"/>
      <c r="AI7" s="296"/>
    </row>
    <row r="8" spans="1:35" ht="18.75" customHeight="1">
      <c r="A8" s="6"/>
      <c r="B8" s="731" t="str">
        <f>+'Introducción de datos'!B129</f>
        <v>% Y Número de personas HSH alcanzadas con el paquete básico de prevención de VIH</v>
      </c>
      <c r="C8" s="731"/>
      <c r="D8" s="731"/>
      <c r="E8" s="731"/>
      <c r="F8" s="731" t="str">
        <f>+'Introducción de datos'!B131</f>
        <v>% Y Número de personas TS alcanzadas con el paquete básico de prevención de VIH</v>
      </c>
      <c r="G8" s="731"/>
      <c r="H8" s="731"/>
      <c r="I8" s="731"/>
      <c r="J8" s="731"/>
      <c r="K8" s="731"/>
      <c r="L8" s="731" t="str">
        <f>+'Introducción de datos'!B133</f>
        <v>% Y Número de personas TRANS alcanzadas con el paquete básico de prevención de VIH</v>
      </c>
      <c r="M8" s="731"/>
      <c r="N8" s="731"/>
      <c r="O8" s="731"/>
      <c r="P8" s="731"/>
      <c r="Q8" s="731"/>
      <c r="S8" s="296"/>
      <c r="T8" s="296"/>
      <c r="U8" s="296"/>
      <c r="V8" s="296"/>
      <c r="W8" s="296"/>
      <c r="X8" s="296"/>
      <c r="Y8" s="260"/>
      <c r="Z8" s="260"/>
      <c r="AA8" s="260"/>
      <c r="AB8" s="260"/>
      <c r="AC8" s="260"/>
      <c r="AD8" s="296"/>
      <c r="AE8" s="296"/>
      <c r="AF8" s="296"/>
      <c r="AG8" s="296"/>
      <c r="AH8" s="296"/>
      <c r="AI8" s="296"/>
    </row>
    <row r="9" spans="1:35" ht="75" customHeight="1">
      <c r="A9" s="6"/>
      <c r="B9" s="416" t="s">
        <v>295</v>
      </c>
      <c r="C9" s="710" t="s">
        <v>366</v>
      </c>
      <c r="D9" s="711"/>
      <c r="E9" s="712"/>
      <c r="F9" s="416" t="s">
        <v>295</v>
      </c>
      <c r="G9" s="710" t="s">
        <v>367</v>
      </c>
      <c r="H9" s="711"/>
      <c r="I9" s="711"/>
      <c r="J9" s="711"/>
      <c r="K9" s="712"/>
      <c r="L9" s="416" t="s">
        <v>295</v>
      </c>
      <c r="M9" s="710" t="s">
        <v>368</v>
      </c>
      <c r="N9" s="711"/>
      <c r="O9" s="711"/>
      <c r="P9" s="711"/>
      <c r="Q9" s="712"/>
      <c r="S9" s="296"/>
      <c r="T9" s="296"/>
      <c r="U9" s="296"/>
      <c r="V9" s="296"/>
      <c r="W9" s="296"/>
      <c r="X9" s="296"/>
      <c r="Y9" s="296"/>
      <c r="Z9" s="296"/>
      <c r="AA9" s="296"/>
      <c r="AB9" s="296"/>
      <c r="AC9" s="296"/>
      <c r="AD9" s="296"/>
      <c r="AE9" s="296"/>
      <c r="AF9" s="296"/>
      <c r="AG9" s="296"/>
      <c r="AH9" s="296"/>
      <c r="AI9" s="296"/>
    </row>
    <row r="10" spans="1:35" ht="18.75" customHeight="1">
      <c r="A10" s="6"/>
      <c r="B10" s="246"/>
      <c r="C10" s="246"/>
      <c r="D10" s="298"/>
      <c r="E10" s="298"/>
      <c r="F10" s="298"/>
      <c r="G10" s="298"/>
      <c r="H10" s="298"/>
      <c r="I10" s="298"/>
      <c r="J10" s="298"/>
      <c r="K10" s="298"/>
      <c r="L10" s="298"/>
      <c r="M10" s="6"/>
      <c r="N10" s="6"/>
      <c r="O10" s="299"/>
      <c r="P10" s="250"/>
      <c r="S10" s="296"/>
      <c r="T10" s="296"/>
      <c r="U10" s="296"/>
      <c r="V10" s="296"/>
      <c r="W10" s="296"/>
      <c r="X10" s="296"/>
      <c r="Y10" s="296"/>
      <c r="Z10" s="296"/>
      <c r="AA10" s="296"/>
      <c r="AB10" s="296"/>
      <c r="AC10" s="296"/>
      <c r="AD10" s="296"/>
      <c r="AE10" s="296"/>
      <c r="AF10" s="296"/>
      <c r="AG10" s="296"/>
      <c r="AH10" s="296"/>
      <c r="AI10" s="296"/>
    </row>
    <row r="11" spans="1:35" ht="18.75" customHeight="1">
      <c r="A11" s="6"/>
      <c r="B11" s="246"/>
      <c r="C11" s="246"/>
      <c r="D11" s="298"/>
      <c r="E11" s="298"/>
      <c r="F11" s="298"/>
      <c r="G11" s="298"/>
      <c r="H11" s="298"/>
      <c r="I11" s="298"/>
      <c r="J11" s="298"/>
      <c r="K11" s="298"/>
      <c r="L11" s="298"/>
      <c r="M11" s="6"/>
      <c r="N11" s="6"/>
      <c r="O11" s="299"/>
      <c r="P11" s="250"/>
      <c r="S11" s="296"/>
      <c r="T11" s="296"/>
      <c r="U11" s="296"/>
      <c r="V11" s="296"/>
      <c r="W11" s="296"/>
      <c r="X11" s="296"/>
      <c r="Y11" s="296"/>
      <c r="Z11" s="296"/>
      <c r="AA11" s="296"/>
      <c r="AB11" s="296"/>
      <c r="AC11" s="296"/>
      <c r="AD11" s="296"/>
      <c r="AE11" s="296"/>
      <c r="AF11" s="296"/>
      <c r="AG11" s="296"/>
      <c r="AH11" s="296"/>
      <c r="AI11" s="296"/>
    </row>
    <row r="12" spans="1:35" ht="18.75" customHeight="1">
      <c r="A12" s="6"/>
      <c r="B12" s="246"/>
      <c r="C12" s="246"/>
      <c r="D12" s="298"/>
      <c r="E12" s="298"/>
      <c r="F12" s="298"/>
      <c r="G12" s="298"/>
      <c r="H12" s="298"/>
      <c r="I12" s="298"/>
      <c r="J12" s="298"/>
      <c r="K12" s="298"/>
      <c r="L12" s="298"/>
      <c r="M12" s="6"/>
      <c r="N12" s="6"/>
      <c r="O12" s="299"/>
      <c r="P12" s="250"/>
      <c r="S12" s="296"/>
      <c r="T12" s="296"/>
      <c r="U12" s="296"/>
      <c r="V12" s="296"/>
      <c r="W12" s="296"/>
      <c r="X12" s="296"/>
      <c r="Y12" s="296"/>
      <c r="Z12" s="296"/>
      <c r="AA12" s="296"/>
      <c r="AB12" s="296"/>
      <c r="AC12" s="296"/>
      <c r="AD12" s="296"/>
      <c r="AE12" s="296"/>
      <c r="AF12" s="296"/>
      <c r="AG12" s="296"/>
      <c r="AH12" s="296"/>
      <c r="AI12" s="296"/>
    </row>
    <row r="13" spans="1:35" ht="18.75" customHeight="1">
      <c r="A13" s="6"/>
      <c r="B13" s="246"/>
      <c r="C13" s="246"/>
      <c r="D13" s="298"/>
      <c r="E13" s="298"/>
      <c r="F13" s="298"/>
      <c r="G13" s="298"/>
      <c r="H13" s="298"/>
      <c r="I13" s="298"/>
      <c r="J13" s="298"/>
      <c r="K13" s="298"/>
      <c r="L13" s="298"/>
      <c r="M13" s="6"/>
      <c r="N13" s="6"/>
      <c r="O13" s="299"/>
      <c r="P13" s="250"/>
      <c r="S13" s="296"/>
      <c r="T13" s="296"/>
      <c r="U13" s="296"/>
      <c r="V13" s="296"/>
      <c r="W13" s="296"/>
      <c r="X13" s="296"/>
      <c r="Y13" s="296"/>
      <c r="Z13" s="296"/>
      <c r="AA13" s="296"/>
      <c r="AB13" s="296"/>
      <c r="AC13" s="296"/>
      <c r="AD13" s="296"/>
      <c r="AE13" s="296"/>
      <c r="AF13" s="296"/>
      <c r="AG13" s="296"/>
      <c r="AH13" s="296"/>
      <c r="AI13" s="296"/>
    </row>
    <row r="14" spans="1:35" ht="18.75" customHeight="1">
      <c r="A14" s="6"/>
      <c r="B14" s="246"/>
      <c r="C14" s="246"/>
      <c r="D14" s="298"/>
      <c r="E14" s="298"/>
      <c r="F14" s="298"/>
      <c r="G14" s="298"/>
      <c r="H14" s="298"/>
      <c r="I14" s="298"/>
      <c r="J14" s="298"/>
      <c r="K14" s="298"/>
      <c r="L14" s="298"/>
      <c r="M14" s="6"/>
      <c r="N14" s="6"/>
      <c r="O14" s="299"/>
      <c r="P14" s="250"/>
      <c r="S14" s="296"/>
      <c r="T14" s="296"/>
      <c r="U14" s="296"/>
      <c r="V14" s="296"/>
      <c r="W14" s="296"/>
      <c r="X14" s="296"/>
      <c r="Y14" s="296"/>
      <c r="Z14" s="296"/>
      <c r="AA14" s="296"/>
      <c r="AB14" s="296"/>
      <c r="AC14" s="296"/>
      <c r="AD14" s="296"/>
      <c r="AE14" s="296"/>
      <c r="AF14" s="296"/>
      <c r="AG14" s="296"/>
      <c r="AH14" s="296"/>
      <c r="AI14" s="296"/>
    </row>
    <row r="15" spans="1:35" ht="18.75" customHeight="1">
      <c r="A15" s="6"/>
      <c r="B15" s="246"/>
      <c r="C15" s="246"/>
      <c r="D15" s="298"/>
      <c r="E15" s="298"/>
      <c r="F15" s="298"/>
      <c r="G15" s="298"/>
      <c r="H15" s="298"/>
      <c r="I15" s="298"/>
      <c r="J15" s="298"/>
      <c r="K15" s="298"/>
      <c r="L15" s="298"/>
      <c r="M15" s="6"/>
      <c r="N15" s="6"/>
      <c r="O15" s="299"/>
      <c r="P15" s="250"/>
      <c r="S15" s="296"/>
      <c r="T15" s="296"/>
      <c r="U15" s="296"/>
      <c r="V15" s="296"/>
      <c r="W15" s="296"/>
      <c r="X15" s="296"/>
      <c r="Y15" s="296"/>
      <c r="Z15" s="296"/>
      <c r="AA15" s="296"/>
      <c r="AB15" s="296"/>
      <c r="AC15" s="296"/>
      <c r="AD15" s="296"/>
      <c r="AE15" s="296"/>
      <c r="AF15" s="296"/>
      <c r="AG15" s="296"/>
      <c r="AH15" s="296"/>
      <c r="AI15" s="296"/>
    </row>
    <row r="16" spans="1:35" ht="18.75" customHeight="1">
      <c r="A16" s="6"/>
      <c r="B16" s="246"/>
      <c r="C16" s="246"/>
      <c r="D16" s="298"/>
      <c r="E16" s="298"/>
      <c r="F16" s="298"/>
      <c r="G16" s="298"/>
      <c r="H16" s="298"/>
      <c r="I16" s="298"/>
      <c r="J16" s="298"/>
      <c r="K16" s="298"/>
      <c r="L16" s="298"/>
      <c r="M16" s="6"/>
      <c r="N16" s="6"/>
      <c r="O16" s="299"/>
      <c r="P16" s="250"/>
      <c r="S16" s="296"/>
      <c r="T16" s="296"/>
      <c r="U16" s="296"/>
      <c r="V16" s="296"/>
      <c r="W16" s="296"/>
      <c r="X16" s="296"/>
      <c r="Y16" s="296"/>
      <c r="Z16" s="296"/>
      <c r="AA16" s="296"/>
      <c r="AB16" s="296"/>
      <c r="AC16" s="296"/>
      <c r="AD16" s="296"/>
      <c r="AE16" s="296"/>
      <c r="AF16" s="296"/>
      <c r="AG16" s="296"/>
      <c r="AH16" s="296"/>
      <c r="AI16" s="296"/>
    </row>
    <row r="17" spans="1:35" ht="17.25" customHeight="1">
      <c r="A17" s="6"/>
      <c r="B17" s="246"/>
      <c r="C17" s="246"/>
      <c r="D17" s="298"/>
      <c r="E17" s="298"/>
      <c r="F17" s="298"/>
      <c r="G17" s="298"/>
      <c r="H17" s="298"/>
      <c r="I17" s="298"/>
      <c r="J17" s="298"/>
      <c r="K17" s="298"/>
      <c r="L17" s="298"/>
      <c r="M17" s="6"/>
      <c r="N17" s="6"/>
      <c r="O17" s="299"/>
      <c r="P17" s="250"/>
      <c r="S17" s="296"/>
      <c r="T17" s="296"/>
      <c r="U17" s="296"/>
      <c r="V17" s="296"/>
      <c r="W17" s="296"/>
      <c r="X17" s="296"/>
      <c r="Y17" s="296"/>
      <c r="Z17" s="296"/>
      <c r="AA17" s="296"/>
      <c r="AB17" s="296"/>
      <c r="AC17" s="296"/>
      <c r="AD17" s="296"/>
      <c r="AE17" s="296"/>
      <c r="AF17" s="296"/>
      <c r="AG17" s="296"/>
      <c r="AH17" s="296"/>
      <c r="AI17" s="296"/>
    </row>
    <row r="18" spans="1:35" ht="6" customHeight="1">
      <c r="A18" s="6"/>
      <c r="B18" s="251"/>
      <c r="C18" s="246"/>
      <c r="D18" s="252"/>
      <c r="E18" s="724"/>
      <c r="F18" s="724"/>
      <c r="G18" s="724"/>
      <c r="H18" s="724"/>
      <c r="I18" s="724"/>
      <c r="J18" s="724"/>
      <c r="K18" s="724"/>
      <c r="L18" s="6"/>
      <c r="M18" s="6"/>
      <c r="N18" s="6"/>
      <c r="O18" s="6"/>
      <c r="P18" s="6"/>
      <c r="S18" s="296"/>
      <c r="T18" s="296"/>
      <c r="U18" s="296"/>
      <c r="V18" s="296"/>
      <c r="W18" s="296"/>
      <c r="X18" s="296"/>
      <c r="Y18" s="296"/>
      <c r="Z18" s="296"/>
      <c r="AA18" s="296"/>
      <c r="AB18" s="296"/>
      <c r="AC18" s="296"/>
      <c r="AD18" s="296"/>
      <c r="AE18" s="296"/>
      <c r="AF18" s="296"/>
      <c r="AG18" s="296"/>
      <c r="AH18" s="296"/>
      <c r="AI18" s="296"/>
    </row>
    <row r="19" spans="1:35" ht="24" customHeight="1">
      <c r="A19" s="6"/>
      <c r="B19" s="725" t="s">
        <v>296</v>
      </c>
      <c r="C19" s="726"/>
      <c r="D19" s="727"/>
      <c r="E19" s="301" t="s">
        <v>272</v>
      </c>
      <c r="F19" s="301" t="s">
        <v>297</v>
      </c>
      <c r="G19" s="728" t="s">
        <v>298</v>
      </c>
      <c r="H19" s="729"/>
      <c r="I19" s="732" t="s">
        <v>299</v>
      </c>
      <c r="J19" s="733"/>
      <c r="K19" s="500" t="s">
        <v>300</v>
      </c>
      <c r="L19" s="713" t="s">
        <v>301</v>
      </c>
      <c r="M19" s="714"/>
      <c r="N19" s="714"/>
      <c r="O19" s="714"/>
      <c r="P19" s="714"/>
      <c r="Q19" s="714"/>
      <c r="R19" s="424" t="s">
        <v>308</v>
      </c>
      <c r="S19" s="422" t="s">
        <v>302</v>
      </c>
      <c r="T19" s="303">
        <v>0</v>
      </c>
      <c r="U19" s="304">
        <v>0.3</v>
      </c>
      <c r="V19" s="304">
        <v>0.6</v>
      </c>
      <c r="W19" s="304">
        <v>0.9</v>
      </c>
      <c r="X19" s="304">
        <v>1</v>
      </c>
      <c r="Y19" s="260"/>
      <c r="Z19" s="260"/>
      <c r="AA19" s="302" t="s">
        <v>303</v>
      </c>
      <c r="AB19" s="303">
        <v>0</v>
      </c>
      <c r="AC19" s="304">
        <v>0.2</v>
      </c>
      <c r="AD19" s="304">
        <v>0.4</v>
      </c>
      <c r="AE19" s="304">
        <v>0.6</v>
      </c>
      <c r="AF19" s="304">
        <v>0.8</v>
      </c>
      <c r="AG19" s="260"/>
      <c r="AH19" s="260"/>
      <c r="AI19" s="260"/>
    </row>
    <row r="20" spans="1:35" ht="252.6" customHeight="1">
      <c r="A20" s="6"/>
      <c r="B20" s="715" t="str">
        <f>+'Introducción de datos'!B129</f>
        <v>% Y Número de personas HSH alcanzadas con el paquete básico de prevención de VIH</v>
      </c>
      <c r="C20" s="716"/>
      <c r="D20" s="717"/>
      <c r="E20" s="419">
        <f>'Introducción de datos'!H129</f>
        <v>18118</v>
      </c>
      <c r="F20" s="419">
        <f>'Introducción de datos'!H130</f>
        <v>18230</v>
      </c>
      <c r="G20" s="718">
        <f t="shared" ref="G20:G25" si="0">F20/E20</f>
        <v>1.0061816977591345</v>
      </c>
      <c r="H20" s="719"/>
      <c r="I20" s="719"/>
      <c r="J20" s="719"/>
      <c r="K20" s="720"/>
      <c r="L20" s="721" t="s">
        <v>380</v>
      </c>
      <c r="M20" s="722"/>
      <c r="N20" s="722"/>
      <c r="O20" s="722"/>
      <c r="P20" s="722"/>
      <c r="Q20" s="723"/>
      <c r="R20" s="705"/>
      <c r="S20" s="422" t="s">
        <v>304</v>
      </c>
      <c r="T20" s="305">
        <v>0.3</v>
      </c>
      <c r="U20" s="304">
        <v>0.6</v>
      </c>
      <c r="V20" s="304">
        <v>0.9</v>
      </c>
      <c r="W20" s="304">
        <v>1</v>
      </c>
      <c r="X20" s="304">
        <v>2</v>
      </c>
      <c r="Y20" s="260"/>
      <c r="Z20" s="260"/>
      <c r="AA20" s="302" t="s">
        <v>305</v>
      </c>
      <c r="AB20" s="305">
        <v>0.2</v>
      </c>
      <c r="AC20" s="304">
        <v>0.4</v>
      </c>
      <c r="AD20" s="304">
        <v>0.6</v>
      </c>
      <c r="AE20" s="304">
        <v>0.8</v>
      </c>
      <c r="AF20" s="304">
        <v>1</v>
      </c>
      <c r="AG20" s="260"/>
      <c r="AH20" s="260"/>
      <c r="AI20" s="260"/>
    </row>
    <row r="21" spans="1:35" ht="250.2" customHeight="1">
      <c r="A21" s="6"/>
      <c r="B21" s="715" t="str">
        <f>+'Introducción de datos'!B131</f>
        <v>% Y Número de personas TS alcanzadas con el paquete básico de prevención de VIH</v>
      </c>
      <c r="C21" s="716"/>
      <c r="D21" s="717"/>
      <c r="E21" s="419">
        <f>'Introducción de datos'!H131</f>
        <v>9714</v>
      </c>
      <c r="F21" s="419">
        <f>'Introducción de datos'!H132</f>
        <v>9766</v>
      </c>
      <c r="G21" s="718">
        <f t="shared" si="0"/>
        <v>1.0053530986205477</v>
      </c>
      <c r="H21" s="719"/>
      <c r="I21" s="719"/>
      <c r="J21" s="719"/>
      <c r="K21" s="720"/>
      <c r="L21" s="721" t="s">
        <v>381</v>
      </c>
      <c r="M21" s="722"/>
      <c r="N21" s="722"/>
      <c r="O21" s="722"/>
      <c r="P21" s="722"/>
      <c r="Q21" s="723"/>
      <c r="R21" s="706"/>
      <c r="S21" s="423"/>
      <c r="T21" s="306" t="str">
        <f>"de "&amp;T19&amp;" a "&amp;T20</f>
        <v>de 0 a 0.3</v>
      </c>
      <c r="U21" s="306" t="str">
        <f>"de "&amp;U19&amp;" a "&amp;U20</f>
        <v>de 0.3 a 0.6</v>
      </c>
      <c r="V21" s="306" t="str">
        <f>"de "&amp;V19&amp;" a "&amp;V20</f>
        <v>de 0.6 a 0.9</v>
      </c>
      <c r="W21" s="306" t="str">
        <f>"de "&amp;W19&amp;" a "&amp;W20</f>
        <v>de 0.9 a 1</v>
      </c>
      <c r="X21" s="306" t="str">
        <f>"de "&amp;X19&amp;" a "&amp;X20</f>
        <v>de 1 a 2</v>
      </c>
      <c r="Y21" s="260"/>
      <c r="Z21" s="307" t="s">
        <v>306</v>
      </c>
      <c r="AA21" s="308" t="s">
        <v>307</v>
      </c>
      <c r="AB21" s="306" t="str">
        <f>"de "&amp;AB19&amp;" a "&amp;AB20</f>
        <v>de 0 a 0.2</v>
      </c>
      <c r="AC21" s="306" t="str">
        <f>"de "&amp;AC19&amp;" a "&amp;AC20</f>
        <v>de 0.2 a 0.4</v>
      </c>
      <c r="AD21" s="306" t="str">
        <f>"de "&amp;AD19&amp;" a "&amp;AD20</f>
        <v>de 0.4 a 0.6</v>
      </c>
      <c r="AE21" s="306" t="str">
        <f>"de "&amp;AE19&amp;" a "&amp;AE20</f>
        <v>de 0.6 a 0.8</v>
      </c>
      <c r="AF21" s="306" t="str">
        <f>"de "&amp;AF19&amp;" a "&amp;AF20</f>
        <v>de 0.8 a 1</v>
      </c>
      <c r="AG21" s="260"/>
      <c r="AH21" s="260"/>
      <c r="AI21" s="260"/>
    </row>
    <row r="22" spans="1:35" ht="250.95" customHeight="1">
      <c r="A22" s="6"/>
      <c r="B22" s="715" t="str">
        <f>+'Introducción de datos'!B133</f>
        <v>% Y Número de personas TRANS alcanzadas con el paquete básico de prevención de VIH</v>
      </c>
      <c r="C22" s="716"/>
      <c r="D22" s="717"/>
      <c r="E22" s="419">
        <f>'Introducción de datos'!H133</f>
        <v>1615</v>
      </c>
      <c r="F22" s="419">
        <f>'Introducción de datos'!H134</f>
        <v>1631</v>
      </c>
      <c r="G22" s="718">
        <f t="shared" si="0"/>
        <v>1.0099071207430341</v>
      </c>
      <c r="H22" s="719"/>
      <c r="I22" s="719"/>
      <c r="J22" s="719"/>
      <c r="K22" s="720"/>
      <c r="L22" s="721" t="s">
        <v>382</v>
      </c>
      <c r="M22" s="722"/>
      <c r="N22" s="722"/>
      <c r="O22" s="722"/>
      <c r="P22" s="722"/>
      <c r="Q22" s="723"/>
      <c r="R22" s="707"/>
      <c r="S22" s="423"/>
      <c r="T22" s="304" t="e">
        <f t="shared" ref="T22:W26" si="1">IF($K20&gt;T$19,IF($K20&lt;=T$20,$K20,NA()),NA())</f>
        <v>#N/A</v>
      </c>
      <c r="U22" s="304" t="e">
        <f t="shared" si="1"/>
        <v>#N/A</v>
      </c>
      <c r="V22" s="304" t="e">
        <f t="shared" si="1"/>
        <v>#N/A</v>
      </c>
      <c r="W22" s="304" t="e">
        <f t="shared" si="1"/>
        <v>#N/A</v>
      </c>
      <c r="X22" s="304" t="e">
        <f>IF($K20&gt;X$19,IF($K20&lt;=X$20,1,NA()),NA())</f>
        <v>#N/A</v>
      </c>
      <c r="Y22" s="260"/>
      <c r="Z22" s="309" t="e">
        <f>+'Información de la subvención'!#REF!</f>
        <v>#REF!</v>
      </c>
      <c r="AA22" s="304" t="e">
        <f>+IF(Z22="A1",1,IF(Z22="A2",0.8,IF(Z22="B1",0.6,IF(Z22="B2",0.4,0.2))))</f>
        <v>#REF!</v>
      </c>
      <c r="AB22" s="304" t="e">
        <f>IF($AA22&gt;AB$19,IF($AA22&lt;=AB$20,$AA22,NA()),NA())</f>
        <v>#REF!</v>
      </c>
      <c r="AC22" s="304" t="e">
        <f t="shared" ref="AC22:AF24" si="2">IF($AA22&gt;AC$19,IF($AA22&lt;=AC$20,$AA22,NA()),NA())</f>
        <v>#REF!</v>
      </c>
      <c r="AD22" s="304" t="e">
        <f t="shared" si="2"/>
        <v>#REF!</v>
      </c>
      <c r="AE22" s="304" t="e">
        <f t="shared" si="2"/>
        <v>#REF!</v>
      </c>
      <c r="AF22" s="304" t="e">
        <f t="shared" si="2"/>
        <v>#REF!</v>
      </c>
      <c r="AG22" s="260"/>
      <c r="AH22" s="260"/>
      <c r="AI22" s="260"/>
    </row>
    <row r="23" spans="1:35" ht="149.4" customHeight="1">
      <c r="A23" s="6"/>
      <c r="B23" s="715" t="str">
        <f>+'Introducción de datos'!B135</f>
        <v>% de HSH que reciben una prueba para VIH durante el periodo de reporte y conoce su resultado</v>
      </c>
      <c r="C23" s="716"/>
      <c r="D23" s="717"/>
      <c r="E23" s="419">
        <f>'Introducción de datos'!H135</f>
        <v>7572</v>
      </c>
      <c r="F23" s="419">
        <f>'Introducción de datos'!H136</f>
        <v>7603</v>
      </c>
      <c r="G23" s="718">
        <f t="shared" si="0"/>
        <v>1.004094030639197</v>
      </c>
      <c r="H23" s="719"/>
      <c r="I23" s="719"/>
      <c r="J23" s="719"/>
      <c r="K23" s="720"/>
      <c r="L23" s="734" t="s">
        <v>383</v>
      </c>
      <c r="M23" s="735"/>
      <c r="N23" s="735"/>
      <c r="O23" s="735"/>
      <c r="P23" s="735"/>
      <c r="Q23" s="736"/>
      <c r="R23" s="705"/>
      <c r="S23" s="423"/>
      <c r="T23" s="304" t="e">
        <f t="shared" si="1"/>
        <v>#N/A</v>
      </c>
      <c r="U23" s="304" t="e">
        <f t="shared" si="1"/>
        <v>#N/A</v>
      </c>
      <c r="V23" s="304" t="e">
        <f t="shared" si="1"/>
        <v>#N/A</v>
      </c>
      <c r="W23" s="304" t="e">
        <f t="shared" si="1"/>
        <v>#N/A</v>
      </c>
      <c r="X23" s="304" t="e">
        <f>IF($K21&gt;X$19,IF($K21&lt;=X$20,1,1),NA())</f>
        <v>#N/A</v>
      </c>
      <c r="Y23" s="260"/>
      <c r="Z23" s="309" t="e">
        <f>+'Información de la subvención'!#REF!</f>
        <v>#REF!</v>
      </c>
      <c r="AA23" s="304" t="e">
        <f>+IF(Z23="A1",1,IF(Z23="A2",0.8,IF(Z23="B1",0.6,IF(Z23="B2",0.4,0.2))))</f>
        <v>#REF!</v>
      </c>
      <c r="AB23" s="304" t="e">
        <f>IF($AA23&gt;AB$19,IF($AA23&lt;=AB$20,$AA23,NA()),NA())</f>
        <v>#REF!</v>
      </c>
      <c r="AC23" s="304" t="e">
        <f t="shared" si="2"/>
        <v>#REF!</v>
      </c>
      <c r="AD23" s="304" t="e">
        <f t="shared" si="2"/>
        <v>#REF!</v>
      </c>
      <c r="AE23" s="304" t="e">
        <f t="shared" si="2"/>
        <v>#REF!</v>
      </c>
      <c r="AF23" s="304" t="e">
        <f t="shared" si="2"/>
        <v>#REF!</v>
      </c>
      <c r="AG23" s="260"/>
      <c r="AH23" s="260"/>
      <c r="AI23" s="260"/>
    </row>
    <row r="24" spans="1:35" ht="147.6" customHeight="1">
      <c r="A24" s="6"/>
      <c r="B24" s="715" t="str">
        <f>+'Introducción de datos'!B137</f>
        <v xml:space="preserve">% de TS que reciben una prueba para VIH durante el periodo de reporte y conoce su resultado </v>
      </c>
      <c r="C24" s="716"/>
      <c r="D24" s="717"/>
      <c r="E24" s="419">
        <f>'Introducción de datos'!H137</f>
        <v>4080</v>
      </c>
      <c r="F24" s="419">
        <f>'Introducción de datos'!H138</f>
        <v>4107</v>
      </c>
      <c r="G24" s="718">
        <f t="shared" si="0"/>
        <v>1.0066176470588235</v>
      </c>
      <c r="H24" s="719"/>
      <c r="I24" s="719"/>
      <c r="J24" s="719"/>
      <c r="K24" s="720"/>
      <c r="L24" s="734" t="s">
        <v>384</v>
      </c>
      <c r="M24" s="735"/>
      <c r="N24" s="735"/>
      <c r="O24" s="735"/>
      <c r="P24" s="735"/>
      <c r="Q24" s="736"/>
      <c r="R24" s="706"/>
      <c r="S24" s="423"/>
      <c r="T24" s="304" t="e">
        <f t="shared" si="1"/>
        <v>#N/A</v>
      </c>
      <c r="U24" s="304" t="e">
        <f t="shared" si="1"/>
        <v>#N/A</v>
      </c>
      <c r="V24" s="304" t="e">
        <f t="shared" si="1"/>
        <v>#N/A</v>
      </c>
      <c r="W24" s="304" t="e">
        <f t="shared" si="1"/>
        <v>#N/A</v>
      </c>
      <c r="X24" s="304" t="e">
        <f>IF($K22&gt;X$19,IF($K22&lt;=X$20,1,NA()),NA())</f>
        <v>#N/A</v>
      </c>
      <c r="Y24" s="260"/>
      <c r="Z24" s="309" t="e">
        <f>+'Información de la subvención'!#REF!</f>
        <v>#REF!</v>
      </c>
      <c r="AA24" s="304" t="e">
        <f>+IF(Z24="A1",1,IF(Z24="A2",0.8,IF(Z24="B1",0.6,IF(Z24="B2",0.4,0.2))))</f>
        <v>#REF!</v>
      </c>
      <c r="AB24" s="304" t="e">
        <f>IF($AA24&gt;AB$19,IF($AA24&lt;=AB$20,$AA24,NA()),NA())</f>
        <v>#REF!</v>
      </c>
      <c r="AC24" s="304" t="e">
        <f t="shared" si="2"/>
        <v>#REF!</v>
      </c>
      <c r="AD24" s="304" t="e">
        <f t="shared" si="2"/>
        <v>#REF!</v>
      </c>
      <c r="AE24" s="304" t="e">
        <f t="shared" si="2"/>
        <v>#REF!</v>
      </c>
      <c r="AF24" s="304" t="e">
        <f t="shared" si="2"/>
        <v>#REF!</v>
      </c>
      <c r="AG24" s="260"/>
      <c r="AH24" s="260"/>
      <c r="AI24" s="260"/>
    </row>
    <row r="25" spans="1:35" ht="159" customHeight="1">
      <c r="A25" s="6"/>
      <c r="B25" s="715" t="str">
        <f>+'Introducción de datos'!B139</f>
        <v xml:space="preserve">% de TRANS que reciben una prueba para VIH durante el periodo de reporte y conoce su resultado </v>
      </c>
      <c r="C25" s="716"/>
      <c r="D25" s="717"/>
      <c r="E25" s="419">
        <f>'Introducción de datos'!H139</f>
        <v>678</v>
      </c>
      <c r="F25" s="419">
        <f>'Introducción de datos'!H140</f>
        <v>676</v>
      </c>
      <c r="G25" s="718">
        <f t="shared" si="0"/>
        <v>0.99705014749262533</v>
      </c>
      <c r="H25" s="719"/>
      <c r="I25" s="719"/>
      <c r="J25" s="719"/>
      <c r="K25" s="720"/>
      <c r="L25" s="734" t="s">
        <v>385</v>
      </c>
      <c r="M25" s="735"/>
      <c r="N25" s="735"/>
      <c r="O25" s="735"/>
      <c r="P25" s="735"/>
      <c r="Q25" s="736"/>
      <c r="R25" s="706"/>
      <c r="S25" s="423"/>
      <c r="T25" s="304" t="e">
        <f t="shared" si="1"/>
        <v>#N/A</v>
      </c>
      <c r="U25" s="304" t="e">
        <f t="shared" si="1"/>
        <v>#N/A</v>
      </c>
      <c r="V25" s="304" t="e">
        <f t="shared" si="1"/>
        <v>#N/A</v>
      </c>
      <c r="W25" s="304" t="e">
        <f t="shared" si="1"/>
        <v>#N/A</v>
      </c>
      <c r="X25" s="304" t="e">
        <f>IF($K23&gt;X$19,IF($K23&lt;=X$20,1,NA()),NA())</f>
        <v>#N/A</v>
      </c>
      <c r="Y25" s="260"/>
      <c r="Z25" s="260"/>
      <c r="AA25" s="260"/>
      <c r="AB25" s="260"/>
      <c r="AC25" s="260"/>
      <c r="AD25" s="260"/>
      <c r="AE25" s="260"/>
      <c r="AF25" s="260"/>
      <c r="AG25" s="260"/>
      <c r="AH25" s="260"/>
      <c r="AI25" s="260"/>
    </row>
    <row r="26" spans="1:35" ht="12" hidden="1" customHeight="1">
      <c r="A26" s="6"/>
      <c r="B26" s="715">
        <f>+'Introducción de datos'!B141</f>
        <v>0</v>
      </c>
      <c r="C26" s="716"/>
      <c r="D26" s="717"/>
      <c r="E26" s="415"/>
      <c r="F26" s="415"/>
      <c r="G26" s="738"/>
      <c r="H26" s="739"/>
      <c r="I26" s="739"/>
      <c r="J26" s="739"/>
      <c r="K26" s="740"/>
      <c r="L26" s="741"/>
      <c r="M26" s="741"/>
      <c r="N26" s="741"/>
      <c r="O26" s="741"/>
      <c r="P26" s="741"/>
      <c r="Q26" s="742"/>
      <c r="R26" s="425"/>
      <c r="S26" s="423"/>
      <c r="T26" s="304" t="e">
        <f t="shared" si="1"/>
        <v>#N/A</v>
      </c>
      <c r="U26" s="304" t="e">
        <f t="shared" si="1"/>
        <v>#N/A</v>
      </c>
      <c r="V26" s="304" t="e">
        <f t="shared" si="1"/>
        <v>#N/A</v>
      </c>
      <c r="W26" s="304" t="e">
        <f t="shared" si="1"/>
        <v>#N/A</v>
      </c>
      <c r="X26" s="304" t="e">
        <f>IF($K24&gt;X$19,IF($K24&lt;=X$20,1,NA()),NA())</f>
        <v>#N/A</v>
      </c>
      <c r="Y26" s="260"/>
      <c r="Z26" s="260"/>
      <c r="AA26" s="260"/>
      <c r="AB26" s="260"/>
      <c r="AC26" s="260"/>
      <c r="AD26" s="260"/>
      <c r="AE26" s="260"/>
      <c r="AF26" s="260"/>
      <c r="AG26" s="260"/>
      <c r="AH26" s="260"/>
      <c r="AI26" s="260"/>
    </row>
    <row r="27" spans="1:35">
      <c r="A27" s="6"/>
      <c r="B27" s="6"/>
      <c r="C27" s="6"/>
      <c r="D27" s="6"/>
      <c r="E27" s="6"/>
      <c r="F27" s="6"/>
      <c r="G27" s="6"/>
      <c r="H27" s="6"/>
      <c r="I27" s="310"/>
      <c r="J27" s="90"/>
      <c r="K27" s="90"/>
      <c r="L27" s="6"/>
      <c r="M27" s="6"/>
      <c r="N27" s="6"/>
      <c r="O27" s="6"/>
      <c r="P27" s="6"/>
      <c r="S27" s="260"/>
      <c r="T27" s="260"/>
      <c r="U27" s="260"/>
      <c r="V27" s="260"/>
      <c r="W27" s="260"/>
      <c r="X27" s="260"/>
      <c r="Y27" s="260"/>
      <c r="Z27" s="260"/>
      <c r="AA27" s="260"/>
      <c r="AB27" s="260"/>
      <c r="AC27" s="260"/>
      <c r="AD27" s="260"/>
      <c r="AE27" s="260"/>
      <c r="AF27" s="260"/>
      <c r="AG27" s="260"/>
      <c r="AH27" s="260"/>
      <c r="AI27" s="260"/>
    </row>
    <row r="28" spans="1:35" ht="14.25" customHeight="1">
      <c r="A28" s="6"/>
      <c r="B28" s="6"/>
      <c r="C28" s="6"/>
      <c r="D28" s="6"/>
      <c r="E28" s="6"/>
      <c r="F28" s="6"/>
      <c r="G28" s="737" t="s">
        <v>347</v>
      </c>
      <c r="H28" s="737"/>
      <c r="I28" s="737"/>
      <c r="J28" s="737"/>
      <c r="K28" s="737"/>
      <c r="L28" s="737"/>
      <c r="M28" s="737"/>
      <c r="N28" s="737"/>
      <c r="O28" s="737"/>
      <c r="P28" s="737"/>
      <c r="Q28" s="737"/>
      <c r="S28" s="260"/>
      <c r="T28" s="260"/>
      <c r="U28" s="260"/>
      <c r="V28" s="260"/>
      <c r="W28" s="260"/>
      <c r="X28" s="260"/>
      <c r="Y28" s="260"/>
      <c r="Z28" s="260"/>
      <c r="AA28" s="260"/>
      <c r="AB28" s="260"/>
      <c r="AC28" s="260"/>
      <c r="AD28" s="260"/>
      <c r="AE28" s="260"/>
      <c r="AF28" s="260"/>
      <c r="AG28" s="260"/>
      <c r="AH28" s="260"/>
      <c r="AI28" s="260"/>
    </row>
  </sheetData>
  <sheetProtection selectLockedCells="1" selectUnlockedCells="1"/>
  <mergeCells count="43">
    <mergeCell ref="G28:Q28"/>
    <mergeCell ref="B25:D25"/>
    <mergeCell ref="G25:K25"/>
    <mergeCell ref="L25:Q25"/>
    <mergeCell ref="B26:D26"/>
    <mergeCell ref="G26:K26"/>
    <mergeCell ref="L26:Q26"/>
    <mergeCell ref="B23:D23"/>
    <mergeCell ref="G23:K23"/>
    <mergeCell ref="L23:Q23"/>
    <mergeCell ref="B24:D24"/>
    <mergeCell ref="G24:K24"/>
    <mergeCell ref="L24:Q24"/>
    <mergeCell ref="I19:J19"/>
    <mergeCell ref="B21:D21"/>
    <mergeCell ref="G21:K21"/>
    <mergeCell ref="L21:Q21"/>
    <mergeCell ref="B22:D22"/>
    <mergeCell ref="G22:K22"/>
    <mergeCell ref="L22:Q22"/>
    <mergeCell ref="B2:Q2"/>
    <mergeCell ref="C3:D3"/>
    <mergeCell ref="E3:K3"/>
    <mergeCell ref="O3:P3"/>
    <mergeCell ref="B8:E8"/>
    <mergeCell ref="F8:K8"/>
    <mergeCell ref="L8:Q8"/>
    <mergeCell ref="R20:R22"/>
    <mergeCell ref="R23:R25"/>
    <mergeCell ref="C4:D4"/>
    <mergeCell ref="E4:L4"/>
    <mergeCell ref="D5:N5"/>
    <mergeCell ref="F6:K6"/>
    <mergeCell ref="C9:E9"/>
    <mergeCell ref="G9:K9"/>
    <mergeCell ref="M9:Q9"/>
    <mergeCell ref="L19:Q19"/>
    <mergeCell ref="B20:D20"/>
    <mergeCell ref="G20:K20"/>
    <mergeCell ref="L20:Q20"/>
    <mergeCell ref="E18:K18"/>
    <mergeCell ref="B19:D19"/>
    <mergeCell ref="G19:H19"/>
  </mergeCells>
  <phoneticPr fontId="71" type="noConversion"/>
  <conditionalFormatting sqref="C4:D4">
    <cfRule type="cellIs" dxfId="11" priority="32" stopIfTrue="1" operator="equal">
      <formula>"C"</formula>
    </cfRule>
    <cfRule type="cellIs" dxfId="10" priority="33" stopIfTrue="1" operator="equal">
      <formula>"B2"</formula>
    </cfRule>
    <cfRule type="cellIs" dxfId="9" priority="34" stopIfTrue="1" operator="equal">
      <formula>"B1"</formula>
    </cfRule>
  </conditionalFormatting>
  <conditionalFormatting sqref="G20:G26">
    <cfRule type="cellIs" dxfId="8" priority="35" stopIfTrue="1" operator="between">
      <formula>0</formula>
      <formula>0.599</formula>
    </cfRule>
    <cfRule type="cellIs" dxfId="7" priority="36" stopIfTrue="1" operator="between">
      <formula>0.6</formula>
      <formula>0.899</formula>
    </cfRule>
    <cfRule type="cellIs" dxfId="6" priority="37" stopIfTrue="1" operator="greaterThanOrEqual">
      <formula>0.9</formula>
    </cfRule>
  </conditionalFormatting>
  <pageMargins left="0.70833333333333337" right="0.70833333333333337" top="0.74791666666666667" bottom="0.74861111111111112" header="0.51180555555555551" footer="0.31527777777777777"/>
  <pageSetup paperSize="9" scale="87" firstPageNumber="0" orientation="landscape" horizontalDpi="300" verticalDpi="300"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IV41"/>
  <sheetViews>
    <sheetView showGridLines="0" zoomScale="80" zoomScaleNormal="80" workbookViewId="0">
      <selection activeCell="X4" sqref="X4"/>
    </sheetView>
  </sheetViews>
  <sheetFormatPr baseColWidth="10" defaultColWidth="9.109375" defaultRowHeight="11.4"/>
  <cols>
    <col min="1" max="1" width="1.109375" style="311" customWidth="1"/>
    <col min="2" max="2" width="19.33203125" style="311" customWidth="1"/>
    <col min="3" max="3" width="1.109375" style="311" customWidth="1"/>
    <col min="4" max="4" width="17.109375" style="311" customWidth="1"/>
    <col min="5" max="5" width="17.5546875" style="311" customWidth="1"/>
    <col min="6" max="6" width="9.6640625" style="311" customWidth="1"/>
    <col min="7" max="7" width="13" style="311" customWidth="1"/>
    <col min="8" max="8" width="4.33203125" style="311" customWidth="1"/>
    <col min="9" max="9" width="15.88671875" style="311" customWidth="1"/>
    <col min="10" max="10" width="3.5546875" style="311" customWidth="1"/>
    <col min="11" max="11" width="7.5546875" style="312" customWidth="1"/>
    <col min="12" max="12" width="22" style="311" customWidth="1"/>
    <col min="13" max="13" width="12" style="311" customWidth="1"/>
    <col min="14" max="14" width="5.44140625" style="311" customWidth="1"/>
    <col min="15" max="15" width="2.5546875" style="311" customWidth="1"/>
    <col min="16" max="16384" width="9.109375" style="311"/>
  </cols>
  <sheetData>
    <row r="1" spans="1:256" ht="38.25" customHeight="1">
      <c r="A1" s="313"/>
      <c r="B1" s="313"/>
      <c r="C1" s="313"/>
      <c r="D1" s="313"/>
      <c r="E1" s="313"/>
      <c r="F1" s="313"/>
      <c r="G1" s="313"/>
      <c r="H1" s="313"/>
      <c r="I1" s="313"/>
      <c r="J1" s="313"/>
      <c r="K1" s="314"/>
      <c r="L1" s="313"/>
      <c r="M1" s="313"/>
      <c r="N1" s="313"/>
    </row>
    <row r="2" spans="1:256" ht="27.75" customHeight="1">
      <c r="A2" s="6"/>
      <c r="B2" s="730" t="str">
        <f>+"Cuadro de mando:  "&amp;"  "&amp;+'Introducción de datos'!C4&amp;" - "&amp;'Introducción de datos'!G6</f>
        <v>Cuadro de mando:    El Salvador - VIH / SIDA</v>
      </c>
      <c r="C2" s="730"/>
      <c r="D2" s="730"/>
      <c r="E2" s="730"/>
      <c r="F2" s="730"/>
      <c r="G2" s="730"/>
      <c r="H2" s="730"/>
      <c r="I2" s="730"/>
      <c r="J2" s="730"/>
      <c r="K2" s="730"/>
      <c r="L2" s="730"/>
      <c r="M2" s="730"/>
      <c r="N2" s="730"/>
      <c r="O2" s="31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246" t="str">
        <f>+'Introducción de datos'!G8</f>
        <v>Seleccionar</v>
      </c>
      <c r="C3" s="668" t="str">
        <f>+'Introducción de datos'!I8</f>
        <v>Seleccionar</v>
      </c>
      <c r="D3" s="668"/>
      <c r="E3" s="743"/>
      <c r="F3" s="743"/>
      <c r="G3" s="743"/>
      <c r="H3" s="743"/>
      <c r="I3" s="743"/>
      <c r="J3" s="743"/>
      <c r="K3" s="743"/>
      <c r="L3" s="246" t="str">
        <f>+'Introducción de datos'!B16</f>
        <v>Periodo:</v>
      </c>
      <c r="M3" s="293" t="str">
        <f>+'Introducción de datos'!C16</f>
        <v>P2</v>
      </c>
      <c r="N3" s="29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4">
      <c r="A4" s="6"/>
      <c r="B4" s="246" t="str">
        <f>+'Introducción de datos'!B12</f>
        <v>Ultima calificación:</v>
      </c>
      <c r="C4" s="708" t="str">
        <f>+'Introducción de datos'!C12</f>
        <v>A1</v>
      </c>
      <c r="D4" s="708"/>
      <c r="E4" s="669" t="str">
        <f>+'Introducción de datos'!C8</f>
        <v>PLAN  INTERNACIONAL</v>
      </c>
      <c r="F4" s="669"/>
      <c r="G4" s="669"/>
      <c r="H4" s="669"/>
      <c r="I4" s="669"/>
      <c r="J4" s="669"/>
      <c r="K4" s="669"/>
      <c r="L4" s="246" t="str">
        <f>+'Introducción de datos'!D16</f>
        <v>Desde:</v>
      </c>
      <c r="M4" s="250">
        <f>+'Introducción de datos'!E16</f>
        <v>42736</v>
      </c>
      <c r="N4" s="250"/>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6"/>
      <c r="C5" s="246"/>
      <c r="D5" s="252"/>
      <c r="E5" s="669" t="str">
        <f>+'Introducción de datos'!G4</f>
        <v>INNOVANDO SERVICIOS, REDUCIENDO RIESGOS, RENOVANDO VIDAS EN EL SALVADOR</v>
      </c>
      <c r="F5" s="669"/>
      <c r="G5" s="669"/>
      <c r="H5" s="669"/>
      <c r="I5" s="669"/>
      <c r="J5" s="669"/>
      <c r="K5" s="669"/>
      <c r="L5" s="246" t="str">
        <f>+'Introducción de datos'!F16</f>
        <v>Hasta:</v>
      </c>
      <c r="M5" s="250">
        <f>+'Introducción de datos'!G16</f>
        <v>43100</v>
      </c>
      <c r="N5" s="25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3"/>
      <c r="C6" s="247"/>
      <c r="D6" s="252"/>
      <c r="E6" s="744" t="s">
        <v>305</v>
      </c>
      <c r="F6" s="744"/>
      <c r="G6" s="744"/>
      <c r="H6" s="744"/>
      <c r="I6" s="744"/>
      <c r="J6" s="744"/>
      <c r="K6" s="744"/>
      <c r="L6" s="139"/>
      <c r="M6" s="139"/>
      <c r="N6" s="13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320" customFormat="1" ht="4.5" customHeight="1">
      <c r="A7" s="316"/>
      <c r="B7" s="317"/>
      <c r="C7" s="317"/>
      <c r="D7" s="317"/>
      <c r="E7" s="317"/>
      <c r="F7" s="317"/>
      <c r="G7" s="317"/>
      <c r="H7" s="317"/>
      <c r="I7" s="317"/>
      <c r="J7" s="317"/>
      <c r="K7" s="317"/>
      <c r="L7" s="318"/>
      <c r="M7" s="318"/>
      <c r="N7" s="319"/>
    </row>
    <row r="8" spans="1:256" s="320" customFormat="1" ht="21" customHeight="1">
      <c r="A8" s="316"/>
      <c r="B8" s="745" t="s">
        <v>0</v>
      </c>
      <c r="C8" s="745"/>
      <c r="D8" s="745"/>
      <c r="E8" s="745"/>
      <c r="F8" s="745"/>
      <c r="G8" s="745"/>
      <c r="H8" s="745"/>
      <c r="I8" s="745"/>
      <c r="J8" s="745"/>
      <c r="K8" s="745"/>
      <c r="L8" s="745"/>
      <c r="M8" s="745"/>
      <c r="N8" s="745"/>
    </row>
    <row r="9" spans="1:256" s="320" customFormat="1" ht="3.75" customHeight="1">
      <c r="A9" s="316"/>
      <c r="B9" s="317"/>
      <c r="C9" s="317"/>
      <c r="D9" s="317"/>
      <c r="E9" s="317"/>
      <c r="F9" s="317"/>
      <c r="G9" s="317"/>
      <c r="H9" s="317"/>
      <c r="I9" s="317"/>
      <c r="J9" s="317"/>
      <c r="K9" s="317"/>
      <c r="L9" s="318"/>
      <c r="M9" s="318"/>
      <c r="N9" s="319"/>
    </row>
    <row r="10" spans="1:256" s="323" customFormat="1" ht="25.5" customHeight="1">
      <c r="A10" s="321"/>
      <c r="B10" s="746" t="s">
        <v>1</v>
      </c>
      <c r="C10" s="746"/>
      <c r="D10" s="747" t="s">
        <v>304</v>
      </c>
      <c r="E10" s="747"/>
      <c r="F10" s="747"/>
      <c r="G10" s="747"/>
      <c r="H10" s="322"/>
      <c r="I10" s="747" t="s">
        <v>305</v>
      </c>
      <c r="J10" s="747"/>
      <c r="K10" s="747"/>
      <c r="L10" s="747"/>
      <c r="M10" s="747"/>
      <c r="N10" s="747"/>
    </row>
    <row r="11" spans="1:256" s="323" customFormat="1" ht="28.5" customHeight="1">
      <c r="A11" s="321"/>
      <c r="B11" s="324" t="s">
        <v>2</v>
      </c>
      <c r="C11" s="325"/>
      <c r="D11" s="750" t="str">
        <f>IF(ISBLANK(Financiamiento!C9),"",(Financiamiento!C9))</f>
        <v xml:space="preserve">Según la decisión anual de desembolso del FM, al RP Plan le ha sido desembolsado $ 4,235,392.00 lo que es igual al presupuesto aprobado para el año 2017, el FM estará desembolsando al RP Plan el margen de seguridad para el año 2 en los primeros dias del mes de enero del año 2018 y representa el presupuesto del primer trimestre del referido año. </v>
      </c>
      <c r="E11" s="750"/>
      <c r="F11" s="750"/>
      <c r="G11" s="750"/>
      <c r="H11" s="326"/>
      <c r="I11" s="751"/>
      <c r="J11" s="751"/>
      <c r="K11" s="751"/>
      <c r="L11" s="751"/>
      <c r="M11" s="751"/>
      <c r="N11" s="751"/>
    </row>
    <row r="12" spans="1:256" s="323" customFormat="1" ht="27.75" customHeight="1">
      <c r="A12" s="321"/>
      <c r="B12" s="327" t="s">
        <v>3</v>
      </c>
      <c r="C12" s="328"/>
      <c r="D12" s="750" t="str">
        <f>IF(ISBLANK(Financiamiento!C24),"",(Financiamiento!C24))</f>
        <v>En el modulo de M&amp;E se tiene un avance del 66%, la variacion del 34% para el P2 se debe principalmente a que presupuestariamente se encuentra presupuestado el estudio de sostenibilidad el cual al cierre del P2 se encuentra pendiente de finalización, ya que el producto final sera entregado en 2018 de acuerdo a indicaciones del FM.
Para los modulos HSH&amp;TRANS y TSF, se encuentra pendiente de compra los productos de salud, los cuales se esperan ingresen en el P3 del año 2018 y sobre los que se tiene comprometidos $ 321,963.14 lo que hara que la inversión se vea reflejada en el P3-2018
Para el módulo de Administración, presupuestariamente se encuentra en el primer trimestre lo relativo al manejo de insumos, sin emabrgo estos se iran gastando en la medida que se vayan cancelando los servicios de almacenaje.
Para el módulo de Cuidado y Tratamiento se observa un avance del 92% lo cual esta dentro de los parametros normales y las economias han sido recalendarizadas para el año 2018.</v>
      </c>
      <c r="E12" s="750"/>
      <c r="F12" s="750"/>
      <c r="G12" s="750"/>
      <c r="H12" s="326"/>
      <c r="I12" s="752"/>
      <c r="J12" s="752"/>
      <c r="K12" s="752"/>
      <c r="L12" s="752"/>
      <c r="M12" s="752"/>
      <c r="N12" s="752"/>
    </row>
    <row r="13" spans="1:256" s="323" customFormat="1" ht="26.25" customHeight="1">
      <c r="A13" s="321"/>
      <c r="B13" s="327" t="s">
        <v>4</v>
      </c>
      <c r="C13" s="328"/>
      <c r="D13" s="750" t="str">
        <f>IF(ISBLANK(Financiamiento!I9),"",(Financiamiento!I9))</f>
        <v>Al cierre del P2, se observa una salida de efectivo neta por  gastos acumulados de $ 2,781,615.94 lo que reperesenta un avance con relación al presupuesto anual del 66%. 
El saldo de caja al 31 de diciembre es de $ 1,748,662.96 entre el RP y SR esta conformado de la siguiente manera:
  $ 4,235,392.00   Desembolsado por el FM
(-) $ 2,781,615.94   Salidas netas de efectivo SR y RP
(+) $    262,723.06   Saldo de caja al cierre de la subvencion anterior
(+) $       31,877.19   Intereses de enero a diciembre 2017
(+) $         286.55 Otros Ingresos por intereses ganados en cuentas de SR
Ademas en la gráfica se observan compromisos y obligaciones del RP al cierre del P2 por un monto de $ 594,039.84</v>
      </c>
      <c r="E13" s="750"/>
      <c r="F13" s="750"/>
      <c r="G13" s="750"/>
      <c r="H13" s="326"/>
      <c r="I13" s="753"/>
      <c r="J13" s="753"/>
      <c r="K13" s="753"/>
      <c r="L13" s="753"/>
      <c r="M13" s="753"/>
      <c r="N13" s="753"/>
    </row>
    <row r="14" spans="1:256" s="323" customFormat="1" ht="28.5" customHeight="1">
      <c r="A14" s="321"/>
      <c r="B14" s="329" t="s">
        <v>5</v>
      </c>
      <c r="C14" s="330"/>
      <c r="D14" s="748" t="str">
        <f>IF(ISBLANK(Financiamiento!I24),"",(Financiamiento!I24))</f>
        <v>En cuanto a la fecha esperada para el envio de informe PUDR, debido a la construccion de la propuesta de financiamiento para los años 2019-2021, se hizo una peticion de ambos RP al FM para prorrogar el plazo de envío, a lo que el Gerente de portafolio estuvo de acuerdo y se concedio hasta el 14 de marzo de 2018.
En relación al desembolso esperado del FM. al cierre del P2, el FM ha desembolsado en los tiempos y de acuerdo a la carta de notificación de decisión anual de desembolsos que nos fue compartida.
En relación a los dias en que el desembolso tarda en llegar a los SR, este se mantiene en los 15 dias esperados, ya que una vez son solventadas todas las observaciones técnicas y financieras se procede a hacer efectivo el desembolso.</v>
      </c>
      <c r="E14" s="748"/>
      <c r="F14" s="748"/>
      <c r="G14" s="748"/>
      <c r="H14" s="326"/>
      <c r="I14" s="749"/>
      <c r="J14" s="749"/>
      <c r="K14" s="749"/>
      <c r="L14" s="749"/>
      <c r="M14" s="749"/>
      <c r="N14" s="749"/>
    </row>
    <row r="15" spans="1:256" s="323" customFormat="1" ht="4.5" customHeight="1">
      <c r="A15" s="321"/>
      <c r="B15" s="331"/>
      <c r="C15" s="332"/>
      <c r="D15" s="333"/>
      <c r="E15" s="333"/>
      <c r="F15" s="333"/>
      <c r="G15" s="333"/>
      <c r="H15" s="326"/>
      <c r="I15" s="334"/>
      <c r="J15" s="334"/>
      <c r="K15" s="334"/>
      <c r="L15" s="334"/>
      <c r="M15" s="334"/>
      <c r="N15" s="334"/>
      <c r="O15" s="335"/>
    </row>
    <row r="16" spans="1:256" s="320" customFormat="1" ht="21" customHeight="1">
      <c r="A16" s="316"/>
      <c r="B16" s="745" t="s">
        <v>6</v>
      </c>
      <c r="C16" s="745"/>
      <c r="D16" s="745"/>
      <c r="E16" s="745"/>
      <c r="F16" s="745"/>
      <c r="G16" s="745"/>
      <c r="H16" s="745"/>
      <c r="I16" s="745"/>
      <c r="J16" s="745"/>
      <c r="K16" s="745"/>
      <c r="L16" s="745"/>
      <c r="M16" s="745"/>
      <c r="N16" s="745"/>
    </row>
    <row r="17" spans="1:15" s="323" customFormat="1" ht="3.75" customHeight="1">
      <c r="A17" s="321"/>
      <c r="B17" s="336"/>
      <c r="C17" s="337"/>
      <c r="D17" s="338"/>
      <c r="E17" s="339"/>
      <c r="F17" s="340"/>
      <c r="G17" s="340"/>
      <c r="H17" s="341"/>
      <c r="I17" s="342"/>
      <c r="J17" s="343"/>
      <c r="K17" s="344"/>
      <c r="L17" s="345"/>
      <c r="M17" s="346"/>
      <c r="N17" s="347"/>
    </row>
    <row r="18" spans="1:15" s="323" customFormat="1" ht="22.5" customHeight="1">
      <c r="A18" s="321"/>
      <c r="B18" s="758" t="s">
        <v>303</v>
      </c>
      <c r="C18" s="758"/>
      <c r="D18" s="759" t="s">
        <v>304</v>
      </c>
      <c r="E18" s="759"/>
      <c r="F18" s="759"/>
      <c r="G18" s="759"/>
      <c r="H18" s="322"/>
      <c r="I18" s="760" t="s">
        <v>305</v>
      </c>
      <c r="J18" s="760"/>
      <c r="K18" s="760"/>
      <c r="L18" s="760"/>
      <c r="M18" s="760"/>
      <c r="N18" s="760"/>
    </row>
    <row r="19" spans="1:15" s="323" customFormat="1" ht="21.9" customHeight="1">
      <c r="A19" s="321"/>
      <c r="B19" s="348" t="s">
        <v>306</v>
      </c>
      <c r="C19" s="349"/>
      <c r="D19" s="754" t="str">
        <f>IF(ISBLANK(Gestión!C8),"",(Gestión!C8))</f>
        <v>No existieron condiciones precedentes</v>
      </c>
      <c r="E19" s="754"/>
      <c r="F19" s="754"/>
      <c r="G19" s="754"/>
      <c r="H19" s="350"/>
      <c r="I19" s="755"/>
      <c r="J19" s="755"/>
      <c r="K19" s="755"/>
      <c r="L19" s="755"/>
      <c r="M19" s="755"/>
      <c r="N19" s="755"/>
    </row>
    <row r="20" spans="1:15" ht="24.75" customHeight="1">
      <c r="A20" s="313"/>
      <c r="B20" s="351" t="s">
        <v>307</v>
      </c>
      <c r="C20" s="352"/>
      <c r="D20" s="756" t="str">
        <f>IF(ISBLANK(Gestión!I8),"",(Gestión!I8))</f>
        <v>Los recursos estan contratados desde el primer semestre de la subvención</v>
      </c>
      <c r="E20" s="756" t="e">
        <f>+'Introducción de datos'!D76/'Introducción de datos'!G76</f>
        <v>#DIV/0!</v>
      </c>
      <c r="F20" s="756" t="e">
        <f>+('Introducción de datos'!E76+'Introducción de datos'!F76)/'Introducción de datos'!G76</f>
        <v>#DIV/0!</v>
      </c>
      <c r="G20" s="756"/>
      <c r="H20" s="350"/>
      <c r="I20" s="757"/>
      <c r="J20" s="757"/>
      <c r="K20" s="757"/>
      <c r="L20" s="757"/>
      <c r="M20" s="757"/>
      <c r="N20" s="757"/>
      <c r="O20" s="353"/>
    </row>
    <row r="21" spans="1:15" ht="29.25" customHeight="1">
      <c r="A21" s="313"/>
      <c r="B21" s="354" t="s">
        <v>7</v>
      </c>
      <c r="C21" s="352"/>
      <c r="D21" s="756" t="str">
        <f>IF(ISBLANK(Gestión!C16),"",(Gestión!C16))</f>
        <v>8 SR contratados para el año 2017.</v>
      </c>
      <c r="E21" s="756"/>
      <c r="F21" s="756"/>
      <c r="G21" s="756"/>
      <c r="H21" s="350"/>
      <c r="I21" s="757"/>
      <c r="J21" s="757"/>
      <c r="K21" s="757"/>
      <c r="L21" s="757"/>
      <c r="M21" s="757"/>
      <c r="N21" s="757"/>
      <c r="O21" s="353"/>
    </row>
    <row r="22" spans="1:15" ht="26.25" customHeight="1">
      <c r="A22" s="313"/>
      <c r="B22" s="354" t="s">
        <v>8</v>
      </c>
      <c r="C22" s="352"/>
      <c r="D22" s="756" t="str">
        <f>IF(ISBLANK(Gestión!I16),"",(Gestión!I16))</f>
        <v>Los 8 SR presentaron sus informes de ejecucion técnica y financiera, correspondiente al primer semestre.</v>
      </c>
      <c r="E22" s="756"/>
      <c r="F22" s="756"/>
      <c r="G22" s="756"/>
      <c r="H22" s="350"/>
      <c r="I22" s="757"/>
      <c r="J22" s="757"/>
      <c r="K22" s="757"/>
      <c r="L22" s="757"/>
      <c r="M22" s="757"/>
      <c r="N22" s="757"/>
      <c r="O22" s="353"/>
    </row>
    <row r="23" spans="1:15" ht="24.75" customHeight="1">
      <c r="A23" s="313"/>
      <c r="B23" s="354" t="s">
        <v>9</v>
      </c>
      <c r="C23" s="352"/>
      <c r="D23" s="756" t="str">
        <f>IF(ISBLANK(Gestión!C27),"",(Gestión!C27))</f>
        <v xml:space="preserve">La adquisicion de producto de salud son realizadas por el RP, no se han tenido dificultades en las adquisiciones. </v>
      </c>
      <c r="E23" s="756"/>
      <c r="F23" s="756"/>
      <c r="G23" s="756"/>
      <c r="H23" s="350"/>
      <c r="I23" s="757"/>
      <c r="J23" s="757"/>
      <c r="K23" s="757"/>
      <c r="L23" s="757"/>
      <c r="M23" s="757"/>
      <c r="N23" s="757"/>
      <c r="O23" s="353"/>
    </row>
    <row r="24" spans="1:15" ht="27" customHeight="1">
      <c r="A24" s="313"/>
      <c r="B24" s="355" t="s">
        <v>10</v>
      </c>
      <c r="C24" s="356"/>
      <c r="D24" s="761" t="str">
        <f>IF(ISBLANK(Gestión!I27),"",(Gestión!I27))</f>
        <v>En las existencias de Pruebas rapidas se cuenta con el desgloce de 641 pruebas Orales y 6,800 pruebas capilares para la realizacion de pruebas para VIH. Un total de 7,441 para Iniciar el años 2017.</v>
      </c>
      <c r="E24" s="761"/>
      <c r="F24" s="761"/>
      <c r="G24" s="761"/>
      <c r="H24" s="350"/>
      <c r="I24" s="762"/>
      <c r="J24" s="762"/>
      <c r="K24" s="762"/>
      <c r="L24" s="762"/>
      <c r="M24" s="762"/>
      <c r="N24" s="762"/>
      <c r="O24" s="353"/>
    </row>
    <row r="25" spans="1:15" ht="4.5" customHeight="1">
      <c r="A25" s="316"/>
      <c r="B25" s="357"/>
      <c r="C25" s="358"/>
      <c r="D25" s="359"/>
      <c r="E25" s="360"/>
      <c r="F25" s="361"/>
      <c r="G25" s="361"/>
      <c r="H25" s="322"/>
      <c r="I25" s="360"/>
      <c r="J25" s="362"/>
      <c r="K25" s="344"/>
      <c r="L25" s="345"/>
      <c r="M25" s="346"/>
      <c r="N25" s="347"/>
      <c r="O25" s="353"/>
    </row>
    <row r="26" spans="1:15" s="320" customFormat="1" ht="21" customHeight="1">
      <c r="A26" s="316"/>
      <c r="B26" s="745" t="s">
        <v>11</v>
      </c>
      <c r="C26" s="745"/>
      <c r="D26" s="745"/>
      <c r="E26" s="745"/>
      <c r="F26" s="745"/>
      <c r="G26" s="745"/>
      <c r="H26" s="745"/>
      <c r="I26" s="745"/>
      <c r="J26" s="745"/>
      <c r="K26" s="745"/>
      <c r="L26" s="745"/>
      <c r="M26" s="745"/>
      <c r="N26" s="745"/>
    </row>
    <row r="27" spans="1:15" ht="3.75" customHeight="1">
      <c r="A27" s="316"/>
      <c r="B27" s="357"/>
      <c r="C27" s="358"/>
      <c r="D27" s="359"/>
      <c r="E27" s="360"/>
      <c r="F27" s="361"/>
      <c r="G27" s="361"/>
      <c r="H27" s="322"/>
      <c r="I27" s="360"/>
      <c r="J27" s="362"/>
      <c r="K27" s="344"/>
      <c r="L27" s="345"/>
      <c r="M27" s="346"/>
      <c r="N27" s="347"/>
      <c r="O27" s="353"/>
    </row>
    <row r="28" spans="1:15" ht="21.75" customHeight="1">
      <c r="A28" s="313"/>
      <c r="B28" s="767" t="s">
        <v>12</v>
      </c>
      <c r="C28" s="767"/>
      <c r="D28" s="768" t="s">
        <v>304</v>
      </c>
      <c r="E28" s="768"/>
      <c r="F28" s="768"/>
      <c r="G28" s="768"/>
      <c r="H28" s="322"/>
      <c r="I28" s="768" t="s">
        <v>305</v>
      </c>
      <c r="J28" s="768"/>
      <c r="K28" s="768"/>
      <c r="L28" s="768"/>
      <c r="M28" s="768"/>
      <c r="N28" s="768"/>
      <c r="O28" s="353"/>
    </row>
    <row r="29" spans="1:15" ht="29.25" customHeight="1">
      <c r="A29" s="313"/>
      <c r="B29" s="363" t="s">
        <v>13</v>
      </c>
      <c r="C29" s="364"/>
      <c r="D29" s="763" t="str">
        <f>IF(ISBLANK(Programatico!C9),"",(Programatico!C9))</f>
        <v>El porcentaje reportado corresponde a las personas HSH alcanzadas con paquete basico durante el P1 año 2017, de acuerdo con  el desarrollo de la metodologia de prevencion combinada.</v>
      </c>
      <c r="E29" s="763"/>
      <c r="F29" s="763"/>
      <c r="G29" s="763"/>
      <c r="H29" s="350"/>
      <c r="I29" s="764" t="s">
        <v>370</v>
      </c>
      <c r="J29" s="764"/>
      <c r="K29" s="764"/>
      <c r="L29" s="764"/>
      <c r="M29" s="764"/>
      <c r="N29" s="764"/>
      <c r="O29" s="353"/>
    </row>
    <row r="30" spans="1:15" ht="21.9" customHeight="1">
      <c r="A30" s="313"/>
      <c r="B30" s="365" t="s">
        <v>14</v>
      </c>
      <c r="C30" s="366"/>
      <c r="D30" s="765" t="str">
        <f>IF(ISBLANK(Programatico!G9),"",(Programatico!G9))</f>
        <v xml:space="preserve">El porcentaje reportado corresponde a las personas TS alcanzadas con paquete basico durante el P1 del año 2017, de acuerdo con  el desarrollo de la metodologia de prevencion combinada. </v>
      </c>
      <c r="E30" s="765"/>
      <c r="F30" s="765"/>
      <c r="G30" s="765"/>
      <c r="H30" s="350"/>
      <c r="I30" s="766"/>
      <c r="J30" s="766"/>
      <c r="K30" s="766"/>
      <c r="L30" s="766"/>
      <c r="M30" s="766"/>
      <c r="N30" s="766"/>
      <c r="O30" s="353"/>
    </row>
    <row r="31" spans="1:15" ht="21.9" customHeight="1">
      <c r="A31" s="313"/>
      <c r="B31" s="365" t="s">
        <v>15</v>
      </c>
      <c r="C31" s="366"/>
      <c r="D31" s="765" t="str">
        <f>IF(ISBLANK(Programatico!M9),"",(Programatico!M9))</f>
        <v>El porcentaje reportado corresponde a las personas TRANS alcanzadas con paquete basico durante el P1 del  año 2017, de acuerdo con  el desarrollo de la metodologia de prevencion combinada.</v>
      </c>
      <c r="E31" s="765"/>
      <c r="F31" s="765"/>
      <c r="G31" s="765"/>
      <c r="H31" s="350"/>
      <c r="I31" s="766"/>
      <c r="J31" s="766"/>
      <c r="K31" s="766"/>
      <c r="L31" s="766"/>
      <c r="M31" s="766"/>
      <c r="N31" s="766"/>
      <c r="O31" s="353"/>
    </row>
    <row r="32" spans="1:15" ht="21.9" customHeight="1">
      <c r="A32" s="313"/>
      <c r="B32" s="367" t="s">
        <v>16</v>
      </c>
      <c r="C32" s="366"/>
      <c r="D32" s="769" t="str">
        <f>IF(ISBLANK(Programatico!L20),"",(Programatico!L20))</f>
        <v xml:space="preserve">El progreso alcanzado durante el   año 2017 permitió lograr las metas programáticas previstas, las cuales incluyeron  el cierre de  ciclos de personas con CUIs que se registraron en el sistema SIGPRO.  Para el semestre reportado se alcanza un 90% de cumplimiento Julio-Diciembre 2017, pero para el cierre del año se logra el 101% de cobertura con 18,230 HSH.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v>
      </c>
      <c r="E32" s="769"/>
      <c r="F32" s="769"/>
      <c r="G32" s="769"/>
      <c r="H32" s="350"/>
      <c r="I32" s="766"/>
      <c r="J32" s="766"/>
      <c r="K32" s="766"/>
      <c r="L32" s="766"/>
      <c r="M32" s="766"/>
      <c r="N32" s="766"/>
      <c r="O32" s="353"/>
    </row>
    <row r="33" spans="1:15" ht="27" customHeight="1">
      <c r="A33" s="313"/>
      <c r="B33" s="367" t="s">
        <v>17</v>
      </c>
      <c r="C33" s="366"/>
      <c r="D33" s="769" t="str">
        <f>IF(ISBLANK(Programatico!L21),"",(Programatico!L21))</f>
        <v xml:space="preserve">El progreso alcanzado durante el   año 2017 permitió lograr las metas programáticas previstas, las cuales incluyeron  el cierre de  ciclos de personas con CUIs que se registraron en el sistema SIGPRO. Para el semestre reportado se alcanza un 103% de cumplimiento Julio-Diciembre 2017, pero para el cierre del año se logra el 101% de cobertura con 9,760 MTS.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Todas las MTS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v>
      </c>
      <c r="E33" s="769"/>
      <c r="F33" s="769"/>
      <c r="G33" s="769"/>
      <c r="H33" s="350"/>
      <c r="I33" s="766"/>
      <c r="J33" s="766"/>
      <c r="K33" s="766"/>
      <c r="L33" s="766"/>
      <c r="M33" s="766"/>
      <c r="N33" s="766"/>
      <c r="O33" s="353"/>
    </row>
    <row r="34" spans="1:15" ht="21.9" customHeight="1">
      <c r="A34" s="313"/>
      <c r="B34" s="367" t="s">
        <v>18</v>
      </c>
      <c r="C34" s="366"/>
      <c r="D34" s="769" t="str">
        <f>IF(ISBLANK(Programatico!L22),"",(Programatico!L22))</f>
        <v xml:space="preserve">El progreso alcanzado durante el   año 2017 permitió lograr las metas programáticas previstas, las cuales incluyeron  el cierre de  ciclos de personas con CUIs que se registraron en el sistema SIGPRO. Para el semestre reportado se alcanza un 92% de cumplimiento Julio-Diciembre 2017, pero para el cierre del año se logra el 101% de cobertura con 1,631 Mujeres Trans.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exclusivamente en actividades educativas    y  en la cantidad requerida  según al marco de desempeño; esta entrega de insumos implicaba  la demostración del uso correcto y consistente del condón,  en algunos casos de la negociación con las parejas sexuales.
3- Referencias a pruebas de VIH.  Todas las Trans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v>
      </c>
      <c r="E34" s="769"/>
      <c r="F34" s="769"/>
      <c r="G34" s="769"/>
      <c r="H34" s="350"/>
      <c r="I34" s="766"/>
      <c r="J34" s="766"/>
      <c r="K34" s="766"/>
      <c r="L34" s="766"/>
      <c r="M34" s="766"/>
      <c r="N34" s="766"/>
      <c r="O34" s="353"/>
    </row>
    <row r="35" spans="1:15" ht="21.9" customHeight="1">
      <c r="A35" s="313"/>
      <c r="B35" s="367" t="s">
        <v>19</v>
      </c>
      <c r="C35" s="368"/>
      <c r="D35" s="769" t="str">
        <f>IF(ISBLANK(Programatico!L23),"",(Programatico!L23))</f>
        <v xml:space="preserve">. Los datos que se muestran corresponden al avance del cumplimiento como país del año 2017 del indicador de toma de prueba para VIH en Población HSH y que conoce su resultado, el cual es un indicador compartido entre Plan, MINSAL y PEPFAR; por lo que el avance reportado es un avance de Plan Internacional y sus socios implementadores.  Como denominador para este semestre se tiene una meta de 7572 con lo que se tiene un cumplimiento registrado en el SUMEVE de 7,603 post-consejerias lo que corresponde al 100%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v>
      </c>
      <c r="E35" s="769"/>
      <c r="F35" s="769"/>
      <c r="G35" s="769"/>
      <c r="H35" s="350"/>
      <c r="I35" s="766"/>
      <c r="J35" s="766"/>
      <c r="K35" s="766"/>
      <c r="L35" s="766"/>
      <c r="M35" s="766"/>
      <c r="N35" s="766"/>
      <c r="O35" s="353"/>
    </row>
    <row r="36" spans="1:15" ht="21.9" customHeight="1">
      <c r="A36" s="313"/>
      <c r="B36" s="367" t="s">
        <v>20</v>
      </c>
      <c r="C36" s="368"/>
      <c r="D36" s="769" t="str">
        <f>IF(ISBLANK(Programatico!L24),"",(Programatico!L24))</f>
        <v xml:space="preserve">. Los datos que se muestran corresponden al avance del cumplimiento como país del año 2017 del indicador de toma de prueba para VIH en Población MTS y que conoce su resultado, el cual es un indicador compartido entre Plan, MINSAL y PEPFAR; por lo que el avance reportado es un avance de Plan Internacional y sus socios implementadores.  Como denominador para este semestre se tiene una meta de 4,080 con lo que se tiene un cumplimiento registrado en el SUMEVE de 4,107 post-consejerias lo que corresponde al 101%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v>
      </c>
      <c r="E36" s="769"/>
      <c r="F36" s="769"/>
      <c r="G36" s="769"/>
      <c r="H36" s="350"/>
      <c r="I36" s="766"/>
      <c r="J36" s="766"/>
      <c r="K36" s="766"/>
      <c r="L36" s="766"/>
      <c r="M36" s="766"/>
      <c r="N36" s="766"/>
      <c r="O36" s="353"/>
    </row>
    <row r="37" spans="1:15" ht="21.9" customHeight="1">
      <c r="A37" s="313"/>
      <c r="B37" s="367" t="s">
        <v>21</v>
      </c>
      <c r="C37" s="368"/>
      <c r="D37" s="769" t="str">
        <f>IF(ISBLANK(Programatico!L25),"",(Programatico!L25))</f>
        <v xml:space="preserve">. Los datos que se muestran corresponden al avance del cumplimiento como país del año 2017 del indicador de toma de prueba para VIH en Población MT y que conoce su resultado, el cual es un indicador compartido entre Plan, MINSAL y PEPFAR; por lo que el avance reportado es un avance de Plan Internacional y sus socios implementadores.  Como denominador para este semestre se tiene una meta de 678 con lo que se tiene un cumplimiento registrado en el SUMEVE de 676 post-consejerias lo que corresponde al 100% de la meta del año.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 Los datos que se presentan son preliminares ya que actualmente no se ha realizado el barrido administrativo para recuperar la información en el SUMEVE, anteriormente las post consejerías se reportaban en el SEPS el cual no era de forma nominal. De igual manera aún no se cuenta con los datos de PEPFAR.
</v>
      </c>
      <c r="E37" s="769"/>
      <c r="F37" s="769"/>
      <c r="G37" s="769"/>
      <c r="H37" s="350"/>
      <c r="I37" s="766"/>
      <c r="J37" s="766"/>
      <c r="K37" s="766"/>
      <c r="L37" s="766"/>
      <c r="M37" s="766"/>
      <c r="N37" s="766"/>
      <c r="O37" s="353"/>
    </row>
    <row r="38" spans="1:15" ht="21.9" customHeight="1">
      <c r="A38" s="313"/>
      <c r="B38" s="367" t="s">
        <v>22</v>
      </c>
      <c r="C38" s="368"/>
      <c r="D38" s="769" t="str">
        <f>IF(ISBLANK(Programatico!L26),"",(Programatico!L26))</f>
        <v/>
      </c>
      <c r="E38" s="769"/>
      <c r="F38" s="769"/>
      <c r="G38" s="769"/>
      <c r="H38" s="350"/>
      <c r="I38" s="766"/>
      <c r="J38" s="766"/>
      <c r="K38" s="766"/>
      <c r="L38" s="766"/>
      <c r="M38" s="766"/>
      <c r="N38" s="766"/>
      <c r="O38" s="353"/>
    </row>
    <row r="39" spans="1:15" ht="21.9" customHeight="1">
      <c r="A39" s="313"/>
      <c r="B39" s="367" t="s">
        <v>23</v>
      </c>
      <c r="C39" s="368"/>
      <c r="D39" s="769" t="e">
        <f>IF(ISBLANK(Programatico!#REF!),"",(Programatico!#REF!))</f>
        <v>#REF!</v>
      </c>
      <c r="E39" s="769"/>
      <c r="F39" s="769"/>
      <c r="G39" s="769"/>
      <c r="H39" s="350"/>
      <c r="I39" s="766"/>
      <c r="J39" s="766"/>
      <c r="K39" s="766"/>
      <c r="L39" s="766"/>
      <c r="M39" s="766"/>
      <c r="N39" s="766"/>
      <c r="O39" s="353"/>
    </row>
    <row r="40" spans="1:15" ht="21.9" customHeight="1">
      <c r="A40" s="313"/>
      <c r="B40" s="367" t="s">
        <v>207</v>
      </c>
      <c r="C40" s="368"/>
      <c r="D40" s="769" t="e">
        <f>IF(ISBLANK(Programatico!#REF!),"",(Programatico!#REF!))</f>
        <v>#REF!</v>
      </c>
      <c r="E40" s="769"/>
      <c r="F40" s="769"/>
      <c r="G40" s="769"/>
      <c r="H40" s="350"/>
      <c r="I40" s="766"/>
      <c r="J40" s="766"/>
      <c r="K40" s="766"/>
      <c r="L40" s="766"/>
      <c r="M40" s="766"/>
      <c r="N40" s="766"/>
      <c r="O40" s="353"/>
    </row>
    <row r="41" spans="1:15" ht="21.9" customHeight="1">
      <c r="A41" s="313"/>
      <c r="B41" s="367" t="s">
        <v>208</v>
      </c>
      <c r="C41" s="369"/>
      <c r="D41" s="769" t="e">
        <f>IF(ISBLANK(Programatico!#REF!),"",(Programatico!#REF!))</f>
        <v>#REF!</v>
      </c>
      <c r="E41" s="769"/>
      <c r="F41" s="769"/>
      <c r="G41" s="769"/>
      <c r="H41" s="350"/>
      <c r="I41" s="770"/>
      <c r="J41" s="770"/>
      <c r="K41" s="770"/>
      <c r="L41" s="770"/>
      <c r="M41" s="770"/>
      <c r="N41" s="770"/>
      <c r="O41" s="353"/>
    </row>
  </sheetData>
  <sheetProtection password="CFC9" sheet="1" objects="1" scenario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D13:G13"/>
    <mergeCell ref="I13:N13"/>
    <mergeCell ref="E6:K6"/>
    <mergeCell ref="B8:N8"/>
    <mergeCell ref="B10:C10"/>
    <mergeCell ref="D10:G10"/>
    <mergeCell ref="I10:N10"/>
    <mergeCell ref="E5:K5"/>
    <mergeCell ref="B2:N2"/>
    <mergeCell ref="C3:D3"/>
    <mergeCell ref="E3:K3"/>
    <mergeCell ref="C4:D4"/>
    <mergeCell ref="E4:K4"/>
  </mergeCells>
  <phoneticPr fontId="71"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scale="57" firstPageNumber="0" orientation="landscape" horizontalDpi="300" verticalDpi="300"/>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1:M43"/>
  <sheetViews>
    <sheetView showGridLines="0" zoomScale="70" zoomScaleNormal="70" zoomScaleSheetLayoutView="100" workbookViewId="0">
      <selection activeCell="K16" sqref="K16:L17"/>
    </sheetView>
  </sheetViews>
  <sheetFormatPr baseColWidth="10" defaultColWidth="9.109375" defaultRowHeight="14.4"/>
  <cols>
    <col min="1" max="1" width="4.109375" customWidth="1"/>
    <col min="2" max="2" width="14.5546875" customWidth="1"/>
    <col min="3" max="3" width="12.44140625" customWidth="1"/>
    <col min="4" max="4" width="11.5546875" customWidth="1"/>
    <col min="5" max="5" width="19" customWidth="1"/>
    <col min="6" max="6" width="1.44140625" customWidth="1"/>
    <col min="7" max="7" width="11.44140625" customWidth="1"/>
    <col min="8" max="8" width="9.5546875" customWidth="1"/>
    <col min="9" max="9" width="11.5546875" customWidth="1"/>
    <col min="10" max="10" width="12.5546875" customWidth="1"/>
    <col min="11" max="11" width="10.5546875" customWidth="1"/>
    <col min="12" max="12" width="9.6640625" customWidth="1"/>
  </cols>
  <sheetData>
    <row r="1" spans="1:13" ht="30.75" customHeight="1"/>
    <row r="2" spans="1:13" ht="27.75" customHeight="1">
      <c r="B2" s="674" t="str">
        <f>+"Cuadro de mando:  "&amp;"  "&amp;+'Introducción de datos'!C4&amp;" - "&amp;'Introducción de datos'!G6</f>
        <v>Cuadro de mando:    El Salvador - VIH / SIDA</v>
      </c>
      <c r="C2" s="674"/>
      <c r="D2" s="674"/>
      <c r="E2" s="674"/>
      <c r="F2" s="674"/>
      <c r="G2" s="674"/>
      <c r="H2" s="674"/>
      <c r="I2" s="674"/>
      <c r="J2" s="674"/>
      <c r="K2" s="674"/>
      <c r="L2" s="674"/>
    </row>
    <row r="3" spans="1:13">
      <c r="B3" s="275" t="str">
        <f>+'Introducción de datos'!G8</f>
        <v>Seleccionar</v>
      </c>
      <c r="C3" s="675" t="str">
        <f>+'Introducción de datos'!I8</f>
        <v>Seleccionar</v>
      </c>
      <c r="D3" s="675"/>
      <c r="E3" s="676"/>
      <c r="F3" s="676"/>
      <c r="G3" s="676"/>
      <c r="H3" s="676"/>
      <c r="I3" s="676"/>
      <c r="J3" s="677" t="str">
        <f>+'Introducción de datos'!B16</f>
        <v>Periodo:</v>
      </c>
      <c r="K3" s="677"/>
      <c r="L3" s="293" t="str">
        <f>+'Introducción de datos'!C16</f>
        <v>P2</v>
      </c>
      <c r="M3" s="370"/>
    </row>
    <row r="4" spans="1:13">
      <c r="B4" s="275" t="str">
        <f>+'Introducción de datos'!B12</f>
        <v>Ultima calificación:</v>
      </c>
      <c r="C4" s="771" t="str">
        <f>+'Introducción de datos'!C12</f>
        <v>A1</v>
      </c>
      <c r="D4" s="771"/>
      <c r="E4" s="676" t="str">
        <f>+'Introducción de datos'!C8</f>
        <v>PLAN  INTERNACIONAL</v>
      </c>
      <c r="F4" s="676"/>
      <c r="G4" s="676"/>
      <c r="H4" s="676"/>
      <c r="I4" s="676"/>
      <c r="J4" s="677" t="str">
        <f>+'Introducción de datos'!D16</f>
        <v>Desde:</v>
      </c>
      <c r="K4" s="677"/>
      <c r="L4" s="250" t="s">
        <v>340</v>
      </c>
    </row>
    <row r="5" spans="1:13" ht="18.75" customHeight="1">
      <c r="B5" s="275"/>
      <c r="C5" s="275"/>
      <c r="D5" s="676" t="str">
        <f>+'Introducción de datos'!G4</f>
        <v>INNOVANDO SERVICIOS, REDUCIENDO RIESGOS, RENOVANDO VIDAS EN EL SALVADOR</v>
      </c>
      <c r="E5" s="676"/>
      <c r="F5" s="676"/>
      <c r="G5" s="676"/>
      <c r="H5" s="676"/>
      <c r="I5" s="676"/>
      <c r="J5" s="676"/>
      <c r="K5" s="275" t="str">
        <f>+'Introducción de datos'!F16</f>
        <v>Hasta:</v>
      </c>
      <c r="L5" s="250" t="s">
        <v>341</v>
      </c>
    </row>
    <row r="6" spans="1:13" ht="18">
      <c r="B6" s="276"/>
      <c r="C6" s="275"/>
      <c r="D6" s="252"/>
      <c r="E6" s="682" t="s">
        <v>24</v>
      </c>
      <c r="F6" s="682"/>
      <c r="G6" s="682"/>
      <c r="H6" s="682"/>
      <c r="I6" s="682"/>
    </row>
    <row r="7" spans="1:13" ht="18">
      <c r="E7" s="371"/>
      <c r="F7" s="371"/>
      <c r="G7" s="371"/>
      <c r="H7" s="371"/>
      <c r="I7" s="371"/>
    </row>
    <row r="8" spans="1:13" s="320" customFormat="1" ht="21" customHeight="1">
      <c r="B8" s="372" t="s">
        <v>25</v>
      </c>
      <c r="C8" s="373"/>
      <c r="D8" s="373"/>
      <c r="E8" s="373"/>
      <c r="F8" s="373"/>
      <c r="G8" s="373"/>
      <c r="H8" s="373"/>
      <c r="I8" s="373"/>
      <c r="J8" s="373"/>
      <c r="K8" s="373"/>
      <c r="L8" s="373"/>
    </row>
    <row r="9" spans="1:13" ht="6" customHeight="1">
      <c r="B9" s="374"/>
    </row>
    <row r="10" spans="1:13">
      <c r="B10" s="772"/>
      <c r="C10" s="772"/>
      <c r="D10" s="772"/>
      <c r="E10" s="772"/>
      <c r="F10" s="772"/>
      <c r="G10" s="772"/>
      <c r="H10" s="772"/>
      <c r="I10" s="772"/>
      <c r="J10" s="772"/>
      <c r="K10" s="772"/>
      <c r="L10" s="772"/>
    </row>
    <row r="11" spans="1:13">
      <c r="B11" s="772"/>
      <c r="C11" s="772"/>
      <c r="D11" s="772"/>
      <c r="E11" s="772"/>
      <c r="F11" s="772"/>
      <c r="G11" s="772"/>
      <c r="H11" s="772"/>
      <c r="I11" s="772"/>
      <c r="J11" s="772"/>
      <c r="K11" s="772"/>
      <c r="L11" s="772"/>
    </row>
    <row r="13" spans="1:13" ht="42" customHeight="1">
      <c r="A13" s="375"/>
      <c r="B13" s="773" t="s">
        <v>26</v>
      </c>
      <c r="C13" s="773"/>
      <c r="D13" s="773"/>
      <c r="E13" s="773"/>
      <c r="F13" s="376"/>
      <c r="G13" s="774" t="s">
        <v>27</v>
      </c>
      <c r="H13" s="774"/>
      <c r="I13" s="774"/>
      <c r="J13" s="377" t="s">
        <v>28</v>
      </c>
      <c r="K13" s="775" t="s">
        <v>29</v>
      </c>
      <c r="L13" s="775"/>
    </row>
    <row r="14" spans="1:13" ht="16.5" customHeight="1">
      <c r="A14" s="776" t="s">
        <v>215</v>
      </c>
      <c r="B14" s="777" t="s">
        <v>371</v>
      </c>
      <c r="C14" s="777"/>
      <c r="D14" s="777"/>
      <c r="E14" s="777"/>
      <c r="F14" s="84"/>
      <c r="G14" s="778"/>
      <c r="H14" s="778"/>
      <c r="I14" s="778"/>
      <c r="J14" s="779"/>
      <c r="K14" s="783"/>
      <c r="L14" s="783"/>
    </row>
    <row r="15" spans="1:13" ht="40.200000000000003" customHeight="1">
      <c r="A15" s="776"/>
      <c r="B15" s="777"/>
      <c r="C15" s="777"/>
      <c r="D15" s="777"/>
      <c r="E15" s="777"/>
      <c r="F15" s="84"/>
      <c r="G15" s="778"/>
      <c r="H15" s="778"/>
      <c r="I15" s="778"/>
      <c r="J15" s="779"/>
      <c r="K15" s="783"/>
      <c r="L15" s="783"/>
    </row>
    <row r="16" spans="1:13" ht="25.5" customHeight="1">
      <c r="A16" s="776"/>
      <c r="B16" s="777"/>
      <c r="C16" s="777"/>
      <c r="D16" s="777"/>
      <c r="E16" s="777"/>
      <c r="F16" s="84"/>
      <c r="G16" s="784"/>
      <c r="H16" s="784"/>
      <c r="I16" s="784"/>
      <c r="J16" s="785"/>
      <c r="K16" s="786"/>
      <c r="L16" s="786"/>
    </row>
    <row r="17" spans="1:12" ht="24" customHeight="1">
      <c r="A17" s="776"/>
      <c r="B17" s="777"/>
      <c r="C17" s="777"/>
      <c r="D17" s="777"/>
      <c r="E17" s="777"/>
      <c r="F17" s="84"/>
      <c r="G17" s="784"/>
      <c r="H17" s="784"/>
      <c r="I17" s="784"/>
      <c r="J17" s="785"/>
      <c r="K17" s="786"/>
      <c r="L17" s="786"/>
    </row>
    <row r="18" spans="1:12">
      <c r="A18" s="776"/>
      <c r="B18" s="777"/>
      <c r="C18" s="777"/>
      <c r="D18" s="777"/>
      <c r="E18" s="777"/>
      <c r="F18" s="84"/>
      <c r="G18" s="780"/>
      <c r="H18" s="780"/>
      <c r="I18" s="780"/>
      <c r="J18" s="781"/>
      <c r="K18" s="786"/>
      <c r="L18" s="786"/>
    </row>
    <row r="19" spans="1:12" ht="30.75" customHeight="1">
      <c r="A19" s="776"/>
      <c r="B19" s="777"/>
      <c r="C19" s="777"/>
      <c r="D19" s="777"/>
      <c r="E19" s="777"/>
      <c r="F19" s="84"/>
      <c r="G19" s="780"/>
      <c r="H19" s="780"/>
      <c r="I19" s="780"/>
      <c r="J19" s="781"/>
      <c r="K19" s="781"/>
      <c r="L19" s="786"/>
    </row>
    <row r="20" spans="1:12">
      <c r="A20" s="776"/>
      <c r="B20" s="777"/>
      <c r="C20" s="777"/>
      <c r="D20" s="777"/>
      <c r="E20" s="777"/>
      <c r="F20" s="84"/>
      <c r="G20" s="782"/>
      <c r="H20" s="782"/>
      <c r="I20" s="782"/>
      <c r="J20" s="781"/>
      <c r="K20" s="786"/>
      <c r="L20" s="786"/>
    </row>
    <row r="21" spans="1:12">
      <c r="A21" s="776"/>
      <c r="B21" s="777"/>
      <c r="C21" s="777"/>
      <c r="D21" s="777"/>
      <c r="E21" s="777"/>
      <c r="F21" s="84"/>
      <c r="G21" s="782"/>
      <c r="H21" s="782"/>
      <c r="I21" s="782"/>
      <c r="J21" s="781"/>
      <c r="K21" s="781"/>
      <c r="L21" s="786"/>
    </row>
    <row r="22" spans="1:12">
      <c r="A22" s="776"/>
      <c r="B22" s="777"/>
      <c r="C22" s="777"/>
      <c r="D22" s="777"/>
      <c r="E22" s="777"/>
      <c r="F22" s="84"/>
      <c r="G22" s="782"/>
      <c r="H22" s="782"/>
      <c r="I22" s="782"/>
      <c r="J22" s="781"/>
      <c r="K22" s="786"/>
      <c r="L22" s="786"/>
    </row>
    <row r="23" spans="1:12">
      <c r="A23" s="776"/>
      <c r="B23" s="777"/>
      <c r="C23" s="777"/>
      <c r="D23" s="777"/>
      <c r="E23" s="777"/>
      <c r="F23" s="84"/>
      <c r="G23" s="782"/>
      <c r="H23" s="782"/>
      <c r="I23" s="782"/>
      <c r="J23" s="781"/>
      <c r="K23" s="781"/>
      <c r="L23" s="786"/>
    </row>
    <row r="24" spans="1:12">
      <c r="A24" s="776"/>
      <c r="B24" s="787"/>
      <c r="C24" s="787"/>
      <c r="D24" s="787"/>
      <c r="E24" s="787"/>
      <c r="F24" s="84"/>
      <c r="G24" s="788"/>
      <c r="H24" s="788"/>
      <c r="I24" s="788"/>
      <c r="J24" s="789"/>
      <c r="K24" s="790"/>
      <c r="L24" s="790"/>
    </row>
    <row r="25" spans="1:12">
      <c r="A25" s="776"/>
      <c r="B25" s="787"/>
      <c r="C25" s="787"/>
      <c r="D25" s="787"/>
      <c r="E25" s="787"/>
      <c r="F25" s="84"/>
      <c r="G25" s="788"/>
      <c r="H25" s="788"/>
      <c r="I25" s="788"/>
      <c r="J25" s="789"/>
      <c r="K25" s="789"/>
      <c r="L25" s="790"/>
    </row>
    <row r="26" spans="1:12">
      <c r="A26" s="375"/>
      <c r="B26" s="375"/>
      <c r="C26" s="375"/>
      <c r="D26" s="375"/>
      <c r="E26" s="375"/>
      <c r="F26" s="375"/>
      <c r="G26" s="375"/>
      <c r="H26" s="375"/>
      <c r="I26" s="375"/>
      <c r="J26" s="375"/>
      <c r="K26" s="375"/>
      <c r="L26" s="375"/>
    </row>
    <row r="27" spans="1:12" ht="18">
      <c r="A27" s="375"/>
      <c r="B27" s="375"/>
      <c r="C27" s="375"/>
      <c r="D27" s="375"/>
      <c r="E27" s="378" t="s">
        <v>30</v>
      </c>
      <c r="F27" s="379"/>
      <c r="G27" s="379"/>
      <c r="H27" s="379"/>
      <c r="I27" s="379"/>
      <c r="J27" s="375"/>
      <c r="K27" s="375"/>
      <c r="L27" s="375"/>
    </row>
    <row r="28" spans="1:12" ht="6" customHeight="1">
      <c r="A28" s="375"/>
      <c r="B28" s="375"/>
      <c r="C28" s="375"/>
      <c r="D28" s="375"/>
      <c r="E28" s="380"/>
      <c r="F28" s="380"/>
      <c r="G28" s="380"/>
      <c r="H28" s="380"/>
      <c r="I28" s="380"/>
      <c r="J28" s="375"/>
      <c r="K28" s="375"/>
      <c r="L28" s="375"/>
    </row>
    <row r="29" spans="1:12" s="320" customFormat="1" ht="21" customHeight="1">
      <c r="A29" s="381"/>
      <c r="B29" s="372" t="s">
        <v>31</v>
      </c>
      <c r="C29" s="382"/>
      <c r="D29" s="382"/>
      <c r="E29" s="382"/>
      <c r="F29" s="382"/>
      <c r="G29" s="382"/>
      <c r="H29" s="382"/>
      <c r="I29" s="382"/>
      <c r="J29" s="382"/>
      <c r="K29" s="382"/>
      <c r="L29" s="382"/>
    </row>
    <row r="30" spans="1:12" ht="6" customHeight="1">
      <c r="A30" s="375"/>
      <c r="B30" s="383"/>
      <c r="C30" s="375"/>
      <c r="D30" s="375"/>
      <c r="E30" s="375"/>
      <c r="F30" s="375"/>
      <c r="G30" s="375"/>
      <c r="H30" s="375"/>
      <c r="I30" s="375"/>
      <c r="J30" s="375"/>
      <c r="K30" s="375"/>
      <c r="L30" s="375"/>
    </row>
    <row r="31" spans="1:12" ht="45" customHeight="1">
      <c r="A31" s="375"/>
      <c r="B31" s="773" t="s">
        <v>27</v>
      </c>
      <c r="C31" s="773"/>
      <c r="D31" s="773"/>
      <c r="E31" s="773"/>
      <c r="F31" s="376"/>
      <c r="G31" s="774" t="s">
        <v>32</v>
      </c>
      <c r="H31" s="774"/>
      <c r="I31" s="774"/>
      <c r="J31" s="377" t="s">
        <v>28</v>
      </c>
      <c r="K31" s="775" t="s">
        <v>29</v>
      </c>
      <c r="L31" s="775"/>
    </row>
    <row r="32" spans="1:12" ht="18.75" customHeight="1">
      <c r="A32" s="776" t="s">
        <v>33</v>
      </c>
      <c r="B32" s="791"/>
      <c r="C32" s="791"/>
      <c r="D32" s="791"/>
      <c r="E32" s="791"/>
      <c r="F32" s="84"/>
      <c r="G32" s="792"/>
      <c r="H32" s="792"/>
      <c r="I32" s="792"/>
      <c r="J32" s="793"/>
      <c r="K32" s="794"/>
      <c r="L32" s="794"/>
    </row>
    <row r="33" spans="1:12" ht="18.75" customHeight="1">
      <c r="A33" s="776"/>
      <c r="B33" s="791"/>
      <c r="C33" s="791"/>
      <c r="D33" s="791"/>
      <c r="E33" s="791"/>
      <c r="F33" s="84"/>
      <c r="G33" s="792"/>
      <c r="H33" s="792"/>
      <c r="I33" s="792"/>
      <c r="J33" s="793"/>
      <c r="K33" s="793"/>
      <c r="L33" s="794"/>
    </row>
    <row r="34" spans="1:12" ht="18.75" customHeight="1">
      <c r="A34" s="776"/>
      <c r="B34" s="795" t="str">
        <f>IF(Recomendaciones!I43="","",Recomendaciones!I43)</f>
        <v/>
      </c>
      <c r="C34" s="795"/>
      <c r="D34" s="795"/>
      <c r="E34" s="795"/>
      <c r="F34" s="84"/>
      <c r="G34" s="796"/>
      <c r="H34" s="796"/>
      <c r="I34" s="796"/>
      <c r="J34" s="797"/>
      <c r="K34" s="798"/>
      <c r="L34" s="798"/>
    </row>
    <row r="35" spans="1:12" ht="18.75" customHeight="1">
      <c r="A35" s="776"/>
      <c r="B35" s="795"/>
      <c r="C35" s="795"/>
      <c r="D35" s="795"/>
      <c r="E35" s="795"/>
      <c r="F35" s="84"/>
      <c r="G35" s="796"/>
      <c r="H35" s="796"/>
      <c r="I35" s="796"/>
      <c r="J35" s="797"/>
      <c r="K35" s="797"/>
      <c r="L35" s="798"/>
    </row>
    <row r="36" spans="1:12" ht="18.75" customHeight="1">
      <c r="A36" s="776"/>
      <c r="B36" s="795" t="str">
        <f>+IF(Recomendaciones!I53="","",Recomendaciones!I53)</f>
        <v/>
      </c>
      <c r="C36" s="795"/>
      <c r="D36" s="795"/>
      <c r="E36" s="795"/>
      <c r="F36" s="84"/>
      <c r="G36" s="796"/>
      <c r="H36" s="796"/>
      <c r="I36" s="796"/>
      <c r="J36" s="797"/>
      <c r="K36" s="798"/>
      <c r="L36" s="798"/>
    </row>
    <row r="37" spans="1:12" ht="18.75" customHeight="1">
      <c r="A37" s="776"/>
      <c r="B37" s="795"/>
      <c r="C37" s="795"/>
      <c r="D37" s="795"/>
      <c r="E37" s="795"/>
      <c r="F37" s="84"/>
      <c r="G37" s="796"/>
      <c r="H37" s="796"/>
      <c r="I37" s="796"/>
      <c r="J37" s="797"/>
      <c r="K37" s="797"/>
      <c r="L37" s="798"/>
    </row>
    <row r="38" spans="1:12" ht="18.75" customHeight="1">
      <c r="A38" s="776"/>
      <c r="B38" s="795"/>
      <c r="C38" s="795"/>
      <c r="D38" s="795"/>
      <c r="E38" s="795"/>
      <c r="F38" s="84"/>
      <c r="G38" s="796"/>
      <c r="H38" s="796"/>
      <c r="I38" s="796"/>
      <c r="J38" s="797"/>
      <c r="K38" s="798"/>
      <c r="L38" s="798"/>
    </row>
    <row r="39" spans="1:12" ht="18.75" customHeight="1">
      <c r="A39" s="776"/>
      <c r="B39" s="795"/>
      <c r="C39" s="795"/>
      <c r="D39" s="795"/>
      <c r="E39" s="795"/>
      <c r="F39" s="84"/>
      <c r="G39" s="796"/>
      <c r="H39" s="796"/>
      <c r="I39" s="796"/>
      <c r="J39" s="797"/>
      <c r="K39" s="797"/>
      <c r="L39" s="798"/>
    </row>
    <row r="40" spans="1:12" ht="18.75" customHeight="1">
      <c r="A40" s="776"/>
      <c r="B40" s="795"/>
      <c r="C40" s="795"/>
      <c r="D40" s="795"/>
      <c r="E40" s="795"/>
      <c r="F40" s="84"/>
      <c r="G40" s="796"/>
      <c r="H40" s="796"/>
      <c r="I40" s="796"/>
      <c r="J40" s="797"/>
      <c r="K40" s="798"/>
      <c r="L40" s="798"/>
    </row>
    <row r="41" spans="1:12" ht="18.75" customHeight="1">
      <c r="A41" s="776"/>
      <c r="B41" s="795"/>
      <c r="C41" s="795"/>
      <c r="D41" s="795"/>
      <c r="E41" s="795"/>
      <c r="F41" s="84"/>
      <c r="G41" s="796"/>
      <c r="H41" s="796"/>
      <c r="I41" s="796"/>
      <c r="J41" s="797"/>
      <c r="K41" s="797"/>
      <c r="L41" s="798"/>
    </row>
    <row r="42" spans="1:12" ht="18.75" customHeight="1">
      <c r="A42" s="776"/>
      <c r="B42" s="799"/>
      <c r="C42" s="799"/>
      <c r="D42" s="799"/>
      <c r="E42" s="799"/>
      <c r="F42" s="84"/>
      <c r="G42" s="800"/>
      <c r="H42" s="800"/>
      <c r="I42" s="800"/>
      <c r="J42" s="801"/>
      <c r="K42" s="802"/>
      <c r="L42" s="802"/>
    </row>
    <row r="43" spans="1:12" ht="18.75" customHeight="1">
      <c r="A43" s="776"/>
      <c r="B43" s="799"/>
      <c r="C43" s="799"/>
      <c r="D43" s="799"/>
      <c r="E43" s="799"/>
      <c r="F43" s="84"/>
      <c r="G43" s="800"/>
      <c r="H43" s="800"/>
      <c r="I43" s="800"/>
      <c r="J43" s="801"/>
      <c r="K43" s="801"/>
      <c r="L43" s="802"/>
    </row>
  </sheetData>
  <sheetProtection selectLockedCells="1" selectUnlockedCells="1"/>
  <mergeCells count="66">
    <mergeCell ref="B36:E37"/>
    <mergeCell ref="G36:I37"/>
    <mergeCell ref="J36:J37"/>
    <mergeCell ref="K36:L37"/>
    <mergeCell ref="B42:E43"/>
    <mergeCell ref="G42:I43"/>
    <mergeCell ref="J42:J43"/>
    <mergeCell ref="K42:L43"/>
    <mergeCell ref="B40:E41"/>
    <mergeCell ref="G40:I41"/>
    <mergeCell ref="J40:J41"/>
    <mergeCell ref="K40:L4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phoneticPr fontId="71"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scale="70"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otalTime>34451</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25</vt:i4>
      </vt:variant>
    </vt:vector>
  </HeadingPairs>
  <TitlesOfParts>
    <vt:vector size="35" baseType="lpstr">
      <vt:lpstr>Menú</vt:lpstr>
      <vt:lpstr>Lista de indicadores</vt:lpstr>
      <vt:lpstr>Información de la subvención</vt:lpstr>
      <vt:lpstr>Introducción de datos</vt:lpstr>
      <vt:lpstr>Financiamiento</vt:lpstr>
      <vt:lpstr>Gestión</vt:lpstr>
      <vt:lpstr>Programatico</vt:lpstr>
      <vt:lpstr>Recomendaciones</vt:lpstr>
      <vt:lpstr>Acciones</vt:lpstr>
      <vt:lpstr>Setup</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Gomez, MaiaSofia</dc:creator>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Carlos Alberto Gomez</cp:lastModifiedBy>
  <cp:revision>1</cp:revision>
  <cp:lastPrinted>2011-01-31T13:36:40Z</cp:lastPrinted>
  <dcterms:created xsi:type="dcterms:W3CDTF">2008-11-20T16:06:13Z</dcterms:created>
  <dcterms:modified xsi:type="dcterms:W3CDTF">2018-06-13T16:39:11Z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