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820" activeTab="4"/>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datos'!$A$1:$Q$159</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datos'!$B$25:$J$76</definedName>
    <definedName name="PrintDataM">'Introducción de datos'!$B$78:$H$126</definedName>
    <definedName name="PrintF">'Financiamiento'!$A$2:$K$31</definedName>
    <definedName name="PrintGD">'Información de la subvención'!$A$2:$J$13</definedName>
    <definedName name="PrintM" localSheetId="8">'Acciones'!$A$2:$L$6</definedName>
    <definedName name="PrintM">'Gestión'!$A$2:$L$33</definedName>
    <definedName name="PrintP">'Programatico'!$A$2:$P$23</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83" authorId="0">
      <text>
        <r>
          <rPr>
            <b/>
            <sz val="8"/>
            <color indexed="32"/>
            <rFont val="Tahoma"/>
            <family val="2"/>
          </rPr>
          <t xml:space="preserve">Si los datos no están disponibles, no introduzca ceros; deje las celdas de la tabla en blanco. </t>
        </r>
      </text>
    </comment>
    <comment ref="B84"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<sst xmlns="http://schemas.openxmlformats.org/spreadsheetml/2006/main" count="509" uniqueCount="368">
  <si>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</si>
  <si>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</si>
  <si>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</si>
  <si>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</si>
  <si>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</si>
  <si>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</si>
  <si>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</si>
  <si>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</si>
  <si>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</si>
  <si>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</si>
  <si>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</si>
  <si>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</si>
  <si>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</si>
  <si>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</si>
  <si>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</si>
  <si>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</si>
  <si>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</si>
  <si>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</si>
  <si>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</si>
  <si>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</si>
  <si>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</si>
  <si>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</si>
  <si>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</si>
  <si>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</si>
  <si>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</si>
  <si>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</si>
  <si>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</si>
  <si>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</si>
  <si>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</si>
  <si>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</si>
  <si>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</si>
  <si>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</si>
  <si>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</si>
  <si>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</si>
  <si>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</si>
  <si>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</si>
  <si>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</si>
  <si>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</si>
  <si>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</si>
  <si>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</si>
  <si>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</si>
  <si>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</si>
  <si>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</si>
  <si>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</si>
  <si>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</si>
  <si>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</si>
  <si>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Financiamiento al PENM TB 2016 - 2020</t>
  </si>
  <si>
    <t>Subvención nº:</t>
  </si>
  <si>
    <t>SLV-T-MOH (880)</t>
  </si>
  <si>
    <t>Componente:</t>
  </si>
  <si>
    <t>TB</t>
  </si>
  <si>
    <t>Financiación total:</t>
  </si>
  <si>
    <t>Receptor Principal:</t>
  </si>
  <si>
    <t xml:space="preserve">Ministerio de Salud </t>
  </si>
  <si>
    <t>Fecha de inicio (dd/mm/aa):</t>
  </si>
  <si>
    <t>Agente Local del Fondo:</t>
  </si>
  <si>
    <t>Grupo Jacobs</t>
  </si>
  <si>
    <t>Ultima calificación:</t>
  </si>
  <si>
    <t>A2</t>
  </si>
  <si>
    <t>Gerente de Cartera del Fondo:</t>
  </si>
  <si>
    <t>Serena Buccini</t>
  </si>
  <si>
    <t>Periodo de referencia del que se informa</t>
  </si>
  <si>
    <t>Periodo:</t>
  </si>
  <si>
    <t>P1</t>
  </si>
  <si>
    <t>Desde:</t>
  </si>
  <si>
    <t>Hasta:</t>
  </si>
  <si>
    <t>31 de dic 2016</t>
  </si>
  <si>
    <t>Fecha de introducción de la información:</t>
  </si>
  <si>
    <t>2 de mayo de 17</t>
  </si>
  <si>
    <t>Elaborado por:</t>
  </si>
  <si>
    <t>UCP/UFE/MINSAL.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</si>
  <si>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</si>
  <si>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</si>
  <si>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</si>
  <si>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</si>
  <si>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</si>
  <si>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</si>
  <si>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</si>
  <si>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</si>
  <si>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</si>
  <si>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</si>
  <si>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</si>
  <si>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</si>
  <si>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</si>
  <si>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</si>
  <si>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</si>
  <si>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</si>
  <si>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</si>
  <si>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</si>
  <si>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</si>
  <si>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</si>
  <si>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</si>
  <si>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</si>
  <si>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</si>
  <si>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</si>
  <si>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</si>
  <si>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</si>
  <si>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</si>
  <si>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</si>
  <si>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</si>
  <si>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</si>
  <si>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</si>
  <si>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</si>
  <si>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</si>
  <si>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</si>
  <si>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</si>
  <si>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</si>
  <si>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</si>
  <si>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</si>
  <si>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</si>
  <si>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</si>
  <si>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Desembolsado por el FM al RP</t>
  </si>
  <si>
    <t>Gasto* + Desembolso agentes*</t>
  </si>
  <si>
    <t xml:space="preserve">Compromisos al 30 de junio MINSAL </t>
  </si>
  <si>
    <t>Saldo en caja</t>
  </si>
  <si>
    <t>F3a: Detalles Desembolsos y gastos</t>
  </si>
  <si>
    <t>Desembolsado a los Agentes de compra PNUD</t>
  </si>
  <si>
    <t>Desembolsado a los Agentes de compra PLAN</t>
  </si>
  <si>
    <t>Desembolsado a los Agentes de compra OPS</t>
  </si>
  <si>
    <t>Gasto de RP MINSAL</t>
  </si>
  <si>
    <t>Gastos de los Agentes de Compra PNUD</t>
  </si>
  <si>
    <t xml:space="preserve">Gastos de los Agentes de Compra  PLAN </t>
  </si>
  <si>
    <t>Gastos de los Agentes de Compra OPS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</si>
  <si>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</si>
  <si>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</si>
  <si>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</si>
  <si>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</si>
  <si>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</si>
  <si>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</si>
  <si>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Días que el desembolso ha tardado en llegar a los agentes de compra</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</si>
  <si>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</si>
  <si>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</si>
  <si>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</si>
  <si>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</si>
  <si>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</si>
  <si>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</si>
  <si>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</si>
  <si>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</si>
  <si>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</si>
  <si>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</si>
  <si>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</si>
  <si>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</si>
  <si>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</si>
  <si>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</si>
  <si>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</si>
  <si>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</si>
  <si>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</si>
  <si>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</si>
  <si>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</si>
  <si>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</si>
  <si>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</si>
  <si>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</si>
  <si>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</si>
  <si>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</si>
  <si>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</si>
  <si>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</si>
  <si>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</si>
  <si>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</si>
  <si>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</si>
  <si>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</si>
  <si>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</si>
  <si>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</si>
  <si>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</si>
  <si>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</si>
  <si>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</si>
  <si>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</si>
  <si>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</si>
  <si>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</si>
  <si>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</si>
  <si>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</si>
  <si>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</si>
  <si>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</si>
  <si>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</si>
  <si>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</si>
  <si>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</si>
  <si>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</si>
  <si>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</si>
  <si>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</si>
  <si>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</si>
  <si>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</si>
  <si>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</si>
  <si>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Producto 1</t>
  </si>
  <si>
    <t>Información de programa:</t>
  </si>
  <si>
    <t xml:space="preserve">     Introduzca los datos de desempeño en todas las celdas amarillas.</t>
  </si>
  <si>
    <t>Indicadores de programa (Marco de Referencia)</t>
  </si>
  <si>
    <t>Código</t>
  </si>
  <si>
    <t>¿Directamente vinculados?</t>
  </si>
  <si>
    <t>3 PRIMEROS</t>
  </si>
  <si>
    <t>DOTS-1a: Número de casos notificados de todas las formas de tuberculosis (confirmados bacteriológicamente y con diagnóstico clínico, casos nuevos y recaídas)</t>
  </si>
  <si>
    <t>Yes</t>
  </si>
  <si>
    <t>Meta</t>
  </si>
  <si>
    <t>Logro</t>
  </si>
  <si>
    <t xml:space="preserve">DOTS-2b: Porcentaje de casos de tuberculosis confirmados bacteriológicamente que se han tratado con éxito (curados y con tratamiento completado) entre los casos de tuberculosis </t>
  </si>
  <si>
    <t xml:space="preserve">MDR TB-other1: Número y porcentaje de pacientes sospechosos de tuberculosis resistente a los fármacos (RR-TB y / o MDR-TB) que se sometieron a pruebas de sensibilidad </t>
  </si>
  <si>
    <t>MDR TB-other2: Número y porcentaje de casos de TB resistentes a los medicamentos (TB-RR y / o MDR-TB) confirmados durante el último año calendario que están en tratamiento de segunda línea</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</si>
  <si>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</si>
  <si>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</si>
  <si>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</si>
  <si>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</si>
  <si>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</si>
  <si>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</si>
  <si>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</si>
  <si>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</si>
  <si>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</si>
  <si>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</si>
  <si>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</si>
  <si>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</si>
  <si>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</si>
  <si>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</si>
  <si>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</si>
  <si>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</si>
  <si>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La diferencia entre el presupuesto y los gastos se debe a que existen compromisos con proveedores que seran pagados durante el año 2017.</t>
  </si>
  <si>
    <t xml:space="preserve">Se ha cumplido con los informes presentados de forma oportuna, asi como el FM a enviado los desembolsos de forma anticipado. </t>
  </si>
  <si>
    <t>Último desembolso de fondos: Días calendario</t>
  </si>
  <si>
    <t>Condiciones precedentes cumplidas</t>
  </si>
  <si>
    <t>Meta cumplida</t>
  </si>
  <si>
    <t>No hay sub receptores</t>
  </si>
  <si>
    <t>Adquisición a traves del Fondo Estrategico OPS.</t>
  </si>
  <si>
    <t>Completar comentario en relacion a los productos y existencia</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</si>
  <si>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</si>
  <si>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</si>
  <si>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</si>
  <si>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</si>
  <si>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</si>
  <si>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</si>
  <si>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</si>
  <si>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</si>
  <si>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</si>
  <si>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</si>
  <si>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</si>
  <si>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</si>
  <si>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</si>
  <si>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</si>
  <si>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</si>
  <si>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 A la fecha se han reportado 3,030 casos de Tuberculosis de todas las formas, con una tasa de 46.5 por 100,000 habitantes con una población estimada de 6,520,675; superandose la tasa proyectada para el período (2.322 casos de todas las formas (87%) con una población total estimada de 6,412,028 y con una Tasa ajustada para el período de 36 por 100,000 habitantes - datos propuestos por la OPS).
* La razón de la varianza se debe a  la busqueda activa del SR y a las  estrategias de utilización de los métodos de diagnosticos actualizados a población de alto riesgo (Pacientes con Enfermedades Crónicas como Diabetes, Hipertensión, Insuficiencia Renal, entre otros); además de la colaboración de las APP (Centros Penales y Seguridad Social). Solo en centros penales se han registrado 957.  El ISSS ha reportado 641.
* Los datos son representados de todos los casos de Tuberculosis de todas las formas registrados en la PCT - 5 a nivel nacional, las cuales son consolidadas en el Nivel Central. El calculo de las metas para este indicador se ha basado en la hipotesis utilizadas en el PENMTB, este mismo se basa en una simulación realizada por OMS/OPS a partir de las estimaciones de incidencia reportadas por la OMS en el informa Mundial de TB 2014.
Anexo No. 1 y para el desgloce se adjunta el Anexo No. 1.1 por sexo, VIH y rango de edad específico.</t>
  </si>
  <si>
    <t>Comentarios resumidos</t>
  </si>
  <si>
    <t>Recomendaciones</t>
  </si>
  <si>
    <t>* El aumento significativo del Éxito de tratamiento obedece a un mayor seguimiento a través de baciloscopias y cultivo de los casos nuevos lo que permitio egresarlos con la condición de curados al final de su tratamiento. Es de importancia señalar que el éxito de este indicador es debido a que existe un alto compromiso del personal de salud operativo, de SIBASI y de las Regiones del MINSAL, así como del personal del ISSS y Centros Penales, para la administración oportuna del Tratamiento Acortado Estrictamente Supervisado (TAES), además del seguimiento estricto de los tratamientos antifimicos. Existe fuerte compromiso gerencial de las autoridades del MINSAL para continuar priorizando el trabajo en prevenciòn y control de la TB
El cálculo de las metas para este indicador es consistente con las tendencias históricas del país. 
Anexo No. 2: Cohorte general por sexo  y Anexo No. 2.1 y 2.2: cohorte por sexo y rango de edad</t>
  </si>
  <si>
    <t>M1</t>
  </si>
  <si>
    <t>M2</t>
  </si>
  <si>
    <t>* Del total de pacientes sospechosos de TB-RR y TB-MDR que ascienden a 1238, se les realizó PSD a un total de 289 lo que corresponde a un 23.3%. NO omitimos manifestar que la base de datos de sensibilidad aún no está cerrada (se terminará aproximadamente 31 de mayo de 2016), debido a que actualmente todavía se están procesando cepas de pacientes correspondientes al año 2016, el retraso se debe al exceso de carga de trabajo y a los pocos recursos con los que cuenta la Sección de TB en el Laboratorio Nacional de Referencia. Anexo No. 3
* Al contar con un mayor número de aparatos Gene Xpert para realizar un diagnóstico temprano de resistencia a rifampicina, se lograría una mayor cobertura y accesibilidad de la prueba, principalmente en los Centros Penitenciarios. Superando algunas condiciones de este tipo de población (hacinamiento, mala ventilación, bloqueos a los servicios de salud y otros). Se espera que aumente la de diagnóstico de este tipo de casos; por tal razón al realizar de manera oportuna mayor número de pruebas, y que se tamizara a más personas de grupos clave, se esperaría que el número de pacientes TB diagnosticados como con farmacorresistentes aumente. La fuente de dato primaría es el Libro de registro de Farmacorresistencia y la base de datos Gene Xpert</t>
  </si>
  <si>
    <t>Para el año 2016 se tuvo un total de 7 casos de TB-RR y TB-MDR confirmados por laboratorio, pero de los cuales solamente un total de 5 pacientes están bajo tratamiento de segunda línea, haciendo un porcentaje del 71.43%.
Anexo No: 4: Pacientes TB-RR y TB-MDR confirmados y en tratamiento de segunda línea.</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</si>
  <si>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</si>
  <si>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</si>
  <si>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</si>
  <si>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</si>
  <si>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</si>
  <si>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</si>
  <si>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</si>
  <si>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</si>
  <si>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</si>
  <si>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</si>
  <si>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</si>
  <si>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</si>
  <si>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</si>
  <si>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</si>
  <si>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</si>
  <si>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</si>
  <si>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</si>
  <si>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</si>
  <si>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</si>
  <si>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</si>
  <si>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</si>
  <si>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</si>
  <si>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</si>
  <si>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</si>
  <si>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</si>
  <si>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</si>
  <si>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</si>
  <si>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</si>
  <si>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</si>
  <si>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</si>
  <si>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</si>
  <si>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</si>
  <si>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</si>
  <si>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</si>
  <si>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</si>
  <si>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</si>
  <si>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</si>
  <si>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</si>
  <si>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</si>
  <si>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</si>
  <si>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</si>
  <si>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</si>
  <si>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</si>
  <si>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</si>
  <si>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</si>
  <si>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</si>
  <si>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</si>
  <si>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</si>
  <si>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</si>
  <si>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</si>
  <si>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</si>
  <si>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</si>
  <si>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</si>
  <si>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</si>
  <si>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</si>
  <si>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</si>
  <si>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</si>
  <si>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</si>
  <si>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</si>
  <si>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</si>
  <si>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</si>
  <si>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</si>
  <si>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</si>
  <si>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</si>
  <si>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</si>
  <si>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</si>
  <si>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</si>
  <si>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</si>
  <si>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</si>
  <si>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</si>
  <si>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</si>
  <si>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</si>
  <si>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</si>
  <si>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</si>
  <si>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</si>
  <si>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</si>
  <si>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</si>
  <si>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</si>
  <si>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</si>
  <si>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</si>
  <si>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</si>
  <si>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</si>
  <si>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</si>
  <si>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</si>
  <si>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</si>
  <si>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</si>
  <si>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</si>
  <si>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</si>
  <si>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</si>
  <si>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</si>
  <si>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</si>
  <si>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</si>
  <si>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</si>
  <si>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</si>
  <si>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</si>
  <si>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</si>
  <si>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</si>
  <si>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</si>
  <si>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</si>
  <si>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</si>
  <si>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</si>
  <si>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</si>
  <si>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</si>
  <si>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</si>
  <si>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</si>
  <si>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</si>
  <si>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</si>
  <si>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</si>
  <si>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</si>
  <si>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</si>
  <si>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</si>
  <si>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</si>
  <si>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</si>
  <si>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</si>
  <si>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</si>
  <si>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</si>
  <si>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</si>
  <si>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</si>
  <si>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</si>
  <si>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</si>
  <si>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</si>
  <si>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</si>
  <si>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</si>
  <si>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El  Fondo Mundial desembolso al MINSAL EN el 2016  el 100% .del presupuesto</t>
  </si>
  <si>
    <t>La diferencia entre el desembolso y gasto obedece a compromisos del 2016 que se tienen con los proveedores y que se pagaran en el 2017,. Asi como recalendarizaciones y reprogramaciones de fondos del año 2016 que pasan para ejecucion al año 2017</t>
  </si>
  <si>
    <t>Del 100% desembolsado desembolsado a PNUD :  ha gastado $ 351,337.41 y tiene de compromisos el monto de $ 1,063,531.56 y tiene de recalendarizaciones y reprogramaciones la cantidad de $ 796,082.67  con una economia de  $ 363,419.80. Asi tambien se desembolso y se gasto  $560,436,01.00 en OPS y se pago a Plan Internacional la cantidad de $140,360,31. en el MINSAL se gasto la canidad de $ 366,787,20.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</si>
</sst>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 \-??_);_(@_)"/>
    <numFmt numFmtId="181" formatCode="_(* #,##0.00_);_(* \(#,##0.00\);_(* \-??_);_(@_)"/>
    <numFmt numFmtId="182" formatCode="_(\$* #,##0.00_);_(\$* \(#,##0.00\);_(\$* \-??_);_(@_)"/>
    <numFmt numFmtId="183" formatCode="d&quot; de &quot;mmm&quot; de &quot;yy"/>
    <numFmt numFmtId="184" formatCode="\Q#,##0_);[Red]&quot;(Q&quot;#,##0\)"/>
    <numFmt numFmtId="185" formatCode="_(* #,##0_);_(* \(#,##0\);_(* \-??_);_(@_)"/>
    <numFmt numFmtId="186" formatCode="_([$$-440A]* #,##0.00_);_([$$-440A]* \(#,##0.00\);_([$$-440A]* \-??_);_(@_)"/>
    <numFmt numFmtId="187" formatCode="#.##0"/>
    <numFmt numFmtId="188" formatCode="_-* #,##0.00\ _€_-;\-* #,##0.00\ _€_-;_-* \-??\ _€_-;_-@_-"/>
    <numFmt numFmtId="189" formatCode="_ [$$-240A]\ * #,##0.00_ ;_ [$$-240A]\ * \-#,##0.00_ ;_ [$$-240A]\ * \-??_ ;_ @_ "/>
    <numFmt numFmtId="190" formatCode="#.##000"/>
    <numFmt numFmtId="191" formatCode="[$$-409]#,##0"/>
    <numFmt numFmtId="192" formatCode="[$$-340A]\ #,##0.00"/>
    <numFmt numFmtId="193" formatCode="000%"/>
    <numFmt numFmtId="194" formatCode="[$$-240A]\ #,##0.00"/>
    <numFmt numFmtId="195" formatCode="000"/>
    <numFmt numFmtId="196" formatCode="[$$-340A]#,##0.00"/>
    <numFmt numFmtId="197" formatCode="#"/>
    <numFmt numFmtId="198" formatCode="0.0"/>
    <numFmt numFmtId="199" formatCode="#.00"/>
    <numFmt numFmtId="200" formatCode="#.##"/>
    <numFmt numFmtId="201" formatCode="0.0%"/>
    <numFmt numFmtId="202" formatCode="dd/mm/yyyy"/>
    <numFmt numFmtId="203" formatCode="[$$-409]#,##0_);\([$$-409]#,##0\)"/>
    <numFmt numFmtId="204" formatCode="d/mmm/yyyy;@"/>
    <numFmt numFmtId="205" formatCode="dd/mm/yy\ hh:mm"/>
    <numFmt numFmtId="206" formatCode="#.0"/>
    <numFmt numFmtId="207" formatCode=";;;"/>
    <numFmt numFmtId="208" formatCode=";;;&quot;Financial Variance in %&quot;"/>
    <numFmt numFmtId="209" formatCode="_([$$-440A]* #,##0.00_);_([$$-440A]* \(#,##0.00\);_([$$-440A]* &quot;-&quot;??_);_(@_)"/>
    <numFmt numFmtId="210" formatCode="_(\$* #,##0.00_);_(\$* \(#,##0.00\);_(\$* &quot;-&quot;??_);_(@_)"/>
  </numFmts>
  <fonts count="149">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1"/>
      <color indexed="53"/>
      <name val="Calibri"/>
      <family val="2"/>
    </font>
    <font>
      <i/>
      <sz val="11"/>
      <name val="Calibri"/>
      <family val="2"/>
    </font>
    <font>
      <b/>
      <sz val="11"/>
      <name val="Calibri"/>
      <family val="2"/>
    </font>
    <font>
      <sz val="8"/>
      <color indexed="8"/>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sz val="10"/>
      <color indexed="53"/>
      <name val="Arial"/>
      <family val="2"/>
    </font>
    <font>
      <b/>
      <sz val="8"/>
      <color indexed="32"/>
      <name val="Tahoma"/>
      <family val="2"/>
    </font>
    <font>
      <sz val="28"/>
      <name val="Calibri"/>
      <family val="2"/>
    </font>
    <font>
      <sz val="12"/>
      <color indexed="8"/>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sz val="12"/>
      <color indexed="53"/>
      <name val="Calibri"/>
      <family val="2"/>
    </font>
    <font>
      <i/>
      <sz val="8"/>
      <color indexed="8"/>
      <name val="Calibri"/>
      <family val="2"/>
    </font>
    <font>
      <sz val="11"/>
      <color indexed="29"/>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6"/>
      <color indexed="8"/>
      <name val="Calibri"/>
      <family val="0"/>
    </font>
    <font>
      <sz val="7"/>
      <color indexed="8"/>
      <name val="Calibri"/>
      <family val="0"/>
    </font>
    <font>
      <sz val="6"/>
      <color indexed="63"/>
      <name val="Calibri"/>
      <family val="0"/>
    </font>
    <font>
      <b/>
      <sz val="10.5"/>
      <color indexed="8"/>
      <name val="Calibri"/>
      <family val="0"/>
    </font>
    <font>
      <sz val="7.1"/>
      <color indexed="8"/>
      <name val="Calibri"/>
      <family val="0"/>
    </font>
    <font>
      <sz val="8"/>
      <color indexed="8"/>
      <name val="Arial"/>
      <family val="0"/>
    </font>
    <font>
      <b/>
      <sz val="9"/>
      <color indexed="8"/>
      <name val="Arial"/>
      <family val="0"/>
    </font>
    <font>
      <b/>
      <sz val="8"/>
      <color indexed="8"/>
      <name val="Arial"/>
      <family val="0"/>
    </font>
    <font>
      <sz val="6.4"/>
      <color indexed="8"/>
      <name val="Arial"/>
      <family val="0"/>
    </font>
    <font>
      <sz val="4.75"/>
      <color indexed="8"/>
      <name val="Arial"/>
      <family val="0"/>
    </font>
    <font>
      <b/>
      <sz val="11"/>
      <color indexed="9"/>
      <name val="Calibri"/>
      <family val="0"/>
    </font>
    <font>
      <sz val="6.75"/>
      <color indexed="8"/>
      <name val="Arial"/>
      <family val="0"/>
    </font>
    <font>
      <sz val="4.25"/>
      <color indexed="8"/>
      <name val="Arial"/>
      <family val="0"/>
    </font>
    <font>
      <sz val="4.9"/>
      <color indexed="8"/>
      <name val="Arial"/>
      <family val="0"/>
    </font>
    <font>
      <b/>
      <sz val="5.5"/>
      <color indexed="8"/>
      <name val="Arial"/>
      <family val="0"/>
    </font>
    <font>
      <sz val="11"/>
      <color indexed="17"/>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Arial"/>
      <family val="0"/>
    </font>
    <font>
      <sz val="9"/>
      <color indexed="8"/>
      <name val="Calibri"/>
      <family val="0"/>
    </font>
    <font>
      <sz val="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solid">
        <fgColor indexed="15"/>
        <bgColor indexed="64"/>
      </patternFill>
    </fill>
    <fill>
      <patternFill patternType="solid">
        <fgColor indexed="25"/>
        <bgColor indexed="64"/>
      </patternFill>
    </fill>
    <fill>
      <patternFill patternType="solid">
        <fgColor indexed="11"/>
        <bgColor indexed="64"/>
      </patternFill>
    </fill>
    <fill>
      <patternFill patternType="solid">
        <fgColor indexed="42"/>
        <bgColor indexed="64"/>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solid">
        <fgColor indexed="61"/>
        <bgColor indexed="64"/>
      </patternFill>
    </fill>
    <fill>
      <patternFill patternType="solid">
        <fgColor indexed="13"/>
        <bgColor indexed="64"/>
      </patternFill>
    </fill>
  </fills>
  <borders count="1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color indexed="63"/>
      </bottom>
    </border>
    <border>
      <left style="thin">
        <color indexed="58"/>
      </left>
      <right style="thin">
        <color indexed="58"/>
      </right>
      <top style="thin">
        <color indexed="58"/>
      </top>
      <bottom style="thin">
        <color indexed="58"/>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53"/>
      </top>
      <bottom style="thin">
        <color indexed="32"/>
      </bottom>
    </border>
    <border>
      <left style="medium">
        <color indexed="60"/>
      </left>
      <right style="thin">
        <color indexed="32"/>
      </right>
      <top style="thin">
        <color indexed="32"/>
      </top>
      <bottom style="thin">
        <color indexed="32"/>
      </bottom>
    </border>
    <border>
      <left>
        <color indexed="63"/>
      </left>
      <right style="medium">
        <color indexed="60"/>
      </right>
      <top style="thin">
        <color indexed="32"/>
      </top>
      <bottom style="thin">
        <color indexed="32"/>
      </bottom>
    </border>
    <border>
      <left style="thin">
        <color indexed="58"/>
      </left>
      <right style="thin">
        <color indexed="58"/>
      </right>
      <top>
        <color indexed="63"/>
      </top>
      <bottom style="thin">
        <color indexed="58"/>
      </bottom>
    </border>
    <border>
      <left style="medium">
        <color indexed="60"/>
      </left>
      <right style="medium">
        <color indexed="60"/>
      </right>
      <top style="medium">
        <color indexed="60"/>
      </top>
      <bottom style="thin">
        <color indexed="32"/>
      </bottom>
    </border>
    <border>
      <left>
        <color indexed="63"/>
      </left>
      <right>
        <color indexed="63"/>
      </right>
      <top style="thin">
        <color indexed="53"/>
      </top>
      <bottom>
        <color indexed="63"/>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32"/>
      </left>
      <right style="thin">
        <color indexed="32"/>
      </right>
      <top style="thin">
        <color indexed="32"/>
      </top>
      <bottom>
        <color indexed="63"/>
      </bottom>
    </border>
    <border>
      <left style="medium">
        <color indexed="48"/>
      </left>
      <right style="thin">
        <color indexed="32"/>
      </right>
      <top>
        <color indexed="63"/>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58"/>
      </left>
      <right style="thin">
        <color indexed="58"/>
      </right>
      <top style="thin">
        <color indexed="58"/>
      </top>
      <bottom>
        <color indexed="63"/>
      </bottom>
    </border>
    <border>
      <left style="thin">
        <color indexed="28"/>
      </left>
      <right style="thin">
        <color indexed="28"/>
      </right>
      <top style="thin">
        <color indexed="28"/>
      </top>
      <bottom style="thin">
        <color indexed="28"/>
      </bottom>
    </border>
    <border>
      <left>
        <color indexed="63"/>
      </left>
      <right style="thin">
        <color indexed="58"/>
      </right>
      <top style="thin">
        <color indexed="58"/>
      </top>
      <bottom>
        <color indexed="63"/>
      </bottom>
    </border>
    <border>
      <left style="thin">
        <color indexed="58"/>
      </left>
      <right style="thin">
        <color indexed="58"/>
      </right>
      <top>
        <color indexed="63"/>
      </top>
      <bottom style="medium">
        <color indexed="58"/>
      </bottom>
    </border>
    <border>
      <left style="thin">
        <color indexed="58"/>
      </left>
      <right style="thin">
        <color indexed="58"/>
      </right>
      <top style="thin">
        <color indexed="58"/>
      </top>
      <bottom style="medium">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style="thin">
        <color indexed="32"/>
      </top>
      <bottom>
        <color indexed="63"/>
      </bottom>
    </border>
    <border>
      <left style="thin">
        <color indexed="32"/>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thin">
        <color indexed="32"/>
      </left>
      <right>
        <color indexed="63"/>
      </right>
      <top style="medium">
        <color indexed="57"/>
      </top>
      <bottom>
        <color indexed="63"/>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8" fillId="0" borderId="4" applyNumberFormat="0" applyFill="0" applyAlignment="0" applyProtection="0"/>
    <xf numFmtId="0" fontId="139" fillId="0" borderId="0" applyNumberFormat="0" applyFill="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40" fillId="29" borderId="1" applyNumberFormat="0" applyAlignment="0" applyProtection="0"/>
    <xf numFmtId="180" fontId="0" fillId="0" borderId="0" applyFill="0" applyBorder="0" applyAlignment="0" applyProtection="0"/>
    <xf numFmtId="0" fontId="141" fillId="30" borderId="0" applyNumberFormat="0" applyBorder="0" applyAlignment="0" applyProtection="0"/>
    <xf numFmtId="181" fontId="0" fillId="0" borderId="0" applyFill="0" applyBorder="0" applyAlignment="0" applyProtection="0"/>
    <xf numFmtId="177" fontId="1" fillId="0" borderId="0" applyFill="0" applyBorder="0" applyAlignment="0" applyProtection="0"/>
    <xf numFmtId="181" fontId="1" fillId="0" borderId="0" applyFill="0" applyBorder="0" applyAlignment="0" applyProtection="0"/>
    <xf numFmtId="182" fontId="1" fillId="0" borderId="0" applyFill="0" applyBorder="0" applyAlignment="0" applyProtection="0"/>
    <xf numFmtId="176" fontId="1" fillId="0" borderId="0" applyFill="0" applyBorder="0" applyAlignment="0" applyProtection="0"/>
    <xf numFmtId="0" fontId="142" fillId="31"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43" fillId="21" borderId="6"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7" applyNumberFormat="0" applyFill="0" applyAlignment="0" applyProtection="0"/>
    <xf numFmtId="0" fontId="139"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48" fillId="0" borderId="10" applyNumberFormat="0" applyFill="0" applyAlignment="0" applyProtection="0"/>
  </cellStyleXfs>
  <cellXfs count="677">
    <xf numFmtId="0" fontId="0" fillId="0" borderId="0" xfId="0" applyAlignment="1">
      <alignment/>
    </xf>
    <xf numFmtId="181" fontId="3" fillId="0" borderId="0" xfId="63" applyFont="1" applyFill="1" applyAlignment="1">
      <alignment vertical="center"/>
      <protection/>
    </xf>
    <xf numFmtId="0" fontId="5" fillId="0" borderId="0" xfId="0" applyFont="1" applyAlignment="1">
      <alignment/>
    </xf>
    <xf numFmtId="181" fontId="5" fillId="0" borderId="0" xfId="0" applyNumberFormat="1" applyFont="1" applyAlignment="1">
      <alignment/>
    </xf>
    <xf numFmtId="181"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 fillId="0" borderId="0" xfId="62" applyFont="1" applyFill="1" applyAlignment="1" applyProtection="1">
      <alignment horizontal="center" vertical="center"/>
      <protection/>
    </xf>
    <xf numFmtId="181" fontId="3" fillId="0" borderId="0" xfId="62"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1" fontId="24" fillId="0" borderId="0" xfId="54" applyFont="1" applyFill="1" applyAlignment="1" applyProtection="1">
      <alignment vertical="center"/>
      <protection/>
    </xf>
    <xf numFmtId="181" fontId="25"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83" fontId="0" fillId="0" borderId="0" xfId="0" applyNumberFormat="1" applyAlignment="1" applyProtection="1">
      <alignment/>
      <protection/>
    </xf>
    <xf numFmtId="183" fontId="0" fillId="0" borderId="14" xfId="88"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0" fontId="0" fillId="0" borderId="0" xfId="0" applyBorder="1" applyAlignment="1" applyProtection="1">
      <alignment/>
      <protection/>
    </xf>
    <xf numFmtId="181"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1" fontId="28" fillId="0" borderId="16" xfId="94" applyNumberFormat="1" applyFont="1" applyFill="1" applyBorder="1" applyAlignment="1" applyProtection="1">
      <alignment/>
      <protection/>
    </xf>
    <xf numFmtId="181" fontId="0" fillId="0" borderId="16" xfId="94" applyNumberFormat="1" applyFill="1" applyBorder="1" applyAlignment="1" applyProtection="1">
      <alignment vertical="center"/>
      <protection/>
    </xf>
    <xf numFmtId="181" fontId="29" fillId="0" borderId="16" xfId="94" applyNumberFormat="1" applyFont="1" applyFill="1" applyBorder="1" applyAlignment="1" applyProtection="1">
      <alignment horizontal="left" vertical="center"/>
      <protection/>
    </xf>
    <xf numFmtId="181" fontId="0" fillId="34" borderId="17" xfId="94" applyNumberFormat="1" applyFill="1" applyBorder="1" applyAlignment="1" applyProtection="1">
      <alignment vertical="center"/>
      <protection/>
    </xf>
    <xf numFmtId="181" fontId="30" fillId="0" borderId="0" xfId="94" applyNumberFormat="1" applyFont="1" applyFill="1" applyBorder="1" applyAlignment="1" applyProtection="1">
      <alignment vertical="center"/>
      <protection locked="0"/>
    </xf>
    <xf numFmtId="181" fontId="7" fillId="0" borderId="14" xfId="0" applyNumberFormat="1" applyFont="1" applyBorder="1" applyAlignment="1" applyProtection="1">
      <alignment horizontal="center"/>
      <protection locked="0"/>
    </xf>
    <xf numFmtId="181" fontId="0" fillId="0" borderId="0" xfId="94" applyNumberFormat="1" applyFill="1" applyBorder="1" applyAlignment="1" applyProtection="1">
      <alignment vertical="center"/>
      <protection/>
    </xf>
    <xf numFmtId="181" fontId="0" fillId="0" borderId="0" xfId="94" applyNumberFormat="1" applyFont="1" applyFill="1" applyBorder="1" applyAlignment="1" applyProtection="1">
      <alignment vertical="center"/>
      <protection/>
    </xf>
    <xf numFmtId="181" fontId="0" fillId="0" borderId="0" xfId="94" applyNumberFormat="1" applyFill="1" applyBorder="1" applyAlignment="1" applyProtection="1">
      <alignment vertical="center"/>
      <protection locked="0"/>
    </xf>
    <xf numFmtId="181" fontId="28" fillId="0" borderId="0" xfId="94" applyNumberFormat="1" applyFont="1" applyFill="1" applyBorder="1" applyAlignment="1" applyProtection="1">
      <alignment/>
      <protection/>
    </xf>
    <xf numFmtId="184" fontId="26" fillId="36" borderId="0" xfId="0" applyNumberFormat="1" applyFont="1" applyFill="1" applyAlignment="1">
      <alignment/>
    </xf>
    <xf numFmtId="185" fontId="26" fillId="36" borderId="0" xfId="0" applyNumberFormat="1" applyFont="1" applyFill="1" applyAlignment="1">
      <alignment/>
    </xf>
    <xf numFmtId="0" fontId="26" fillId="36" borderId="0" xfId="0" applyFont="1" applyFill="1" applyAlignment="1">
      <alignment/>
    </xf>
    <xf numFmtId="181" fontId="31" fillId="0" borderId="18" xfId="0" applyNumberFormat="1" applyFont="1" applyBorder="1" applyAlignment="1" applyProtection="1">
      <alignment horizontal="left"/>
      <protection/>
    </xf>
    <xf numFmtId="184" fontId="31" fillId="37" borderId="19" xfId="0" applyNumberFormat="1" applyFont="1" applyFill="1" applyBorder="1" applyAlignment="1" applyProtection="1">
      <alignment horizontal="center"/>
      <protection locked="0"/>
    </xf>
    <xf numFmtId="183" fontId="22" fillId="0" borderId="20" xfId="0" applyNumberFormat="1" applyFont="1" applyBorder="1" applyAlignment="1" applyProtection="1">
      <alignment horizontal="left"/>
      <protection/>
    </xf>
    <xf numFmtId="186" fontId="22" fillId="34" borderId="21" xfId="0" applyNumberFormat="1" applyFont="1" applyFill="1" applyBorder="1" applyAlignment="1" applyProtection="1">
      <alignment/>
      <protection locked="0"/>
    </xf>
    <xf numFmtId="187"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87" fontId="22" fillId="34" borderId="21" xfId="0" applyNumberFormat="1" applyFont="1" applyFill="1" applyBorder="1" applyAlignment="1" applyProtection="1">
      <alignment/>
      <protection locked="0"/>
    </xf>
    <xf numFmtId="183" fontId="22" fillId="0" borderId="22" xfId="0" applyNumberFormat="1" applyFont="1" applyBorder="1" applyAlignment="1" applyProtection="1">
      <alignment horizontal="left"/>
      <protection/>
    </xf>
    <xf numFmtId="187" fontId="22" fillId="0" borderId="14" xfId="0" applyNumberFormat="1" applyFont="1" applyFill="1" applyBorder="1" applyAlignment="1" applyProtection="1">
      <alignment/>
      <protection/>
    </xf>
    <xf numFmtId="188" fontId="22" fillId="0" borderId="14" xfId="0" applyNumberFormat="1" applyFont="1" applyFill="1" applyBorder="1" applyAlignment="1" applyProtection="1">
      <alignment/>
      <protection/>
    </xf>
    <xf numFmtId="183" fontId="22" fillId="0" borderId="23" xfId="0" applyNumberFormat="1" applyFont="1" applyBorder="1" applyAlignment="1" applyProtection="1">
      <alignment horizontal="left"/>
      <protection/>
    </xf>
    <xf numFmtId="187" fontId="22" fillId="0" borderId="24" xfId="0" applyNumberFormat="1" applyFont="1" applyFill="1" applyBorder="1" applyAlignment="1" applyProtection="1">
      <alignment/>
      <protection/>
    </xf>
    <xf numFmtId="9" fontId="26" fillId="0" borderId="0" xfId="73" applyFont="1" applyFill="1" applyBorder="1" applyAlignment="1" applyProtection="1">
      <alignment/>
      <protection/>
    </xf>
    <xf numFmtId="184" fontId="26" fillId="36"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31" fillId="0" borderId="0" xfId="0" applyNumberFormat="1" applyFont="1" applyFill="1" applyBorder="1" applyAlignment="1">
      <alignment horizontal="center"/>
    </xf>
    <xf numFmtId="181" fontId="22" fillId="0" borderId="0" xfId="0" applyNumberFormat="1" applyFont="1" applyFill="1" applyBorder="1" applyAlignment="1">
      <alignment/>
    </xf>
    <xf numFmtId="181" fontId="32" fillId="0" borderId="25" xfId="0" applyNumberFormat="1" applyFont="1" applyFill="1" applyBorder="1" applyAlignment="1" applyProtection="1">
      <alignment vertical="center" wrapText="1"/>
      <protection/>
    </xf>
    <xf numFmtId="0" fontId="32" fillId="0" borderId="26" xfId="0" applyNumberFormat="1" applyFont="1" applyFill="1" applyBorder="1" applyAlignment="1" applyProtection="1">
      <alignment horizontal="center" vertical="center" wrapText="1"/>
      <protection/>
    </xf>
    <xf numFmtId="0" fontId="32" fillId="0" borderId="2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protection/>
    </xf>
    <xf numFmtId="0" fontId="33"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lignment horizontal="center"/>
    </xf>
    <xf numFmtId="181" fontId="34" fillId="0" borderId="28" xfId="0" applyNumberFormat="1" applyFont="1" applyFill="1" applyBorder="1" applyAlignment="1" applyProtection="1">
      <alignment wrapText="1"/>
      <protection locked="0"/>
    </xf>
    <xf numFmtId="186" fontId="0" fillId="34" borderId="29" xfId="48" applyNumberFormat="1" applyFont="1" applyFill="1" applyBorder="1" applyAlignment="1" applyProtection="1">
      <alignment/>
      <protection locked="0"/>
    </xf>
    <xf numFmtId="189" fontId="0" fillId="34" borderId="30" xfId="48" applyNumberFormat="1" applyFont="1" applyFill="1" applyBorder="1" applyAlignment="1" applyProtection="1">
      <alignment/>
      <protection locked="0"/>
    </xf>
    <xf numFmtId="183" fontId="25" fillId="0" borderId="0" xfId="0" applyNumberFormat="1" applyFont="1" applyFill="1" applyBorder="1" applyAlignment="1" applyProtection="1">
      <alignment horizontal="center"/>
      <protection/>
    </xf>
    <xf numFmtId="190" fontId="0" fillId="0" borderId="0" xfId="0" applyNumberFormat="1" applyFill="1" applyBorder="1" applyAlignment="1" applyProtection="1">
      <alignment/>
      <protection locked="0"/>
    </xf>
    <xf numFmtId="190"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81" fontId="34"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91"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6" fontId="0" fillId="34" borderId="30" xfId="48" applyNumberFormat="1" applyFont="1" applyFill="1" applyBorder="1" applyAlignment="1" applyProtection="1">
      <alignment/>
      <protection locked="0"/>
    </xf>
    <xf numFmtId="187" fontId="0" fillId="0" borderId="0" xfId="0" applyNumberFormat="1" applyFill="1" applyBorder="1" applyAlignment="1" applyProtection="1">
      <alignment/>
      <protection locked="0"/>
    </xf>
    <xf numFmtId="49" fontId="34" fillId="0" borderId="28" xfId="0" applyNumberFormat="1" applyFont="1" applyFill="1" applyBorder="1" applyAlignment="1" applyProtection="1">
      <alignment/>
      <protection locked="0"/>
    </xf>
    <xf numFmtId="0" fontId="34" fillId="0" borderId="28" xfId="0" applyFont="1" applyFill="1" applyBorder="1" applyAlignment="1" applyProtection="1">
      <alignment wrapText="1"/>
      <protection locked="0"/>
    </xf>
    <xf numFmtId="182" fontId="1" fillId="34" borderId="29" xfId="51" applyFill="1" applyBorder="1" applyAlignment="1" applyProtection="1">
      <alignment/>
      <protection locked="0"/>
    </xf>
    <xf numFmtId="182" fontId="1" fillId="34" borderId="30" xfId="51" applyFill="1" applyBorder="1" applyAlignment="1" applyProtection="1">
      <alignment/>
      <protection locked="0"/>
    </xf>
    <xf numFmtId="181" fontId="0" fillId="0" borderId="31" xfId="0" applyNumberFormat="1" applyFont="1" applyBorder="1" applyAlignment="1" applyProtection="1">
      <alignment/>
      <protection/>
    </xf>
    <xf numFmtId="192" fontId="0" fillId="0" borderId="32" xfId="0" applyNumberFormat="1" applyBorder="1" applyAlignment="1" applyProtection="1">
      <alignment/>
      <protection/>
    </xf>
    <xf numFmtId="193" fontId="0" fillId="0" borderId="0" xfId="0" applyNumberFormat="1" applyFill="1" applyAlignment="1" applyProtection="1">
      <alignment/>
      <protection/>
    </xf>
    <xf numFmtId="187" fontId="0" fillId="0" borderId="0" xfId="0" applyNumberFormat="1" applyAlignment="1" applyProtection="1">
      <alignment/>
      <protection/>
    </xf>
    <xf numFmtId="187" fontId="26" fillId="36" borderId="0" xfId="0" applyNumberFormat="1" applyFont="1" applyFill="1" applyAlignment="1" applyProtection="1">
      <alignment/>
      <protection/>
    </xf>
    <xf numFmtId="49" fontId="34" fillId="0" borderId="33" xfId="0" applyNumberFormat="1" applyFont="1" applyFill="1" applyBorder="1" applyAlignment="1" applyProtection="1">
      <alignment/>
      <protection locked="0"/>
    </xf>
    <xf numFmtId="187" fontId="33" fillId="0" borderId="0" xfId="0" applyNumberFormat="1" applyFont="1" applyAlignment="1" applyProtection="1">
      <alignment horizontal="right"/>
      <protection/>
    </xf>
    <xf numFmtId="0" fontId="32" fillId="0" borderId="34" xfId="0" applyFont="1" applyBorder="1" applyAlignment="1" applyProtection="1">
      <alignment vertical="distributed" wrapText="1"/>
      <protection/>
    </xf>
    <xf numFmtId="181" fontId="35" fillId="0" borderId="35" xfId="0" applyNumberFormat="1" applyFont="1" applyFill="1" applyBorder="1" applyAlignment="1" applyProtection="1">
      <alignment horizontal="center" vertical="center" wrapText="1"/>
      <protection/>
    </xf>
    <xf numFmtId="183" fontId="35" fillId="0" borderId="3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183" fontId="37" fillId="0" borderId="0" xfId="0" applyNumberFormat="1" applyFont="1" applyFill="1" applyBorder="1" applyAlignment="1" applyProtection="1">
      <alignment horizontal="center" vertical="center" wrapText="1"/>
      <protection/>
    </xf>
    <xf numFmtId="183" fontId="37" fillId="0" borderId="0" xfId="0" applyNumberFormat="1" applyFont="1" applyFill="1" applyBorder="1" applyAlignment="1" applyProtection="1">
      <alignment horizontal="center" vertical="center" wrapText="1"/>
      <protection locked="0"/>
    </xf>
    <xf numFmtId="181" fontId="33" fillId="0" borderId="37" xfId="0" applyNumberFormat="1" applyFont="1" applyBorder="1" applyAlignment="1" applyProtection="1">
      <alignment/>
      <protection/>
    </xf>
    <xf numFmtId="188" fontId="38" fillId="34" borderId="38" xfId="48" applyNumberFormat="1" applyFont="1" applyFill="1" applyBorder="1" applyAlignment="1" applyProtection="1">
      <alignment/>
      <protection locked="0"/>
    </xf>
    <xf numFmtId="192" fontId="38" fillId="34" borderId="38" xfId="48" applyNumberFormat="1" applyFont="1" applyFill="1" applyBorder="1" applyAlignment="1" applyProtection="1">
      <alignment/>
      <protection locked="0"/>
    </xf>
    <xf numFmtId="194" fontId="33" fillId="0" borderId="39" xfId="48" applyNumberFormat="1" applyFont="1" applyFill="1" applyBorder="1" applyAlignment="1" applyProtection="1">
      <alignmen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locked="0"/>
    </xf>
    <xf numFmtId="185" fontId="26" fillId="0" borderId="0" xfId="0" applyNumberFormat="1" applyFont="1" applyFill="1" applyBorder="1" applyAlignment="1" applyProtection="1">
      <alignment/>
      <protection/>
    </xf>
    <xf numFmtId="185" fontId="33" fillId="0" borderId="0" xfId="48" applyNumberFormat="1" applyFont="1" applyFill="1" applyBorder="1" applyAlignment="1" applyProtection="1">
      <alignment/>
      <protection locked="0"/>
    </xf>
    <xf numFmtId="193" fontId="33" fillId="0" borderId="0" xfId="73" applyNumberFormat="1" applyFont="1" applyFill="1" applyBorder="1" applyAlignment="1" applyProtection="1">
      <alignment horizontal="center"/>
      <protection/>
    </xf>
    <xf numFmtId="181" fontId="33" fillId="0" borderId="40" xfId="0" applyNumberFormat="1" applyFont="1" applyBorder="1" applyAlignment="1" applyProtection="1">
      <alignment/>
      <protection/>
    </xf>
    <xf numFmtId="183" fontId="33" fillId="0" borderId="0" xfId="0" applyNumberFormat="1" applyFont="1" applyFill="1" applyBorder="1" applyAlignment="1" applyProtection="1">
      <alignment horizontal="center"/>
      <protection/>
    </xf>
    <xf numFmtId="193" fontId="33" fillId="0" borderId="0" xfId="73" applyNumberFormat="1" applyFont="1" applyFill="1" applyBorder="1" applyAlignment="1" applyProtection="1">
      <alignment horizontal="center"/>
      <protection locked="0"/>
    </xf>
    <xf numFmtId="181" fontId="33" fillId="36" borderId="41" xfId="0" applyNumberFormat="1" applyFont="1" applyFill="1" applyBorder="1" applyAlignment="1" applyProtection="1">
      <alignment wrapText="1"/>
      <protection/>
    </xf>
    <xf numFmtId="194" fontId="33" fillId="0" borderId="42" xfId="48" applyNumberFormat="1" applyFont="1" applyFill="1" applyBorder="1" applyAlignment="1" applyProtection="1">
      <alignment/>
      <protection/>
    </xf>
    <xf numFmtId="192" fontId="38" fillId="34" borderId="43" xfId="48" applyNumberFormat="1" applyFont="1" applyFill="1" applyBorder="1" applyAlignment="1" applyProtection="1">
      <alignment/>
      <protection locked="0"/>
    </xf>
    <xf numFmtId="0" fontId="34" fillId="0" borderId="17" xfId="0" applyFont="1" applyBorder="1" applyAlignment="1" applyProtection="1">
      <alignment vertical="distributed" wrapText="1"/>
      <protection/>
    </xf>
    <xf numFmtId="189" fontId="38" fillId="34" borderId="38" xfId="48" applyNumberFormat="1" applyFont="1" applyFill="1" applyBorder="1" applyAlignment="1" applyProtection="1">
      <alignment/>
      <protection locked="0"/>
    </xf>
    <xf numFmtId="0" fontId="39" fillId="0" borderId="0" xfId="0" applyFont="1" applyFill="1" applyBorder="1" applyAlignment="1" applyProtection="1">
      <alignment horizontal="left"/>
      <protection locked="0"/>
    </xf>
    <xf numFmtId="0" fontId="33" fillId="0" borderId="0" xfId="0" applyFont="1" applyFill="1" applyBorder="1" applyAlignment="1" applyProtection="1">
      <alignment/>
      <protection/>
    </xf>
    <xf numFmtId="0" fontId="34" fillId="0" borderId="44" xfId="0" applyFont="1" applyBorder="1" applyAlignment="1" applyProtection="1">
      <alignment vertical="distributed" wrapText="1"/>
      <protection/>
    </xf>
    <xf numFmtId="181" fontId="33" fillId="0" borderId="45" xfId="0" applyNumberFormat="1" applyFont="1" applyBorder="1" applyAlignment="1" applyProtection="1">
      <alignment/>
      <protection/>
    </xf>
    <xf numFmtId="187" fontId="38" fillId="0" borderId="0" xfId="48" applyNumberFormat="1" applyFont="1" applyFill="1" applyBorder="1" applyAlignment="1" applyProtection="1">
      <alignment/>
      <protection locked="0"/>
    </xf>
    <xf numFmtId="187" fontId="33" fillId="0" borderId="0" xfId="48" applyNumberFormat="1" applyFont="1" applyFill="1" applyBorder="1" applyAlignment="1" applyProtection="1">
      <alignment/>
      <protection/>
    </xf>
    <xf numFmtId="181" fontId="33" fillId="0" borderId="0" xfId="0" applyNumberFormat="1" applyFont="1" applyBorder="1" applyAlignment="1" applyProtection="1">
      <alignment/>
      <protection/>
    </xf>
    <xf numFmtId="195" fontId="0" fillId="0" borderId="0" xfId="0" applyNumberFormat="1" applyAlignment="1" applyProtection="1">
      <alignment/>
      <protection/>
    </xf>
    <xf numFmtId="196" fontId="0" fillId="0" borderId="0" xfId="0" applyNumberFormat="1" applyAlignment="1" applyProtection="1">
      <alignment/>
      <protection/>
    </xf>
    <xf numFmtId="183" fontId="34" fillId="0" borderId="46" xfId="0" applyNumberFormat="1" applyFont="1" applyFill="1" applyBorder="1" applyAlignment="1" applyProtection="1">
      <alignment/>
      <protection/>
    </xf>
    <xf numFmtId="181" fontId="34" fillId="0" borderId="14" xfId="0" applyNumberFormat="1" applyFont="1" applyFill="1" applyBorder="1" applyAlignment="1" applyProtection="1">
      <alignment horizontal="center"/>
      <protection/>
    </xf>
    <xf numFmtId="181" fontId="34" fillId="0" borderId="47" xfId="0" applyNumberFormat="1" applyFont="1" applyFill="1" applyBorder="1" applyAlignment="1" applyProtection="1">
      <alignment horizontal="center"/>
      <protection/>
    </xf>
    <xf numFmtId="181" fontId="34" fillId="0" borderId="46"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7" xfId="0" applyNumberFormat="1" applyFill="1" applyBorder="1" applyAlignment="1" applyProtection="1">
      <alignment horizontal="center"/>
      <protection locked="0"/>
    </xf>
    <xf numFmtId="181" fontId="34" fillId="0" borderId="48" xfId="0" applyNumberFormat="1" applyFont="1" applyFill="1" applyBorder="1" applyAlignment="1" applyProtection="1">
      <alignment/>
      <protection/>
    </xf>
    <xf numFmtId="181" fontId="34" fillId="0" borderId="49" xfId="0" applyNumberFormat="1" applyFont="1" applyFill="1" applyBorder="1" applyAlignment="1" applyProtection="1">
      <alignment/>
      <protection/>
    </xf>
    <xf numFmtId="1" fontId="0" fillId="34" borderId="24" xfId="0" applyNumberFormat="1" applyFont="1" applyFill="1" applyBorder="1" applyAlignment="1" applyProtection="1">
      <alignment horizontal="center"/>
      <protection locked="0"/>
    </xf>
    <xf numFmtId="1" fontId="0" fillId="34" borderId="50" xfId="0" applyNumberFormat="1" applyFont="1" applyFill="1" applyBorder="1" applyAlignment="1" applyProtection="1">
      <alignment horizontal="center"/>
      <protection locked="0"/>
    </xf>
    <xf numFmtId="181" fontId="34" fillId="0" borderId="51" xfId="0" applyNumberFormat="1" applyFont="1" applyFill="1" applyBorder="1" applyAlignment="1" applyProtection="1">
      <alignment/>
      <protection/>
    </xf>
    <xf numFmtId="0" fontId="0" fillId="0" borderId="52" xfId="0" applyBorder="1" applyAlignment="1" applyProtection="1">
      <alignment/>
      <protection/>
    </xf>
    <xf numFmtId="181" fontId="40" fillId="0" borderId="52" xfId="94" applyNumberFormat="1" applyFont="1" applyFill="1" applyBorder="1" applyAlignment="1" applyProtection="1">
      <alignment/>
      <protection/>
    </xf>
    <xf numFmtId="181" fontId="30" fillId="0" borderId="52" xfId="94" applyNumberFormat="1" applyFont="1" applyFill="1" applyBorder="1" applyAlignment="1" applyProtection="1">
      <alignment vertical="center"/>
      <protection/>
    </xf>
    <xf numFmtId="181" fontId="41" fillId="0" borderId="52" xfId="94" applyNumberFormat="1" applyFont="1" applyFill="1" applyBorder="1" applyAlignment="1" applyProtection="1">
      <alignment vertical="center"/>
      <protection/>
    </xf>
    <xf numFmtId="181" fontId="30" fillId="0" borderId="52" xfId="94" applyNumberFormat="1" applyFont="1" applyFill="1" applyBorder="1" applyAlignment="1" applyProtection="1">
      <alignment horizontal="center" vertical="center"/>
      <protection/>
    </xf>
    <xf numFmtId="181" fontId="30" fillId="35" borderId="53" xfId="94" applyNumberFormat="1" applyFont="1" applyFill="1" applyBorder="1" applyAlignment="1" applyProtection="1">
      <alignment horizontal="center" vertical="center"/>
      <protection/>
    </xf>
    <xf numFmtId="181" fontId="30" fillId="0" borderId="54" xfId="94" applyNumberFormat="1" applyFont="1" applyFill="1" applyBorder="1" applyAlignment="1" applyProtection="1">
      <alignment vertical="center"/>
      <protection/>
    </xf>
    <xf numFmtId="181" fontId="30" fillId="0" borderId="0" xfId="94" applyNumberFormat="1" applyFont="1" applyFill="1" applyBorder="1" applyAlignment="1" applyProtection="1">
      <alignment horizontal="center" vertical="center"/>
      <protection locked="0"/>
    </xf>
    <xf numFmtId="181" fontId="40" fillId="0" borderId="0" xfId="94" applyNumberFormat="1" applyFont="1" applyFill="1" applyBorder="1" applyAlignment="1" applyProtection="1">
      <alignment/>
      <protection/>
    </xf>
    <xf numFmtId="181" fontId="30" fillId="0" borderId="0" xfId="94" applyNumberFormat="1" applyFont="1" applyFill="1" applyBorder="1" applyAlignment="1" applyProtection="1">
      <alignment vertical="center"/>
      <protection/>
    </xf>
    <xf numFmtId="181" fontId="42" fillId="0" borderId="0" xfId="94"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81" fontId="19" fillId="0" borderId="55" xfId="0" applyNumberFormat="1" applyFont="1" applyBorder="1" applyAlignment="1" applyProtection="1">
      <alignment horizontal="center"/>
      <protection/>
    </xf>
    <xf numFmtId="181" fontId="19" fillId="0" borderId="55" xfId="0" applyNumberFormat="1" applyFont="1" applyBorder="1" applyAlignment="1" applyProtection="1">
      <alignment horizontal="center" wrapText="1"/>
      <protection/>
    </xf>
    <xf numFmtId="181" fontId="19" fillId="0" borderId="56"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protection/>
    </xf>
    <xf numFmtId="181" fontId="0" fillId="0" borderId="57" xfId="0" applyNumberFormat="1" applyFont="1" applyBorder="1" applyAlignment="1" applyProtection="1">
      <alignment horizontal="left"/>
      <protection/>
    </xf>
    <xf numFmtId="1" fontId="19" fillId="35" borderId="14" xfId="0" applyNumberFormat="1" applyFont="1" applyFill="1" applyBorder="1" applyAlignment="1" applyProtection="1">
      <alignment horizontal="center"/>
      <protection locked="0"/>
    </xf>
    <xf numFmtId="1" fontId="38" fillId="35" borderId="14" xfId="0" applyNumberFormat="1" applyFont="1" applyFill="1" applyBorder="1" applyAlignment="1" applyProtection="1">
      <alignment horizontal="center"/>
      <protection locked="0"/>
    </xf>
    <xf numFmtId="1" fontId="38" fillId="36" borderId="58"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59" xfId="0" applyNumberFormat="1" applyFont="1" applyBorder="1" applyAlignment="1" applyProtection="1">
      <alignment horizontal="left"/>
      <protection/>
    </xf>
    <xf numFmtId="1" fontId="43" fillId="35" borderId="60" xfId="0" applyNumberFormat="1" applyFont="1" applyFill="1" applyBorder="1" applyAlignment="1" applyProtection="1">
      <alignment horizontal="center"/>
      <protection locked="0"/>
    </xf>
    <xf numFmtId="1" fontId="38" fillId="35" borderId="60" xfId="0" applyNumberFormat="1" applyFont="1" applyFill="1" applyBorder="1" applyAlignment="1" applyProtection="1">
      <alignment horizontal="center"/>
      <protection locked="0"/>
    </xf>
    <xf numFmtId="1" fontId="38" fillId="36" borderId="61" xfId="0" applyNumberFormat="1" applyFont="1" applyFill="1" applyBorder="1" applyAlignment="1" applyProtection="1">
      <alignment horizontal="center"/>
      <protection/>
    </xf>
    <xf numFmtId="0" fontId="0" fillId="0" borderId="62" xfId="0" applyBorder="1" applyAlignment="1" applyProtection="1">
      <alignment/>
      <protection/>
    </xf>
    <xf numFmtId="181" fontId="0" fillId="0" borderId="55" xfId="0" applyNumberFormat="1" applyFont="1" applyBorder="1" applyAlignment="1" applyProtection="1">
      <alignment horizontal="center"/>
      <protection/>
    </xf>
    <xf numFmtId="181" fontId="0" fillId="0" borderId="56" xfId="0" applyNumberFormat="1" applyFont="1" applyBorder="1" applyAlignment="1" applyProtection="1">
      <alignment horizontal="center"/>
      <protection/>
    </xf>
    <xf numFmtId="0" fontId="19" fillId="35" borderId="60" xfId="0" applyNumberFormat="1" applyFont="1" applyFill="1" applyBorder="1" applyAlignment="1" applyProtection="1">
      <alignment horizontal="center"/>
      <protection locked="0"/>
    </xf>
    <xf numFmtId="0" fontId="0" fillId="0" borderId="61"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0" fontId="19" fillId="0" borderId="0" xfId="0" applyFont="1" applyBorder="1" applyAlignment="1" applyProtection="1">
      <alignment/>
      <protection/>
    </xf>
    <xf numFmtId="181" fontId="0" fillId="0" borderId="56" xfId="0" applyNumberFormat="1" applyFont="1" applyBorder="1" applyAlignment="1" applyProtection="1">
      <alignment horizontal="center" wrapText="1"/>
      <protection/>
    </xf>
    <xf numFmtId="0" fontId="44" fillId="0" borderId="0" xfId="0"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protection locked="0"/>
    </xf>
    <xf numFmtId="0" fontId="0" fillId="35" borderId="61"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0" fontId="19" fillId="0" borderId="0" xfId="0" applyFont="1" applyFill="1" applyBorder="1" applyAlignment="1" applyProtection="1">
      <alignment/>
      <protection/>
    </xf>
    <xf numFmtId="181" fontId="31" fillId="0" borderId="55" xfId="0" applyNumberFormat="1" applyFont="1" applyBorder="1" applyAlignment="1" applyProtection="1">
      <alignment horizontal="center"/>
      <protection/>
    </xf>
    <xf numFmtId="181" fontId="31" fillId="0" borderId="56" xfId="0" applyNumberFormat="1" applyFont="1" applyBorder="1" applyAlignment="1" applyProtection="1">
      <alignment horizontal="center"/>
      <protection/>
    </xf>
    <xf numFmtId="1" fontId="0" fillId="35" borderId="14" xfId="0" applyNumberFormat="1" applyFill="1" applyBorder="1" applyAlignment="1" applyProtection="1">
      <alignment horizontal="center"/>
      <protection locked="0"/>
    </xf>
    <xf numFmtId="1" fontId="0" fillId="0" borderId="58" xfId="0" applyNumberFormat="1" applyFill="1" applyBorder="1" applyAlignment="1" applyProtection="1">
      <alignment horizontal="center"/>
      <protection/>
    </xf>
    <xf numFmtId="1" fontId="19" fillId="35" borderId="63" xfId="0" applyNumberFormat="1" applyFont="1" applyFill="1" applyBorder="1" applyAlignment="1" applyProtection="1">
      <alignment horizontal="center"/>
      <protection locked="0"/>
    </xf>
    <xf numFmtId="1" fontId="0" fillId="35" borderId="63" xfId="0" applyNumberFormat="1" applyFill="1" applyBorder="1" applyAlignment="1" applyProtection="1">
      <alignment horizontal="center"/>
      <protection locked="0"/>
    </xf>
    <xf numFmtId="181" fontId="45" fillId="0" borderId="64" xfId="0" applyNumberFormat="1" applyFont="1" applyFill="1" applyBorder="1" applyAlignment="1" applyProtection="1">
      <alignment horizontal="left"/>
      <protection/>
    </xf>
    <xf numFmtId="0" fontId="0" fillId="0" borderId="65" xfId="0" applyBorder="1" applyAlignment="1" applyProtection="1">
      <alignment/>
      <protection/>
    </xf>
    <xf numFmtId="184" fontId="31" fillId="37" borderId="66" xfId="0" applyNumberFormat="1" applyFont="1" applyFill="1" applyBorder="1" applyAlignment="1" applyProtection="1">
      <alignment horizontal="center"/>
      <protection locked="0"/>
    </xf>
    <xf numFmtId="184" fontId="31" fillId="37" borderId="67" xfId="0" applyNumberFormat="1" applyFont="1" applyFill="1" applyBorder="1" applyAlignment="1" applyProtection="1">
      <alignment horizontal="center"/>
      <protection locked="0"/>
    </xf>
    <xf numFmtId="184" fontId="0" fillId="0" borderId="68" xfId="0" applyNumberFormat="1" applyFont="1" applyFill="1" applyBorder="1" applyAlignment="1" applyProtection="1">
      <alignment horizontal="left"/>
      <protection/>
    </xf>
    <xf numFmtId="186" fontId="0" fillId="35" borderId="38" xfId="0" applyNumberFormat="1" applyFill="1" applyBorder="1" applyAlignment="1" applyProtection="1">
      <alignment horizontal="right" wrapText="1"/>
      <protection/>
    </xf>
    <xf numFmtId="187" fontId="0" fillId="35" borderId="38" xfId="0" applyNumberFormat="1" applyFill="1" applyBorder="1" applyAlignment="1" applyProtection="1">
      <alignment horizontal="right" wrapText="1"/>
      <protection/>
    </xf>
    <xf numFmtId="187" fontId="0" fillId="35" borderId="14" xfId="0" applyNumberFormat="1" applyFill="1" applyBorder="1" applyAlignment="1" applyProtection="1">
      <alignment horizontal="right" wrapText="1"/>
      <protection locked="0"/>
    </xf>
    <xf numFmtId="184" fontId="0" fillId="0" borderId="69" xfId="0" applyNumberFormat="1" applyFont="1" applyBorder="1" applyAlignment="1" applyProtection="1">
      <alignment horizontal="left"/>
      <protection/>
    </xf>
    <xf numFmtId="186" fontId="0" fillId="0" borderId="38" xfId="0" applyNumberFormat="1" applyBorder="1" applyAlignment="1" applyProtection="1">
      <alignment horizontal="right" wrapText="1"/>
      <protection/>
    </xf>
    <xf numFmtId="187" fontId="0" fillId="0" borderId="38" xfId="0" applyNumberFormat="1" applyBorder="1" applyAlignment="1" applyProtection="1">
      <alignment horizontal="right" wrapText="1"/>
      <protection/>
    </xf>
    <xf numFmtId="187" fontId="0" fillId="0" borderId="14" xfId="0" applyNumberFormat="1" applyBorder="1" applyAlignment="1" applyProtection="1">
      <alignment horizontal="right" wrapText="1"/>
      <protection/>
    </xf>
    <xf numFmtId="184" fontId="0" fillId="0" borderId="48" xfId="0" applyNumberFormat="1" applyFont="1" applyBorder="1" applyAlignment="1" applyProtection="1">
      <alignment horizontal="left" wrapText="1"/>
      <protection/>
    </xf>
    <xf numFmtId="186" fontId="0" fillId="0" borderId="38" xfId="48"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81" fontId="0" fillId="0" borderId="0" xfId="48"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181" fontId="0" fillId="0" borderId="65" xfId="0" applyNumberFormat="1" applyFont="1" applyFill="1" applyBorder="1" applyAlignment="1" applyProtection="1">
      <alignment horizontal="left"/>
      <protection/>
    </xf>
    <xf numFmtId="181" fontId="46" fillId="0" borderId="70" xfId="0" applyNumberFormat="1" applyFont="1" applyFill="1" applyBorder="1" applyAlignment="1" applyProtection="1">
      <alignment horizontal="center" wrapText="1"/>
      <protection/>
    </xf>
    <xf numFmtId="181" fontId="46" fillId="0" borderId="70" xfId="0" applyNumberFormat="1" applyFont="1" applyBorder="1" applyAlignment="1">
      <alignment horizontal="center" wrapText="1"/>
    </xf>
    <xf numFmtId="181" fontId="46" fillId="0" borderId="71" xfId="0" applyNumberFormat="1" applyFont="1" applyFill="1" applyBorder="1" applyAlignment="1" applyProtection="1">
      <alignment horizontal="center" wrapText="1"/>
      <protection/>
    </xf>
    <xf numFmtId="181" fontId="0" fillId="35" borderId="14" xfId="0" applyNumberFormat="1" applyFont="1" applyFill="1" applyBorder="1" applyAlignment="1" applyProtection="1">
      <alignment/>
      <protection locked="0"/>
    </xf>
    <xf numFmtId="0" fontId="0" fillId="35" borderId="38"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197" fontId="0" fillId="35" borderId="38"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87" fontId="0" fillId="35" borderId="38" xfId="0" applyNumberFormat="1" applyFill="1" applyBorder="1" applyAlignment="1" applyProtection="1">
      <alignment horizontal="center" vertical="center"/>
      <protection/>
    </xf>
    <xf numFmtId="198" fontId="0" fillId="0" borderId="14" xfId="0" applyNumberFormat="1" applyFill="1" applyBorder="1" applyAlignment="1" applyProtection="1">
      <alignment horizontal="center" vertical="center"/>
      <protection/>
    </xf>
    <xf numFmtId="49" fontId="0" fillId="35" borderId="63" xfId="0" applyNumberFormat="1" applyFont="1" applyFill="1" applyBorder="1" applyAlignment="1" applyProtection="1">
      <alignment horizontal="left"/>
      <protection locked="0"/>
    </xf>
    <xf numFmtId="0" fontId="0" fillId="35" borderId="72" xfId="0" applyNumberFormat="1" applyFill="1" applyBorder="1" applyAlignment="1" applyProtection="1">
      <alignment horizontal="center" vertical="center"/>
      <protection/>
    </xf>
    <xf numFmtId="187" fontId="0" fillId="35" borderId="72" xfId="0" applyNumberFormat="1" applyFill="1" applyBorder="1" applyAlignment="1" applyProtection="1">
      <alignment horizontal="center" vertical="center"/>
      <protection/>
    </xf>
    <xf numFmtId="49" fontId="0" fillId="35" borderId="73" xfId="0" applyNumberFormat="1" applyFont="1" applyFill="1" applyBorder="1" applyAlignment="1" applyProtection="1">
      <alignment horizontal="left"/>
      <protection locked="0"/>
    </xf>
    <xf numFmtId="0" fontId="0" fillId="35" borderId="74" xfId="0" applyNumberFormat="1" applyFill="1" applyBorder="1" applyAlignment="1" applyProtection="1">
      <alignment horizontal="center" vertical="center"/>
      <protection/>
    </xf>
    <xf numFmtId="49" fontId="0" fillId="35" borderId="75" xfId="0" applyNumberFormat="1" applyFont="1" applyFill="1" applyBorder="1" applyAlignment="1" applyProtection="1">
      <alignment horizontal="left"/>
      <protection/>
    </xf>
    <xf numFmtId="0" fontId="0" fillId="35" borderId="76" xfId="0" applyNumberFormat="1" applyFill="1" applyBorder="1" applyAlignment="1" applyProtection="1">
      <alignment horizontal="center" vertical="center"/>
      <protection/>
    </xf>
    <xf numFmtId="187" fontId="0" fillId="35" borderId="76" xfId="0" applyNumberFormat="1" applyFill="1" applyBorder="1" applyAlignment="1" applyProtection="1">
      <alignment horizontal="center" vertical="center"/>
      <protection/>
    </xf>
    <xf numFmtId="0" fontId="43" fillId="0" borderId="0" xfId="0" applyFont="1" applyAlignment="1" applyProtection="1">
      <alignment/>
      <protection/>
    </xf>
    <xf numFmtId="0" fontId="0" fillId="0" borderId="0" xfId="0" applyNumberFormat="1" applyFill="1" applyBorder="1" applyAlignment="1" applyProtection="1">
      <alignment/>
      <protection/>
    </xf>
    <xf numFmtId="181" fontId="47" fillId="0" borderId="77" xfId="94" applyNumberFormat="1" applyFont="1" applyFill="1" applyBorder="1" applyAlignment="1" applyProtection="1">
      <alignment/>
      <protection/>
    </xf>
    <xf numFmtId="181" fontId="48" fillId="0" borderId="77" xfId="94" applyNumberFormat="1" applyFont="1" applyFill="1" applyBorder="1" applyAlignment="1" applyProtection="1">
      <alignment/>
      <protection/>
    </xf>
    <xf numFmtId="181" fontId="30" fillId="0" borderId="77" xfId="94" applyNumberFormat="1" applyFont="1" applyFill="1" applyBorder="1" applyAlignment="1" applyProtection="1">
      <alignment vertical="center"/>
      <protection/>
    </xf>
    <xf numFmtId="181" fontId="49" fillId="0" borderId="77" xfId="94" applyNumberFormat="1" applyFont="1" applyFill="1" applyBorder="1" applyAlignment="1" applyProtection="1">
      <alignment vertical="center"/>
      <protection/>
    </xf>
    <xf numFmtId="181" fontId="50" fillId="0" borderId="77" xfId="94" applyNumberFormat="1" applyFont="1" applyFill="1" applyBorder="1" applyAlignment="1" applyProtection="1">
      <alignment vertical="center"/>
      <protection/>
    </xf>
    <xf numFmtId="0" fontId="0" fillId="0" borderId="77" xfId="0" applyFill="1" applyBorder="1" applyAlignment="1" applyProtection="1">
      <alignment/>
      <protection/>
    </xf>
    <xf numFmtId="181" fontId="48" fillId="0" borderId="77" xfId="94" applyNumberFormat="1" applyFont="1" applyFill="1" applyBorder="1" applyAlignment="1" applyProtection="1">
      <alignment vertical="center"/>
      <protection/>
    </xf>
    <xf numFmtId="0" fontId="0" fillId="0" borderId="77" xfId="0" applyBorder="1" applyAlignment="1" applyProtection="1">
      <alignment/>
      <protection/>
    </xf>
    <xf numFmtId="0" fontId="0" fillId="0" borderId="77" xfId="0" applyBorder="1" applyAlignment="1">
      <alignment/>
    </xf>
    <xf numFmtId="181" fontId="51" fillId="0" borderId="78" xfId="0" applyNumberFormat="1" applyFont="1" applyFill="1" applyBorder="1" applyAlignment="1" applyProtection="1">
      <alignment horizontal="center" vertical="center"/>
      <protection/>
    </xf>
    <xf numFmtId="181" fontId="51" fillId="0" borderId="79" xfId="0" applyNumberFormat="1" applyFont="1" applyFill="1" applyBorder="1" applyAlignment="1" applyProtection="1">
      <alignment horizontal="center" vertical="center" wrapText="1"/>
      <protection/>
    </xf>
    <xf numFmtId="0" fontId="1" fillId="0" borderId="80" xfId="0" applyFont="1" applyFill="1" applyBorder="1" applyAlignment="1" applyProtection="1">
      <alignment horizontal="center"/>
      <protection/>
    </xf>
    <xf numFmtId="184" fontId="19" fillId="37" borderId="81" xfId="0" applyNumberFormat="1" applyFont="1" applyFill="1" applyBorder="1" applyAlignment="1" applyProtection="1">
      <alignment horizontal="center"/>
      <protection locked="0"/>
    </xf>
    <xf numFmtId="181" fontId="51" fillId="0" borderId="82" xfId="0" applyNumberFormat="1" applyFont="1" applyFill="1" applyBorder="1" applyAlignment="1" applyProtection="1">
      <alignment horizontal="center" vertical="center"/>
      <protection/>
    </xf>
    <xf numFmtId="0" fontId="51" fillId="0" borderId="83" xfId="0" applyFont="1" applyFill="1" applyBorder="1" applyAlignment="1" applyProtection="1">
      <alignment horizontal="center" vertical="center"/>
      <protection/>
    </xf>
    <xf numFmtId="181" fontId="51" fillId="0" borderId="84" xfId="0" applyNumberFormat="1" applyFont="1" applyFill="1" applyBorder="1" applyAlignment="1" applyProtection="1">
      <alignment horizontal="center" vertical="center"/>
      <protection/>
    </xf>
    <xf numFmtId="181" fontId="51" fillId="0" borderId="85" xfId="0" applyNumberFormat="1" applyFont="1" applyFill="1" applyBorder="1" applyAlignment="1" applyProtection="1">
      <alignment horizontal="center" vertical="center" wrapText="1"/>
      <protection/>
    </xf>
    <xf numFmtId="0" fontId="1" fillId="0" borderId="86" xfId="0" applyFont="1" applyFill="1" applyBorder="1" applyAlignment="1" applyProtection="1">
      <alignment horizontal="center"/>
      <protection/>
    </xf>
    <xf numFmtId="184" fontId="19" fillId="37" borderId="0" xfId="0" applyNumberFormat="1" applyFont="1" applyFill="1" applyBorder="1" applyAlignment="1" applyProtection="1">
      <alignment horizontal="center"/>
      <protection locked="0"/>
    </xf>
    <xf numFmtId="184" fontId="19" fillId="37" borderId="87"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left"/>
      <protection/>
    </xf>
    <xf numFmtId="187" fontId="1" fillId="33" borderId="38" xfId="0" applyNumberFormat="1" applyFont="1" applyFill="1" applyBorder="1" applyAlignment="1" applyProtection="1">
      <alignment horizontal="center" vertical="center" wrapText="1"/>
      <protection/>
    </xf>
    <xf numFmtId="199" fontId="1" fillId="33" borderId="14" xfId="0" applyNumberFormat="1" applyFont="1" applyFill="1" applyBorder="1" applyAlignment="1" applyProtection="1">
      <alignment horizontal="center" vertical="center" wrapText="1"/>
      <protection/>
    </xf>
    <xf numFmtId="198" fontId="1" fillId="33" borderId="38" xfId="0" applyNumberFormat="1" applyFont="1" applyFill="1" applyBorder="1" applyAlignment="1" applyProtection="1">
      <alignment horizontal="center" vertical="center" wrapText="1"/>
      <protection/>
    </xf>
    <xf numFmtId="187" fontId="1" fillId="33" borderId="14" xfId="0" applyNumberFormat="1" applyFont="1" applyFill="1" applyBorder="1" applyAlignment="1" applyProtection="1">
      <alignment horizontal="center" vertical="center" wrapText="1"/>
      <protection/>
    </xf>
    <xf numFmtId="190" fontId="1" fillId="33" borderId="14" xfId="0" applyNumberFormat="1" applyFont="1" applyFill="1" applyBorder="1" applyAlignment="1" applyProtection="1">
      <alignment horizontal="center" vertical="center" wrapText="1"/>
      <protection/>
    </xf>
    <xf numFmtId="187" fontId="1" fillId="33" borderId="14" xfId="0" applyNumberFormat="1" applyFont="1" applyFill="1" applyBorder="1" applyAlignment="1" applyProtection="1">
      <alignment vertical="center"/>
      <protection locked="0"/>
    </xf>
    <xf numFmtId="49" fontId="1" fillId="38" borderId="14" xfId="0" applyNumberFormat="1" applyFont="1" applyFill="1" applyBorder="1" applyAlignment="1" applyProtection="1">
      <alignment horizontal="left"/>
      <protection/>
    </xf>
    <xf numFmtId="9" fontId="0" fillId="33" borderId="38" xfId="73" applyFill="1" applyBorder="1" applyAlignment="1" applyProtection="1">
      <alignment horizontal="center" vertical="center" wrapText="1"/>
      <protection/>
    </xf>
    <xf numFmtId="187" fontId="1" fillId="39" borderId="14" xfId="0" applyNumberFormat="1" applyFont="1" applyFill="1" applyBorder="1" applyAlignment="1" applyProtection="1">
      <alignment vertical="center"/>
      <protection locked="0"/>
    </xf>
    <xf numFmtId="9" fontId="0" fillId="33" borderId="38" xfId="73" applyNumberFormat="1" applyFill="1" applyBorder="1" applyAlignment="1" applyProtection="1">
      <alignment horizontal="center" vertical="center" wrapText="1"/>
      <protection/>
    </xf>
    <xf numFmtId="200" fontId="1" fillId="33" borderId="14" xfId="0" applyNumberFormat="1" applyFont="1" applyFill="1" applyBorder="1" applyAlignment="1" applyProtection="1">
      <alignment horizontal="center" vertical="center" wrapText="1"/>
      <protection/>
    </xf>
    <xf numFmtId="1" fontId="52" fillId="33" borderId="38" xfId="0" applyNumberFormat="1" applyFont="1" applyFill="1" applyBorder="1" applyAlignment="1" applyProtection="1">
      <alignment horizontal="center" vertical="center" wrapText="1"/>
      <protection/>
    </xf>
    <xf numFmtId="187" fontId="1" fillId="39" borderId="14" xfId="0" applyNumberFormat="1" applyFont="1" applyFill="1" applyBorder="1" applyAlignment="1" applyProtection="1">
      <alignment horizontal="right" vertical="center"/>
      <protection locked="0"/>
    </xf>
    <xf numFmtId="1" fontId="1" fillId="33" borderId="38" xfId="0" applyNumberFormat="1" applyFont="1" applyFill="1" applyBorder="1" applyAlignment="1" applyProtection="1">
      <alignment horizontal="center" vertical="center" wrapText="1"/>
      <protection/>
    </xf>
    <xf numFmtId="201" fontId="52" fillId="33" borderId="38" xfId="0" applyNumberFormat="1" applyFont="1" applyFill="1" applyBorder="1" applyAlignment="1" applyProtection="1">
      <alignment horizontal="center" vertical="center" wrapText="1"/>
      <protection/>
    </xf>
    <xf numFmtId="9" fontId="1" fillId="33" borderId="38" xfId="0" applyNumberFormat="1" applyFont="1" applyFill="1" applyBorder="1" applyAlignment="1" applyProtection="1">
      <alignment horizontal="center" vertical="center" wrapText="1"/>
      <protection/>
    </xf>
    <xf numFmtId="49" fontId="0" fillId="0" borderId="0" xfId="0" applyNumberFormat="1" applyFont="1" applyAlignment="1" applyProtection="1">
      <alignment/>
      <protection/>
    </xf>
    <xf numFmtId="49" fontId="51" fillId="0" borderId="78" xfId="0" applyNumberFormat="1" applyFont="1" applyFill="1" applyBorder="1" applyAlignment="1" applyProtection="1">
      <alignment horizontal="center" vertical="center"/>
      <protection/>
    </xf>
    <xf numFmtId="49" fontId="51" fillId="0" borderId="79" xfId="0" applyNumberFormat="1" applyFont="1" applyFill="1" applyBorder="1" applyAlignment="1" applyProtection="1">
      <alignment horizontal="center" vertical="center" wrapText="1"/>
      <protection/>
    </xf>
    <xf numFmtId="49" fontId="1" fillId="36" borderId="88" xfId="0" applyNumberFormat="1" applyFont="1" applyFill="1" applyBorder="1" applyAlignment="1" applyProtection="1">
      <alignment/>
      <protection/>
    </xf>
    <xf numFmtId="187" fontId="1" fillId="0" borderId="38" xfId="0" applyNumberFormat="1" applyFont="1" applyFill="1" applyBorder="1" applyAlignment="1" applyProtection="1">
      <alignment vertical="center"/>
      <protection/>
    </xf>
    <xf numFmtId="187" fontId="1" fillId="0" borderId="14" xfId="0" applyNumberFormat="1" applyFont="1" applyFill="1" applyBorder="1" applyAlignment="1" applyProtection="1">
      <alignment vertical="center"/>
      <protection/>
    </xf>
    <xf numFmtId="49" fontId="1" fillId="36" borderId="11" xfId="0" applyNumberFormat="1" applyFont="1" applyFill="1" applyBorder="1" applyAlignment="1" applyProtection="1">
      <alignment/>
      <protection/>
    </xf>
    <xf numFmtId="49" fontId="1" fillId="38" borderId="14" xfId="0" applyNumberFormat="1" applyFont="1" applyFill="1" applyBorder="1" applyAlignment="1" applyProtection="1">
      <alignment/>
      <protection/>
    </xf>
    <xf numFmtId="187" fontId="1" fillId="40" borderId="38" xfId="0" applyNumberFormat="1" applyFont="1" applyFill="1" applyBorder="1" applyAlignment="1" applyProtection="1">
      <alignment vertical="center"/>
      <protection/>
    </xf>
    <xf numFmtId="187" fontId="1" fillId="38" borderId="14" xfId="0" applyNumberFormat="1" applyFont="1" applyFill="1" applyBorder="1" applyAlignment="1" applyProtection="1">
      <alignment vertical="center"/>
      <protection/>
    </xf>
    <xf numFmtId="49" fontId="1" fillId="36" borderId="89" xfId="0" applyNumberFormat="1" applyFont="1" applyFill="1" applyBorder="1" applyAlignment="1" applyProtection="1">
      <alignment/>
      <protection/>
    </xf>
    <xf numFmtId="187" fontId="1" fillId="0" borderId="90" xfId="0" applyNumberFormat="1" applyFont="1" applyFill="1" applyBorder="1" applyAlignment="1" applyProtection="1">
      <alignment vertical="center"/>
      <protection/>
    </xf>
    <xf numFmtId="181" fontId="54" fillId="0" borderId="0" xfId="54" applyFont="1" applyFill="1" applyAlignment="1" applyProtection="1">
      <alignment vertical="center"/>
      <protection/>
    </xf>
    <xf numFmtId="0" fontId="38" fillId="0" borderId="0" xfId="0" applyFont="1" applyAlignment="1" applyProtection="1">
      <alignment/>
      <protection/>
    </xf>
    <xf numFmtId="181" fontId="55" fillId="0" borderId="0" xfId="66"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45" fillId="0" borderId="0" xfId="0" applyFont="1" applyFill="1" applyBorder="1" applyAlignment="1" applyProtection="1">
      <alignment horizontal="left"/>
      <protection/>
    </xf>
    <xf numFmtId="0" fontId="56" fillId="0" borderId="0" xfId="0" applyFont="1" applyFill="1" applyAlignment="1" applyProtection="1">
      <alignment/>
      <protection/>
    </xf>
    <xf numFmtId="0" fontId="26" fillId="0" borderId="0" xfId="0" applyFont="1" applyAlignment="1" applyProtection="1">
      <alignment/>
      <protection/>
    </xf>
    <xf numFmtId="181" fontId="57" fillId="0" borderId="0" xfId="66" applyFont="1" applyFill="1" applyAlignment="1" applyProtection="1">
      <alignment/>
      <protection/>
    </xf>
    <xf numFmtId="181" fontId="57" fillId="0" borderId="0" xfId="66" applyFont="1" applyFill="1" applyAlignment="1" applyProtection="1">
      <alignment horizontal="center"/>
      <protection/>
    </xf>
    <xf numFmtId="181" fontId="57" fillId="0" borderId="0" xfId="66" applyFont="1" applyFill="1" applyAlignment="1" applyProtection="1">
      <alignment horizontal="right"/>
      <protection/>
    </xf>
    <xf numFmtId="181" fontId="57" fillId="0" borderId="0" xfId="66" applyFont="1" applyFill="1" applyBorder="1" applyAlignment="1" applyProtection="1">
      <alignment horizontal="center"/>
      <protection/>
    </xf>
    <xf numFmtId="181" fontId="0" fillId="0" borderId="0" xfId="65"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81" fontId="0" fillId="0" borderId="91" xfId="88" applyNumberFormat="1" applyFont="1" applyFill="1" applyBorder="1" applyAlignment="1" applyProtection="1">
      <alignment horizontal="right"/>
      <protection/>
    </xf>
    <xf numFmtId="202" fontId="20" fillId="35" borderId="91" xfId="88" applyNumberFormat="1" applyFont="1" applyFill="1" applyBorder="1" applyAlignment="1" applyProtection="1">
      <alignment horizontal="center" vertical="center"/>
      <protection/>
    </xf>
    <xf numFmtId="181" fontId="55" fillId="0" borderId="91" xfId="88" applyNumberFormat="1" applyFont="1" applyFill="1" applyBorder="1" applyAlignment="1" applyProtection="1">
      <alignment horizontal="right"/>
      <protection/>
    </xf>
    <xf numFmtId="181" fontId="20" fillId="35" borderId="91" xfId="88" applyNumberFormat="1" applyFont="1" applyFill="1" applyBorder="1" applyAlignment="1" applyProtection="1">
      <alignment horizontal="center" vertical="center"/>
      <protection/>
    </xf>
    <xf numFmtId="183" fontId="20" fillId="35" borderId="91" xfId="88" applyNumberFormat="1" applyFont="1" applyFill="1" applyBorder="1" applyAlignment="1" applyProtection="1">
      <alignment horizontal="center" vertical="center"/>
      <protection/>
    </xf>
    <xf numFmtId="181" fontId="26" fillId="0" borderId="0" xfId="65" applyFont="1" applyProtection="1">
      <alignment/>
      <protection/>
    </xf>
    <xf numFmtId="204" fontId="20" fillId="35" borderId="91" xfId="88" applyNumberFormat="1" applyFont="1" applyFill="1" applyBorder="1" applyAlignment="1" applyProtection="1">
      <alignment horizontal="center"/>
      <protection/>
    </xf>
    <xf numFmtId="187" fontId="20" fillId="35" borderId="91" xfId="88" applyNumberFormat="1" applyFont="1" applyFill="1" applyBorder="1" applyAlignment="1" applyProtection="1">
      <alignment horizontal="center"/>
      <protection/>
    </xf>
    <xf numFmtId="181" fontId="20" fillId="35" borderId="91" xfId="88" applyNumberFormat="1" applyFont="1" applyFill="1" applyBorder="1" applyAlignment="1" applyProtection="1">
      <alignment horizontal="center"/>
      <protection/>
    </xf>
    <xf numFmtId="0" fontId="26" fillId="0" borderId="0" xfId="0" applyFont="1" applyFill="1" applyBorder="1" applyAlignment="1" applyProtection="1">
      <alignment/>
      <protection/>
    </xf>
    <xf numFmtId="183" fontId="20" fillId="35" borderId="91" xfId="88" applyNumberFormat="1" applyFont="1" applyFill="1" applyBorder="1" applyAlignment="1" applyProtection="1">
      <alignment horizontal="center"/>
      <protection/>
    </xf>
    <xf numFmtId="0" fontId="59" fillId="0" borderId="0" xfId="0" applyFont="1" applyFill="1" applyBorder="1" applyAlignment="1" applyProtection="1">
      <alignment/>
      <protection/>
    </xf>
    <xf numFmtId="0" fontId="6" fillId="0" borderId="0" xfId="65" applyNumberFormat="1" applyFont="1" applyBorder="1" applyProtection="1">
      <alignment/>
      <protection/>
    </xf>
    <xf numFmtId="181" fontId="60" fillId="0" borderId="0" xfId="65" applyFont="1" applyProtection="1">
      <alignment/>
      <protection/>
    </xf>
    <xf numFmtId="181" fontId="26" fillId="0" borderId="0" xfId="67" applyFont="1" applyProtection="1">
      <alignment/>
      <protection/>
    </xf>
    <xf numFmtId="181" fontId="60" fillId="0" borderId="0" xfId="67" applyFont="1" applyProtection="1">
      <alignment/>
      <protection/>
    </xf>
    <xf numFmtId="181" fontId="3" fillId="0" borderId="0" xfId="54" applyFont="1" applyFill="1" applyAlignment="1">
      <alignment vertical="center"/>
      <protection/>
    </xf>
    <xf numFmtId="181" fontId="22" fillId="0" borderId="0" xfId="0" applyNumberFormat="1" applyFont="1" applyAlignment="1" applyProtection="1">
      <alignment horizontal="right"/>
      <protection/>
    </xf>
    <xf numFmtId="181"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9" fillId="0" borderId="0" xfId="0" applyFont="1" applyAlignment="1">
      <alignment/>
    </xf>
    <xf numFmtId="183" fontId="22" fillId="0" borderId="0" xfId="0" applyNumberFormat="1" applyFont="1" applyAlignment="1" applyProtection="1">
      <alignment horizontal="center"/>
      <protection/>
    </xf>
    <xf numFmtId="181" fontId="22" fillId="0" borderId="0" xfId="0" applyNumberFormat="1" applyFont="1" applyAlignment="1" applyProtection="1">
      <alignment/>
      <protection/>
    </xf>
    <xf numFmtId="185" fontId="22" fillId="0" borderId="0" xfId="48" applyNumberFormat="1" applyFont="1" applyFill="1" applyBorder="1" applyAlignment="1" applyProtection="1">
      <alignment horizontal="left"/>
      <protection/>
    </xf>
    <xf numFmtId="181" fontId="22" fillId="0" borderId="0" xfId="0" applyNumberFormat="1" applyFont="1" applyBorder="1" applyAlignment="1" applyProtection="1">
      <alignment/>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183" fontId="22" fillId="0" borderId="0" xfId="0" applyNumberFormat="1" applyFont="1" applyAlignment="1" applyProtection="1">
      <alignment horizontal="right"/>
      <protection/>
    </xf>
    <xf numFmtId="183" fontId="22" fillId="0" borderId="0" xfId="0" applyNumberFormat="1" applyFont="1" applyAlignment="1" applyProtection="1">
      <alignment horizontal="left"/>
      <protection/>
    </xf>
    <xf numFmtId="181" fontId="62" fillId="0" borderId="0" xfId="0" applyNumberFormat="1" applyFont="1" applyBorder="1" applyAlignment="1" applyProtection="1">
      <alignment/>
      <protection/>
    </xf>
    <xf numFmtId="0" fontId="46" fillId="0" borderId="0" xfId="0" applyFont="1" applyBorder="1" applyAlignment="1" applyProtection="1">
      <alignment/>
      <protection/>
    </xf>
    <xf numFmtId="0" fontId="63" fillId="33" borderId="0" xfId="0" applyNumberFormat="1" applyFont="1" applyFill="1" applyBorder="1" applyAlignment="1" applyProtection="1">
      <alignment horizontal="left" vertical="center"/>
      <protection locked="0"/>
    </xf>
    <xf numFmtId="0" fontId="65" fillId="33" borderId="0" xfId="0" applyNumberFormat="1" applyFont="1" applyFill="1" applyBorder="1" applyAlignment="1" applyProtection="1">
      <alignment horizontal="left" vertical="center"/>
      <protection locked="0"/>
    </xf>
    <xf numFmtId="0" fontId="65" fillId="33" borderId="73" xfId="0" applyNumberFormat="1" applyFont="1" applyFill="1" applyBorder="1" applyAlignment="1" applyProtection="1">
      <alignment horizontal="left" vertical="center"/>
      <protection locked="0"/>
    </xf>
    <xf numFmtId="0" fontId="26" fillId="0" borderId="0" xfId="0" applyFont="1" applyAlignment="1">
      <alignment/>
    </xf>
    <xf numFmtId="181" fontId="65" fillId="0" borderId="0" xfId="0" applyNumberFormat="1" applyFont="1" applyAlignment="1" applyProtection="1">
      <alignment/>
      <protection/>
    </xf>
    <xf numFmtId="0" fontId="0" fillId="0" borderId="0" xfId="0" applyBorder="1" applyAlignment="1">
      <alignment horizontal="left" wrapText="1"/>
    </xf>
    <xf numFmtId="0" fontId="46" fillId="0" borderId="0" xfId="0" applyFont="1" applyFill="1" applyAlignment="1" applyProtection="1">
      <alignment horizontal="left"/>
      <protection locked="0"/>
    </xf>
    <xf numFmtId="0" fontId="46" fillId="0" borderId="0" xfId="0" applyFont="1" applyFill="1" applyBorder="1" applyAlignment="1" applyProtection="1">
      <alignment horizontal="left"/>
      <protection locked="0"/>
    </xf>
    <xf numFmtId="181" fontId="66" fillId="0" borderId="0" xfId="0" applyNumberFormat="1" applyFont="1" applyBorder="1" applyAlignment="1" applyProtection="1">
      <alignment vertical="center" wrapText="1"/>
      <protection/>
    </xf>
    <xf numFmtId="181" fontId="66" fillId="0" borderId="65" xfId="0" applyNumberFormat="1" applyFont="1" applyFill="1" applyBorder="1" applyAlignment="1" applyProtection="1">
      <alignment horizontal="center" wrapText="1"/>
      <protection/>
    </xf>
    <xf numFmtId="181" fontId="66" fillId="0" borderId="71" xfId="0" applyNumberFormat="1" applyFont="1" applyFill="1" applyBorder="1" applyAlignment="1" applyProtection="1">
      <alignment horizontal="center" wrapText="1"/>
      <protection/>
    </xf>
    <xf numFmtId="0" fontId="66" fillId="0" borderId="0" xfId="0" applyFont="1" applyFill="1" applyBorder="1" applyAlignment="1" applyProtection="1">
      <alignment wrapText="1"/>
      <protection/>
    </xf>
    <xf numFmtId="0" fontId="62" fillId="0" borderId="48" xfId="0" applyFont="1" applyFill="1" applyBorder="1" applyAlignment="1" applyProtection="1">
      <alignment horizontal="center"/>
      <protection/>
    </xf>
    <xf numFmtId="1" fontId="31" fillId="34" borderId="92" xfId="0" applyNumberFormat="1" applyFont="1" applyFill="1" applyBorder="1" applyAlignment="1" applyProtection="1">
      <alignment horizontal="center"/>
      <protection/>
    </xf>
    <xf numFmtId="0" fontId="31" fillId="34" borderId="92" xfId="0" applyFont="1" applyFill="1" applyBorder="1" applyAlignment="1" applyProtection="1">
      <alignment horizontal="center"/>
      <protection/>
    </xf>
    <xf numFmtId="0" fontId="62" fillId="0" borderId="93" xfId="0" applyFont="1" applyFill="1" applyBorder="1" applyAlignment="1" applyProtection="1">
      <alignment horizontal="center"/>
      <protection/>
    </xf>
    <xf numFmtId="0" fontId="46" fillId="0" borderId="0" xfId="0" applyFont="1" applyAlignment="1" applyProtection="1">
      <alignment/>
      <protection/>
    </xf>
    <xf numFmtId="181" fontId="0" fillId="0" borderId="0" xfId="0" applyNumberFormat="1" applyAlignment="1">
      <alignment/>
    </xf>
    <xf numFmtId="181" fontId="3" fillId="0" borderId="0" xfId="64" applyFont="1" applyFill="1" applyAlignment="1">
      <alignment vertical="center"/>
      <protection/>
    </xf>
    <xf numFmtId="181" fontId="22" fillId="0" borderId="0" xfId="0" applyNumberFormat="1" applyFont="1" applyAlignment="1">
      <alignment horizontal="right"/>
    </xf>
    <xf numFmtId="181" fontId="22" fillId="0" borderId="0" xfId="0" applyNumberFormat="1" applyFont="1" applyAlignment="1">
      <alignment/>
    </xf>
    <xf numFmtId="181" fontId="65" fillId="0" borderId="0" xfId="0" applyNumberFormat="1" applyFont="1" applyAlignment="1">
      <alignment/>
    </xf>
    <xf numFmtId="0" fontId="46" fillId="0" borderId="0" xfId="0" applyFont="1" applyAlignment="1">
      <alignment/>
    </xf>
    <xf numFmtId="0" fontId="65" fillId="33" borderId="0" xfId="0" applyNumberFormat="1" applyFont="1" applyFill="1" applyAlignment="1" applyProtection="1">
      <alignment horizontal="left" vertical="center"/>
      <protection locked="0"/>
    </xf>
    <xf numFmtId="0" fontId="0" fillId="0" borderId="0" xfId="0" applyBorder="1" applyAlignment="1">
      <alignment horizontal="left"/>
    </xf>
    <xf numFmtId="205" fontId="0" fillId="0" borderId="0" xfId="0" applyNumberFormat="1" applyAlignment="1">
      <alignment/>
    </xf>
    <xf numFmtId="0" fontId="19" fillId="0" borderId="0" xfId="0" applyFont="1" applyBorder="1" applyAlignment="1">
      <alignment horizontal="center"/>
    </xf>
    <xf numFmtId="195" fontId="0" fillId="0" borderId="0" xfId="88" applyNumberFormat="1" applyFill="1" applyBorder="1" applyAlignment="1" applyProtection="1">
      <alignment horizontal="center"/>
      <protection locked="0"/>
    </xf>
    <xf numFmtId="195" fontId="0" fillId="0" borderId="0" xfId="0" applyNumberFormat="1" applyFill="1" applyAlignment="1">
      <alignment/>
    </xf>
    <xf numFmtId="183" fontId="0"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 fontId="45" fillId="36"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69" fillId="0" borderId="0" xfId="0" applyFont="1" applyAlignment="1">
      <alignment/>
    </xf>
    <xf numFmtId="0" fontId="22" fillId="0" borderId="0" xfId="0" applyFont="1" applyFill="1" applyBorder="1" applyAlignment="1" applyProtection="1">
      <alignment wrapText="1"/>
      <protection/>
    </xf>
    <xf numFmtId="0" fontId="46" fillId="0" borderId="65" xfId="0" applyFont="1" applyFill="1" applyBorder="1" applyAlignment="1" applyProtection="1">
      <alignment horizontal="center" vertical="center" wrapText="1"/>
      <protection/>
    </xf>
    <xf numFmtId="0" fontId="46" fillId="0" borderId="94" xfId="0" applyFont="1" applyFill="1" applyBorder="1" applyAlignment="1" applyProtection="1">
      <alignment horizontal="center" vertical="center" wrapText="1"/>
      <protection/>
    </xf>
    <xf numFmtId="0" fontId="46" fillId="0" borderId="70" xfId="0" applyFont="1" applyFill="1" applyBorder="1" applyAlignment="1" applyProtection="1">
      <alignment horizontal="center" vertical="center" wrapText="1"/>
      <protection/>
    </xf>
    <xf numFmtId="0" fontId="46" fillId="0" borderId="70" xfId="0" applyNumberFormat="1" applyFont="1" applyFill="1" applyBorder="1" applyAlignment="1" applyProtection="1">
      <alignment horizontal="center" vertical="center" wrapText="1"/>
      <protection/>
    </xf>
    <xf numFmtId="0" fontId="46" fillId="0" borderId="95" xfId="0" applyNumberFormat="1" applyFont="1" applyFill="1" applyBorder="1" applyAlignment="1" applyProtection="1">
      <alignment horizontal="center" vertical="center" wrapText="1"/>
      <protection/>
    </xf>
    <xf numFmtId="0" fontId="46" fillId="0" borderId="93" xfId="0" applyFont="1" applyFill="1" applyBorder="1" applyAlignment="1" applyProtection="1">
      <alignment horizontal="center" vertical="center"/>
      <protection/>
    </xf>
    <xf numFmtId="198" fontId="46" fillId="0" borderId="93" xfId="0" applyNumberFormat="1" applyFont="1" applyFill="1" applyBorder="1" applyAlignment="1" applyProtection="1">
      <alignment horizontal="center" vertical="center"/>
      <protection/>
    </xf>
    <xf numFmtId="198" fontId="26" fillId="41" borderId="96" xfId="0" applyNumberFormat="1" applyFont="1" applyFill="1" applyBorder="1" applyAlignment="1" applyProtection="1">
      <alignment horizontal="center"/>
      <protection/>
    </xf>
    <xf numFmtId="198" fontId="38" fillId="41" borderId="96" xfId="0" applyNumberFormat="1" applyFont="1" applyFill="1" applyBorder="1" applyAlignment="1" applyProtection="1">
      <alignment horizontal="center"/>
      <protection/>
    </xf>
    <xf numFmtId="0" fontId="22" fillId="0" borderId="0" xfId="0" applyFont="1" applyAlignment="1" applyProtection="1">
      <alignment horizontal="center"/>
      <protection/>
    </xf>
    <xf numFmtId="181" fontId="22" fillId="0" borderId="0" xfId="0" applyNumberFormat="1" applyFont="1" applyAlignment="1" applyProtection="1">
      <alignment/>
      <protection/>
    </xf>
    <xf numFmtId="183" fontId="22" fillId="0" borderId="0" xfId="0" applyNumberFormat="1" applyFont="1" applyAlignment="1">
      <alignment/>
    </xf>
    <xf numFmtId="0" fontId="71" fillId="0" borderId="0" xfId="0" applyFont="1" applyAlignment="1">
      <alignment/>
    </xf>
    <xf numFmtId="0" fontId="26" fillId="0" borderId="0" xfId="0" applyNumberFormat="1" applyFont="1" applyAlignment="1">
      <alignment/>
    </xf>
    <xf numFmtId="181" fontId="19"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31" fillId="0" borderId="0" xfId="0" applyNumberFormat="1" applyFont="1" applyAlignment="1" applyProtection="1">
      <alignment horizontal="center"/>
      <protection/>
    </xf>
    <xf numFmtId="181" fontId="62" fillId="33" borderId="0" xfId="0" applyNumberFormat="1" applyFont="1" applyFill="1" applyAlignment="1" applyProtection="1">
      <alignment horizontal="left" vertical="top"/>
      <protection locked="0"/>
    </xf>
    <xf numFmtId="0" fontId="46" fillId="0" borderId="14" xfId="0" applyFont="1" applyBorder="1" applyAlignment="1" applyProtection="1">
      <alignment horizontal="center" vertical="center" wrapText="1"/>
      <protection/>
    </xf>
    <xf numFmtId="9" fontId="72" fillId="42" borderId="11" xfId="73" applyFont="1" applyFill="1" applyBorder="1" applyAlignment="1" applyProtection="1">
      <alignment horizontal="center" vertical="center" wrapText="1"/>
      <protection/>
    </xf>
    <xf numFmtId="187" fontId="26" fillId="36" borderId="97" xfId="0" applyNumberFormat="1" applyFont="1" applyFill="1" applyBorder="1" applyAlignment="1">
      <alignment horizontal="right"/>
    </xf>
    <xf numFmtId="187" fontId="26" fillId="36" borderId="98" xfId="48" applyNumberFormat="1" applyFont="1" applyFill="1" applyBorder="1" applyAlignment="1" applyProtection="1">
      <alignment/>
      <protection/>
    </xf>
    <xf numFmtId="9" fontId="26" fillId="36" borderId="98" xfId="73" applyFont="1" applyFill="1" applyBorder="1" applyAlignment="1" applyProtection="1">
      <alignment/>
      <protection/>
    </xf>
    <xf numFmtId="187" fontId="26" fillId="36" borderId="98" xfId="0" applyNumberFormat="1" applyFont="1" applyFill="1" applyBorder="1" applyAlignment="1">
      <alignment horizontal="right"/>
    </xf>
    <xf numFmtId="206" fontId="0" fillId="0" borderId="14" xfId="0" applyNumberFormat="1" applyFont="1" applyBorder="1" applyAlignment="1" applyProtection="1">
      <alignment horizontal="center" vertical="center" wrapText="1"/>
      <protection/>
    </xf>
    <xf numFmtId="9" fontId="26" fillId="36" borderId="98" xfId="73" applyNumberFormat="1" applyFont="1" applyFill="1" applyBorder="1" applyAlignment="1" applyProtection="1">
      <alignment/>
      <protection/>
    </xf>
    <xf numFmtId="9" fontId="0" fillId="0" borderId="14" xfId="0" applyNumberFormat="1" applyFont="1" applyBorder="1" applyAlignment="1" applyProtection="1">
      <alignment horizontal="center" vertical="center" wrapText="1"/>
      <protection/>
    </xf>
    <xf numFmtId="0" fontId="26" fillId="36" borderId="97" xfId="0" applyFont="1" applyFill="1" applyBorder="1" applyAlignment="1">
      <alignment/>
    </xf>
    <xf numFmtId="9" fontId="26" fillId="36" borderId="98" xfId="73" applyFont="1" applyFill="1" applyBorder="1" applyAlignment="1" applyProtection="1">
      <alignment horizontal="center"/>
      <protection/>
    </xf>
    <xf numFmtId="187" fontId="26" fillId="0" borderId="0" xfId="0" applyNumberFormat="1" applyFont="1" applyAlignment="1">
      <alignment/>
    </xf>
    <xf numFmtId="187" fontId="26" fillId="36" borderId="98" xfId="0" applyNumberFormat="1" applyFont="1" applyFill="1" applyBorder="1" applyAlignment="1">
      <alignment/>
    </xf>
    <xf numFmtId="181" fontId="26" fillId="0" borderId="0" xfId="0" applyNumberFormat="1" applyFont="1" applyAlignment="1">
      <alignment/>
    </xf>
    <xf numFmtId="0" fontId="73" fillId="0" borderId="0" xfId="0" applyFont="1" applyAlignment="1">
      <alignment/>
    </xf>
    <xf numFmtId="0" fontId="73" fillId="0" borderId="0" xfId="0" applyFont="1" applyAlignment="1">
      <alignment horizontal="right"/>
    </xf>
    <xf numFmtId="0" fontId="73" fillId="0" borderId="0" xfId="0" applyFont="1" applyAlignment="1" applyProtection="1">
      <alignment/>
      <protection/>
    </xf>
    <xf numFmtId="0" fontId="73" fillId="0" borderId="0" xfId="0" applyFont="1" applyAlignment="1" applyProtection="1">
      <alignment horizontal="right"/>
      <protection/>
    </xf>
    <xf numFmtId="181" fontId="23" fillId="0" borderId="0" xfId="64" applyFont="1" applyFill="1" applyAlignment="1">
      <alignment vertical="center"/>
      <protection/>
    </xf>
    <xf numFmtId="0" fontId="73" fillId="0" borderId="0" xfId="0" applyFont="1" applyBorder="1" applyAlignment="1" applyProtection="1">
      <alignment/>
      <protection/>
    </xf>
    <xf numFmtId="0" fontId="74" fillId="0" borderId="0" xfId="0" applyFont="1" applyBorder="1" applyAlignment="1" applyProtection="1">
      <alignment horizontal="left" vertical="center"/>
      <protection/>
    </xf>
    <xf numFmtId="0" fontId="74" fillId="0" borderId="0" xfId="0" applyFont="1" applyBorder="1" applyAlignment="1" applyProtection="1">
      <alignment horizontal="left"/>
      <protection/>
    </xf>
    <xf numFmtId="207" fontId="74" fillId="0" borderId="0" xfId="0" applyNumberFormat="1" applyFont="1" applyBorder="1" applyAlignment="1" applyProtection="1">
      <alignment horizontal="left"/>
      <protection/>
    </xf>
    <xf numFmtId="0" fontId="73" fillId="0" borderId="0" xfId="0" applyFont="1" applyBorder="1" applyAlignment="1">
      <alignment/>
    </xf>
    <xf numFmtId="0" fontId="76" fillId="0" borderId="0" xfId="0" applyFont="1" applyAlignment="1" applyProtection="1">
      <alignment/>
      <protection/>
    </xf>
    <xf numFmtId="0" fontId="79" fillId="0" borderId="0" xfId="0" applyFont="1" applyFill="1" applyBorder="1" applyAlignment="1" applyProtection="1">
      <alignment horizontal="right"/>
      <protection/>
    </xf>
    <xf numFmtId="0" fontId="76" fillId="0" borderId="0" xfId="0" applyFont="1" applyAlignment="1">
      <alignment/>
    </xf>
    <xf numFmtId="0" fontId="51" fillId="0" borderId="99" xfId="0" applyFont="1" applyFill="1" applyBorder="1" applyAlignment="1" applyProtection="1">
      <alignment horizontal="center" vertical="center" wrapText="1"/>
      <protection/>
    </xf>
    <xf numFmtId="0" fontId="80" fillId="0" borderId="100" xfId="0" applyNumberFormat="1" applyFont="1" applyFill="1" applyBorder="1" applyAlignment="1" applyProtection="1">
      <alignment horizontal="right"/>
      <protection/>
    </xf>
    <xf numFmtId="9" fontId="81" fillId="0" borderId="0" xfId="0" applyNumberFormat="1" applyFont="1" applyFill="1" applyBorder="1" applyAlignment="1" applyProtection="1">
      <alignment/>
      <protection/>
    </xf>
    <xf numFmtId="0" fontId="51" fillId="0" borderId="101" xfId="0" applyFont="1" applyFill="1" applyBorder="1" applyAlignment="1" applyProtection="1">
      <alignment horizontal="center"/>
      <protection/>
    </xf>
    <xf numFmtId="0" fontId="80" fillId="0" borderId="102" xfId="0" applyNumberFormat="1" applyFont="1" applyFill="1" applyBorder="1" applyAlignment="1" applyProtection="1">
      <alignment horizontal="right"/>
      <protection/>
    </xf>
    <xf numFmtId="0" fontId="51" fillId="0" borderId="103" xfId="0" applyFont="1" applyFill="1" applyBorder="1" applyAlignment="1" applyProtection="1">
      <alignment horizontal="center"/>
      <protection/>
    </xf>
    <xf numFmtId="0" fontId="80" fillId="0" borderId="104" xfId="0" applyNumberFormat="1" applyFont="1" applyFill="1" applyBorder="1" applyAlignment="1" applyProtection="1">
      <alignment horizontal="right"/>
      <protection/>
    </xf>
    <xf numFmtId="0" fontId="82" fillId="0" borderId="0" xfId="0" applyFont="1" applyFill="1" applyBorder="1" applyAlignment="1" applyProtection="1">
      <alignment horizontal="center"/>
      <protection/>
    </xf>
    <xf numFmtId="0" fontId="80"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81" fillId="0" borderId="0" xfId="0" applyNumberFormat="1" applyFont="1" applyFill="1" applyBorder="1" applyAlignment="1" applyProtection="1">
      <alignment horizontal="center"/>
      <protection/>
    </xf>
    <xf numFmtId="0" fontId="76" fillId="0" borderId="0" xfId="0" applyFont="1" applyFill="1" applyAlignment="1">
      <alignment/>
    </xf>
    <xf numFmtId="208" fontId="83" fillId="36" borderId="0" xfId="0" applyNumberFormat="1" applyFont="1" applyFill="1" applyBorder="1" applyAlignment="1" applyProtection="1">
      <alignment vertical="center"/>
      <protection/>
    </xf>
    <xf numFmtId="0" fontId="80"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4" fillId="36" borderId="0" xfId="0" applyFont="1" applyFill="1" applyBorder="1" applyAlignment="1" applyProtection="1">
      <alignment horizontal="center" vertical="center"/>
      <protection/>
    </xf>
    <xf numFmtId="198" fontId="83" fillId="36" borderId="0" xfId="73" applyNumberFormat="1" applyFont="1" applyFill="1" applyBorder="1" applyAlignment="1" applyProtection="1">
      <alignment horizontal="right"/>
      <protection/>
    </xf>
    <xf numFmtId="9" fontId="85" fillId="36" borderId="0" xfId="0" applyNumberFormat="1" applyFont="1" applyFill="1" applyBorder="1" applyAlignment="1" applyProtection="1">
      <alignment/>
      <protection/>
    </xf>
    <xf numFmtId="0" fontId="86" fillId="36" borderId="0" xfId="0" applyFont="1" applyFill="1" applyBorder="1" applyAlignment="1" applyProtection="1">
      <alignment horizontal="center" vertical="center"/>
      <protection/>
    </xf>
    <xf numFmtId="9" fontId="85" fillId="36" borderId="0" xfId="0" applyNumberFormat="1" applyFont="1" applyFill="1" applyBorder="1" applyAlignment="1" applyProtection="1">
      <alignment horizontal="left"/>
      <protection/>
    </xf>
    <xf numFmtId="0" fontId="46" fillId="0" borderId="0" xfId="0" applyFont="1" applyBorder="1" applyAlignment="1" applyProtection="1">
      <alignment horizontal="center" vertical="center"/>
      <protection/>
    </xf>
    <xf numFmtId="0" fontId="83" fillId="36" borderId="0" xfId="0" applyFont="1" applyFill="1" applyBorder="1" applyAlignment="1" applyProtection="1">
      <alignment horizontal="left" vertical="center"/>
      <protection/>
    </xf>
    <xf numFmtId="187" fontId="87" fillId="0" borderId="0" xfId="0" applyNumberFormat="1" applyFont="1" applyFill="1" applyBorder="1" applyAlignment="1" applyProtection="1">
      <alignment horizontal="right" vertical="center"/>
      <protection/>
    </xf>
    <xf numFmtId="0" fontId="88" fillId="36" borderId="0" xfId="0" applyFont="1" applyFill="1" applyBorder="1" applyAlignment="1" applyProtection="1">
      <alignment horizontal="left" vertical="center"/>
      <protection/>
    </xf>
    <xf numFmtId="0" fontId="51" fillId="0" borderId="105" xfId="0" applyNumberFormat="1" applyFont="1" applyFill="1" applyBorder="1" applyAlignment="1" applyProtection="1">
      <alignment horizontal="center"/>
      <protection/>
    </xf>
    <xf numFmtId="0" fontId="80" fillId="0" borderId="106" xfId="0" applyNumberFormat="1" applyFont="1" applyFill="1" applyBorder="1" applyAlignment="1" applyProtection="1">
      <alignment horizontal="right"/>
      <protection/>
    </xf>
    <xf numFmtId="9" fontId="85" fillId="0" borderId="0" xfId="0" applyNumberFormat="1" applyFont="1" applyFill="1" applyBorder="1" applyAlignment="1" applyProtection="1">
      <alignment/>
      <protection/>
    </xf>
    <xf numFmtId="0" fontId="51" fillId="0" borderId="107" xfId="0" applyNumberFormat="1" applyFont="1" applyFill="1" applyBorder="1" applyAlignment="1" applyProtection="1">
      <alignment horizontal="center"/>
      <protection/>
    </xf>
    <xf numFmtId="0" fontId="80" fillId="0" borderId="108" xfId="0" applyNumberFormat="1" applyFont="1" applyFill="1" applyBorder="1" applyAlignment="1" applyProtection="1">
      <alignment horizontal="right"/>
      <protection/>
    </xf>
    <xf numFmtId="0" fontId="73" fillId="0" borderId="0" xfId="0" applyNumberFormat="1" applyFont="1" applyBorder="1" applyAlignment="1">
      <alignment/>
    </xf>
    <xf numFmtId="0" fontId="51" fillId="0" borderId="107" xfId="0" applyNumberFormat="1" applyFont="1" applyFill="1" applyBorder="1" applyAlignment="1" applyProtection="1">
      <alignment horizontal="center" vertical="center"/>
      <protection/>
    </xf>
    <xf numFmtId="0" fontId="51" fillId="0" borderId="109" xfId="0" applyNumberFormat="1" applyFont="1" applyFill="1" applyBorder="1" applyAlignment="1" applyProtection="1">
      <alignment horizontal="center" vertical="center"/>
      <protection/>
    </xf>
    <xf numFmtId="0" fontId="80" fillId="0" borderId="110" xfId="0" applyNumberFormat="1" applyFont="1" applyFill="1" applyBorder="1" applyAlignment="1" applyProtection="1">
      <alignment horizontal="right"/>
      <protection/>
    </xf>
    <xf numFmtId="0" fontId="90" fillId="0" borderId="0" xfId="0" applyFont="1" applyFill="1" applyBorder="1" applyAlignment="1" applyProtection="1">
      <alignment/>
      <protection/>
    </xf>
    <xf numFmtId="0" fontId="91" fillId="0" borderId="0" xfId="0" applyFont="1" applyFill="1" applyBorder="1" applyAlignment="1" applyProtection="1">
      <alignment/>
      <protection/>
    </xf>
    <xf numFmtId="0" fontId="92"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right" vertical="center" indent="1"/>
      <protection/>
    </xf>
    <xf numFmtId="0" fontId="94" fillId="0" borderId="0" xfId="0" applyFont="1" applyFill="1" applyBorder="1" applyAlignment="1" applyProtection="1">
      <alignment horizontal="center"/>
      <protection/>
    </xf>
    <xf numFmtId="0" fontId="95" fillId="0" borderId="111" xfId="0" applyNumberFormat="1" applyFont="1" applyFill="1" applyBorder="1" applyAlignment="1" applyProtection="1">
      <alignment horizontal="center" vertical="center"/>
      <protection/>
    </xf>
    <xf numFmtId="0" fontId="46" fillId="0" borderId="112" xfId="0" applyNumberFormat="1" applyFont="1" applyFill="1" applyBorder="1" applyAlignment="1" applyProtection="1">
      <alignment vertical="center"/>
      <protection/>
    </xf>
    <xf numFmtId="0" fontId="95" fillId="0" borderId="113" xfId="0" applyNumberFormat="1" applyFont="1" applyFill="1" applyBorder="1" applyAlignment="1" applyProtection="1">
      <alignment horizontal="center" vertical="center"/>
      <protection/>
    </xf>
    <xf numFmtId="0" fontId="46" fillId="0" borderId="114" xfId="0" applyNumberFormat="1" applyFont="1" applyFill="1" applyBorder="1" applyAlignment="1" applyProtection="1">
      <alignment vertical="center"/>
      <protection/>
    </xf>
    <xf numFmtId="0" fontId="95" fillId="0" borderId="115" xfId="0" applyNumberFormat="1" applyFont="1" applyFill="1" applyBorder="1" applyAlignment="1" applyProtection="1">
      <alignment horizontal="center" vertical="center"/>
      <protection/>
    </xf>
    <xf numFmtId="0" fontId="46" fillId="0" borderId="116" xfId="0" applyNumberFormat="1" applyFont="1" applyFill="1" applyBorder="1" applyAlignment="1" applyProtection="1">
      <alignment vertical="center"/>
      <protection/>
    </xf>
    <xf numFmtId="0" fontId="46" fillId="0" borderId="117" xfId="0" applyNumberFormat="1" applyFont="1" applyFill="1" applyBorder="1" applyAlignment="1" applyProtection="1">
      <alignment vertical="center"/>
      <protection/>
    </xf>
    <xf numFmtId="183" fontId="0" fillId="0" borderId="0" xfId="0" applyNumberFormat="1" applyAlignment="1">
      <alignment/>
    </xf>
    <xf numFmtId="0" fontId="4" fillId="0" borderId="0" xfId="0" applyFont="1" applyAlignment="1">
      <alignment horizontal="center"/>
    </xf>
    <xf numFmtId="0" fontId="75" fillId="37" borderId="118" xfId="0" applyNumberFormat="1" applyFont="1" applyFill="1" applyBorder="1" applyAlignment="1">
      <alignment vertical="center"/>
    </xf>
    <xf numFmtId="0" fontId="75" fillId="37" borderId="118" xfId="0" applyFont="1" applyFill="1" applyBorder="1" applyAlignment="1">
      <alignment vertical="center"/>
    </xf>
    <xf numFmtId="0" fontId="19" fillId="0" borderId="0" xfId="0" applyFont="1" applyAlignment="1">
      <alignment/>
    </xf>
    <xf numFmtId="0" fontId="34" fillId="0" borderId="0" xfId="0" applyFont="1" applyAlignment="1">
      <alignment/>
    </xf>
    <xf numFmtId="0" fontId="96" fillId="0" borderId="0" xfId="71" applyNumberFormat="1" applyFont="1" applyFill="1" applyBorder="1" applyAlignment="1">
      <alignment horizontal="center" vertical="center" wrapText="1"/>
      <protection/>
    </xf>
    <xf numFmtId="0" fontId="96" fillId="43" borderId="119" xfId="71" applyNumberFormat="1" applyFont="1" applyFill="1" applyBorder="1" applyAlignment="1">
      <alignment horizontal="center" vertical="center" wrapText="1"/>
      <protection/>
    </xf>
    <xf numFmtId="0" fontId="98" fillId="0" borderId="0" xfId="0" applyNumberFormat="1" applyFont="1" applyAlignment="1">
      <alignment/>
    </xf>
    <xf numFmtId="0" fontId="98" fillId="0" borderId="0" xfId="0" applyFont="1" applyAlignment="1">
      <alignment/>
    </xf>
    <xf numFmtId="0" fontId="98" fillId="0" borderId="0" xfId="0" applyFont="1" applyAlignment="1">
      <alignment horizontal="center"/>
    </xf>
    <xf numFmtId="0" fontId="99" fillId="0" borderId="0" xfId="0" applyFont="1" applyBorder="1" applyAlignment="1">
      <alignment/>
    </xf>
    <xf numFmtId="0" fontId="100" fillId="37" borderId="118" xfId="0" applyFont="1" applyFill="1" applyBorder="1" applyAlignment="1">
      <alignment vertical="center"/>
    </xf>
    <xf numFmtId="0" fontId="32" fillId="0" borderId="0" xfId="0" applyFont="1" applyAlignment="1">
      <alignment/>
    </xf>
    <xf numFmtId="0" fontId="101" fillId="37" borderId="14" xfId="0" applyFont="1" applyFill="1" applyBorder="1" applyAlignment="1" applyProtection="1">
      <alignment horizontal="center"/>
      <protection/>
    </xf>
    <xf numFmtId="0" fontId="101"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60" fillId="0" borderId="14" xfId="0" applyFont="1" applyFill="1" applyBorder="1" applyAlignment="1" applyProtection="1">
      <alignment horizontal="center"/>
      <protection/>
    </xf>
    <xf numFmtId="0" fontId="60" fillId="0" borderId="14" xfId="0" applyFont="1" applyBorder="1" applyAlignment="1" applyProtection="1">
      <alignment horizontal="center"/>
      <protection/>
    </xf>
    <xf numFmtId="0" fontId="102" fillId="0" borderId="14" xfId="0" applyFont="1" applyBorder="1" applyAlignment="1" applyProtection="1">
      <alignment horizontal="left" indent="1"/>
      <protection/>
    </xf>
    <xf numFmtId="0" fontId="0" fillId="0" borderId="14" xfId="0" applyFont="1" applyBorder="1" applyAlignment="1">
      <alignment horizontal="center"/>
    </xf>
    <xf numFmtId="0" fontId="60" fillId="0" borderId="0" xfId="0" applyFont="1" applyFill="1" applyBorder="1" applyAlignment="1" applyProtection="1">
      <alignment/>
      <protection/>
    </xf>
    <xf numFmtId="0" fontId="60" fillId="0" borderId="14" xfId="0" applyFont="1" applyFill="1" applyBorder="1" applyAlignment="1" applyProtection="1">
      <alignment/>
      <protection/>
    </xf>
    <xf numFmtId="181" fontId="60" fillId="0" borderId="14" xfId="67" applyFont="1" applyBorder="1" applyProtection="1">
      <alignment/>
      <protection/>
    </xf>
    <xf numFmtId="0" fontId="0" fillId="0" borderId="14" xfId="0" applyFont="1" applyBorder="1" applyAlignment="1">
      <alignment/>
    </xf>
    <xf numFmtId="0" fontId="0" fillId="0" borderId="14" xfId="0" applyBorder="1" applyAlignment="1">
      <alignment/>
    </xf>
    <xf numFmtId="10" fontId="0" fillId="0" borderId="0" xfId="0" applyNumberFormat="1" applyAlignment="1" applyProtection="1">
      <alignment/>
      <protection/>
    </xf>
    <xf numFmtId="181" fontId="2" fillId="44" borderId="0" xfId="63" applyFont="1" applyFill="1" applyBorder="1" applyAlignment="1">
      <alignment horizontal="center" vertical="center"/>
      <protection/>
    </xf>
    <xf numFmtId="181" fontId="4" fillId="0" borderId="0" xfId="0" applyNumberFormat="1" applyFont="1" applyBorder="1" applyAlignment="1">
      <alignment horizontal="center"/>
    </xf>
    <xf numFmtId="181" fontId="2" fillId="45" borderId="0" xfId="62" applyFont="1" applyFill="1" applyBorder="1" applyAlignment="1" applyProtection="1">
      <alignment horizontal="center" vertical="center"/>
      <protection/>
    </xf>
    <xf numFmtId="0" fontId="10" fillId="0" borderId="0" xfId="0" applyNumberFormat="1" applyFont="1" applyBorder="1" applyAlignment="1">
      <alignment horizontal="center"/>
    </xf>
    <xf numFmtId="0" fontId="11" fillId="34" borderId="14" xfId="0" applyNumberFormat="1" applyFont="1" applyFill="1" applyBorder="1" applyAlignment="1">
      <alignment horizontal="center"/>
    </xf>
    <xf numFmtId="181" fontId="12" fillId="0" borderId="14" xfId="0" applyNumberFormat="1" applyFont="1" applyBorder="1" applyAlignment="1">
      <alignment horizontal="justify" vertical="center" wrapText="1"/>
    </xf>
    <xf numFmtId="9" fontId="13" fillId="0" borderId="14" xfId="73"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0" fontId="13" fillId="0" borderId="14" xfId="0" applyFont="1" applyBorder="1" applyAlignment="1">
      <alignment horizontal="justify" vertical="center" wrapText="1"/>
    </xf>
    <xf numFmtId="0" fontId="9" fillId="0" borderId="14" xfId="0" applyNumberFormat="1" applyFont="1" applyBorder="1" applyAlignment="1">
      <alignment horizontal="left" vertical="center" wrapText="1"/>
    </xf>
    <xf numFmtId="181" fontId="12"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0" fillId="0" borderId="120" xfId="0" applyBorder="1" applyAlignment="1">
      <alignment horizontal="center"/>
    </xf>
    <xf numFmtId="0" fontId="0" fillId="0" borderId="120"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1" fillId="35" borderId="14" xfId="0" applyNumberFormat="1" applyFont="1" applyFill="1" applyBorder="1" applyAlignment="1">
      <alignment horizontal="center"/>
    </xf>
    <xf numFmtId="0" fontId="9" fillId="0" borderId="14" xfId="0"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63" xfId="0" applyFont="1" applyBorder="1" applyAlignment="1">
      <alignment horizontal="justify" wrapText="1"/>
    </xf>
    <xf numFmtId="0" fontId="13" fillId="0" borderId="86" xfId="0" applyFont="1" applyBorder="1" applyAlignment="1">
      <alignment horizontal="justify" vertical="center" wrapText="1"/>
    </xf>
    <xf numFmtId="0" fontId="17" fillId="0" borderId="86"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13"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3" fillId="33" borderId="14" xfId="0" applyFont="1" applyFill="1" applyBorder="1" applyAlignment="1">
      <alignment vertical="center" wrapText="1"/>
    </xf>
    <xf numFmtId="0" fontId="13" fillId="36" borderId="14" xfId="0" applyFont="1" applyFill="1" applyBorder="1" applyAlignment="1" applyProtection="1">
      <alignment vertical="center" wrapText="1"/>
      <protection locked="0"/>
    </xf>
    <xf numFmtId="0" fontId="21"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12" fillId="0" borderId="14" xfId="0" applyFont="1" applyBorder="1" applyAlignment="1" applyProtection="1">
      <alignment vertical="center" wrapText="1"/>
      <protection locked="0"/>
    </xf>
    <xf numFmtId="181" fontId="23" fillId="45" borderId="0" xfId="54" applyFont="1" applyFill="1" applyBorder="1" applyAlignment="1" applyProtection="1">
      <alignment horizontal="center" vertical="center"/>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49" fontId="0" fillId="0" borderId="38" xfId="0" applyNumberFormat="1" applyFont="1" applyBorder="1" applyAlignment="1" applyProtection="1">
      <alignment horizontal="center" wrapText="1"/>
      <protection locked="0"/>
    </xf>
    <xf numFmtId="49" fontId="0" fillId="0" borderId="14" xfId="0" applyNumberFormat="1" applyFont="1" applyBorder="1" applyAlignment="1" applyProtection="1">
      <alignment horizontal="center"/>
      <protection locked="0"/>
    </xf>
    <xf numFmtId="182" fontId="0" fillId="0" borderId="38" xfId="0" applyNumberFormat="1" applyBorder="1" applyAlignment="1" applyProtection="1">
      <alignment horizontal="center"/>
      <protection locked="0"/>
    </xf>
    <xf numFmtId="183" fontId="0" fillId="0" borderId="14" xfId="88" applyNumberFormat="1" applyFont="1" applyFill="1" applyBorder="1" applyAlignment="1" applyProtection="1">
      <alignment horizontal="center"/>
      <protection locked="0"/>
    </xf>
    <xf numFmtId="181" fontId="25" fillId="0" borderId="121" xfId="0" applyNumberFormat="1" applyFont="1" applyBorder="1" applyAlignment="1" applyProtection="1">
      <alignment horizontal="right"/>
      <protection/>
    </xf>
    <xf numFmtId="181" fontId="26" fillId="46" borderId="14" xfId="88"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49" fontId="0" fillId="0" borderId="38" xfId="0" applyNumberFormat="1" applyFont="1" applyBorder="1" applyAlignment="1" applyProtection="1">
      <alignment horizontal="center"/>
      <protection locked="0"/>
    </xf>
    <xf numFmtId="181" fontId="27" fillId="0" borderId="121" xfId="0" applyNumberFormat="1" applyFont="1" applyBorder="1" applyAlignment="1" applyProtection="1">
      <alignment horizontal="right"/>
      <protection/>
    </xf>
    <xf numFmtId="181" fontId="25" fillId="0" borderId="51" xfId="0" applyNumberFormat="1" applyFont="1" applyBorder="1" applyAlignment="1" applyProtection="1">
      <alignment horizontal="right"/>
      <protection/>
    </xf>
    <xf numFmtId="49" fontId="19" fillId="0" borderId="14" xfId="0" applyNumberFormat="1" applyFont="1" applyBorder="1" applyAlignment="1" applyProtection="1">
      <alignment horizontal="center"/>
      <protection locked="0"/>
    </xf>
    <xf numFmtId="0" fontId="0" fillId="33" borderId="14" xfId="0" applyFill="1" applyBorder="1" applyAlignment="1" applyProtection="1">
      <alignment horizontal="center"/>
      <protection/>
    </xf>
    <xf numFmtId="181" fontId="7" fillId="0" borderId="122" xfId="0" applyNumberFormat="1" applyFont="1" applyBorder="1" applyAlignment="1" applyProtection="1">
      <alignment horizontal="right"/>
      <protection/>
    </xf>
    <xf numFmtId="181" fontId="19" fillId="0" borderId="123" xfId="0" applyNumberFormat="1" applyFont="1" applyBorder="1" applyAlignment="1" applyProtection="1">
      <alignment horizontal="center"/>
      <protection/>
    </xf>
    <xf numFmtId="0" fontId="0" fillId="47" borderId="124" xfId="0" applyFill="1" applyBorder="1" applyAlignment="1" applyProtection="1">
      <alignment horizontal="center"/>
      <protection/>
    </xf>
    <xf numFmtId="181" fontId="34" fillId="0" borderId="125" xfId="0" applyNumberFormat="1" applyFont="1" applyBorder="1" applyAlignment="1" applyProtection="1">
      <alignment horizontal="center" wrapText="1"/>
      <protection/>
    </xf>
    <xf numFmtId="0" fontId="0" fillId="0" borderId="126" xfId="0" applyBorder="1" applyAlignment="1" applyProtection="1">
      <alignment horizontal="center"/>
      <protection/>
    </xf>
    <xf numFmtId="181" fontId="0" fillId="0" borderId="57" xfId="0" applyNumberFormat="1" applyFont="1" applyBorder="1" applyAlignment="1" applyProtection="1">
      <alignment horizontal="left"/>
      <protection/>
    </xf>
    <xf numFmtId="181" fontId="0" fillId="0" borderId="59" xfId="0" applyNumberFormat="1" applyFont="1" applyBorder="1" applyAlignment="1" applyProtection="1">
      <alignment horizontal="left"/>
      <protection/>
    </xf>
    <xf numFmtId="181" fontId="0" fillId="0" borderId="93" xfId="0" applyNumberFormat="1" applyFont="1" applyFill="1" applyBorder="1" applyAlignment="1" applyProtection="1">
      <alignment horizontal="left" vertical="center"/>
      <protection locked="0"/>
    </xf>
    <xf numFmtId="181" fontId="51" fillId="0" borderId="78" xfId="0" applyNumberFormat="1" applyFont="1" applyFill="1" applyBorder="1" applyAlignment="1" applyProtection="1">
      <alignment horizontal="center" vertical="center"/>
      <protection/>
    </xf>
    <xf numFmtId="184" fontId="0" fillId="37" borderId="87" xfId="0" applyNumberFormat="1" applyFont="1" applyFill="1" applyBorder="1" applyAlignment="1" applyProtection="1">
      <alignment horizontal="center" vertical="center" textRotation="90"/>
      <protection/>
    </xf>
    <xf numFmtId="49" fontId="1" fillId="39" borderId="127" xfId="0" applyNumberFormat="1" applyFont="1" applyFill="1" applyBorder="1" applyAlignment="1" applyProtection="1">
      <alignment horizontal="left" vertical="center" wrapText="1"/>
      <protection/>
    </xf>
    <xf numFmtId="0" fontId="1" fillId="33" borderId="127" xfId="0" applyNumberFormat="1" applyFont="1" applyFill="1" applyBorder="1" applyAlignment="1" applyProtection="1">
      <alignment horizontal="center" vertical="center" wrapText="1"/>
      <protection/>
    </xf>
    <xf numFmtId="0" fontId="1" fillId="33" borderId="127" xfId="0" applyNumberFormat="1" applyFont="1" applyFill="1" applyBorder="1" applyAlignment="1" applyProtection="1">
      <alignment horizontal="left" vertical="center" wrapText="1"/>
      <protection/>
    </xf>
    <xf numFmtId="49" fontId="1" fillId="33" borderId="128" xfId="0" applyNumberFormat="1" applyFont="1" applyFill="1" applyBorder="1" applyAlignment="1" applyProtection="1">
      <alignment horizontal="center" vertical="center" wrapText="1"/>
      <protection/>
    </xf>
    <xf numFmtId="49" fontId="1" fillId="33" borderId="127" xfId="0" applyNumberFormat="1" applyFont="1" applyFill="1" applyBorder="1" applyAlignment="1" applyProtection="1">
      <alignment horizontal="left" vertical="center" wrapText="1"/>
      <protection/>
    </xf>
    <xf numFmtId="0" fontId="1" fillId="0" borderId="129" xfId="0" applyFont="1" applyFill="1" applyBorder="1" applyAlignment="1" applyProtection="1">
      <alignment horizontal="left" vertical="center" wrapText="1"/>
      <protection/>
    </xf>
    <xf numFmtId="0" fontId="1" fillId="0" borderId="127" xfId="0" applyFont="1" applyFill="1" applyBorder="1" applyAlignment="1" applyProtection="1">
      <alignment horizontal="center" vertical="center" wrapText="1"/>
      <protection/>
    </xf>
    <xf numFmtId="0" fontId="1" fillId="0" borderId="128" xfId="0" applyFont="1" applyFill="1" applyBorder="1" applyAlignment="1" applyProtection="1">
      <alignment horizontal="center" vertical="center" wrapText="1"/>
      <protection/>
    </xf>
    <xf numFmtId="0" fontId="1" fillId="0" borderId="130" xfId="0" applyFont="1" applyFill="1" applyBorder="1" applyAlignment="1" applyProtection="1">
      <alignment horizontal="left" vertical="center" wrapText="1"/>
      <protection/>
    </xf>
    <xf numFmtId="0" fontId="1" fillId="38" borderId="129" xfId="0" applyFont="1" applyFill="1" applyBorder="1" applyAlignment="1" applyProtection="1">
      <alignment horizontal="left" vertical="center" wrapText="1"/>
      <protection/>
    </xf>
    <xf numFmtId="0" fontId="1" fillId="38" borderId="127" xfId="0" applyFont="1" applyFill="1" applyBorder="1" applyAlignment="1" applyProtection="1">
      <alignment horizontal="center" vertical="center" wrapText="1"/>
      <protection/>
    </xf>
    <xf numFmtId="0" fontId="1" fillId="38" borderId="128" xfId="0" applyFont="1" applyFill="1" applyBorder="1" applyAlignment="1" applyProtection="1">
      <alignment horizontal="center" vertical="center" wrapText="1"/>
      <protection/>
    </xf>
    <xf numFmtId="181" fontId="2" fillId="45" borderId="0" xfId="54" applyFont="1" applyFill="1" applyBorder="1" applyAlignment="1" applyProtection="1">
      <alignment horizontal="center" vertical="center"/>
      <protection/>
    </xf>
    <xf numFmtId="181" fontId="4" fillId="35" borderId="0" xfId="66" applyFont="1" applyFill="1" applyBorder="1" applyAlignment="1" applyProtection="1">
      <alignment horizontal="center" vertical="center" wrapText="1"/>
      <protection/>
    </xf>
    <xf numFmtId="181" fontId="55" fillId="0" borderId="0" xfId="66" applyFont="1" applyFill="1" applyBorder="1" applyAlignment="1" applyProtection="1">
      <alignment horizontal="right" vertical="center"/>
      <protection/>
    </xf>
    <xf numFmtId="181" fontId="20" fillId="35" borderId="0" xfId="66" applyFont="1" applyFill="1" applyBorder="1" applyAlignment="1" applyProtection="1">
      <alignment horizontal="center" vertical="center" wrapText="1"/>
      <protection/>
    </xf>
    <xf numFmtId="181" fontId="0" fillId="0" borderId="91" xfId="88" applyNumberFormat="1" applyFont="1" applyFill="1" applyBorder="1" applyAlignment="1" applyProtection="1">
      <alignment horizontal="right"/>
      <protection/>
    </xf>
    <xf numFmtId="203" fontId="20" fillId="35" borderId="91" xfId="88" applyNumberFormat="1" applyFont="1" applyFill="1" applyBorder="1" applyAlignment="1" applyProtection="1">
      <alignment horizontal="center" vertical="center"/>
      <protection/>
    </xf>
    <xf numFmtId="181" fontId="20" fillId="35" borderId="91" xfId="88" applyNumberFormat="1" applyFont="1" applyFill="1" applyBorder="1" applyAlignment="1" applyProtection="1">
      <alignment horizontal="center"/>
      <protection/>
    </xf>
    <xf numFmtId="183" fontId="20" fillId="35" borderId="91" xfId="88" applyNumberFormat="1" applyFont="1" applyFill="1" applyBorder="1" applyAlignment="1" applyProtection="1">
      <alignment horizontal="center"/>
      <protection/>
    </xf>
    <xf numFmtId="181" fontId="58" fillId="44" borderId="91" xfId="88" applyNumberFormat="1" applyFont="1" applyFill="1" applyBorder="1" applyAlignment="1" applyProtection="1">
      <alignment horizontal="center"/>
      <protection/>
    </xf>
    <xf numFmtId="181" fontId="22" fillId="0" borderId="0" xfId="0" applyNumberFormat="1" applyFont="1" applyBorder="1" applyAlignment="1" applyProtection="1">
      <alignment horizontal="left"/>
      <protection/>
    </xf>
    <xf numFmtId="181" fontId="19" fillId="0" borderId="0" xfId="0" applyNumberFormat="1" applyFont="1" applyBorder="1" applyAlignment="1" applyProtection="1">
      <alignment horizontal="center"/>
      <protection/>
    </xf>
    <xf numFmtId="181" fontId="22" fillId="0" borderId="0" xfId="0" applyNumberFormat="1" applyFont="1" applyBorder="1" applyAlignment="1" applyProtection="1">
      <alignment horizontal="right"/>
      <protection/>
    </xf>
    <xf numFmtId="181" fontId="26" fillId="44" borderId="0" xfId="88" applyNumberFormat="1" applyFont="1" applyFill="1" applyBorder="1" applyAlignment="1" applyProtection="1">
      <alignment horizontal="center"/>
      <protection/>
    </xf>
    <xf numFmtId="181" fontId="19" fillId="0" borderId="0" xfId="0" applyNumberFormat="1" applyFont="1" applyBorder="1" applyAlignment="1" applyProtection="1">
      <alignment horizontal="center" wrapText="1"/>
      <protection/>
    </xf>
    <xf numFmtId="0" fontId="61" fillId="0" borderId="0" xfId="0" applyFont="1" applyBorder="1" applyAlignment="1" applyProtection="1">
      <alignment horizontal="center"/>
      <protection/>
    </xf>
    <xf numFmtId="0" fontId="64" fillId="33" borderId="38"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center" vertical="center" wrapText="1"/>
      <protection locked="0"/>
    </xf>
    <xf numFmtId="0" fontId="64" fillId="33" borderId="0" xfId="0" applyFont="1" applyFill="1" applyBorder="1" applyAlignment="1" applyProtection="1">
      <alignment horizontal="left" vertical="center" wrapText="1"/>
      <protection locked="0"/>
    </xf>
    <xf numFmtId="0" fontId="67" fillId="0" borderId="131" xfId="0" applyFont="1" applyFill="1" applyBorder="1" applyAlignment="1" applyProtection="1">
      <alignment horizontal="left" wrapText="1"/>
      <protection/>
    </xf>
    <xf numFmtId="0" fontId="67" fillId="0" borderId="132" xfId="0" applyFont="1" applyFill="1" applyBorder="1" applyAlignment="1" applyProtection="1">
      <alignment horizontal="left" wrapText="1"/>
      <protection/>
    </xf>
    <xf numFmtId="181" fontId="66" fillId="0" borderId="124" xfId="0" applyNumberFormat="1" applyFont="1" applyBorder="1" applyAlignment="1" applyProtection="1">
      <alignment horizontal="center" vertical="center" wrapText="1"/>
      <protection/>
    </xf>
    <xf numFmtId="0" fontId="0" fillId="0" borderId="133" xfId="0" applyBorder="1" applyAlignment="1" applyProtection="1">
      <alignment horizontal="center"/>
      <protection/>
    </xf>
    <xf numFmtId="181" fontId="23" fillId="45" borderId="0" xfId="64" applyFont="1" applyFill="1" applyBorder="1" applyAlignment="1">
      <alignment horizontal="center" vertical="center"/>
      <protection/>
    </xf>
    <xf numFmtId="181" fontId="22" fillId="0" borderId="0" xfId="0" applyNumberFormat="1" applyFont="1" applyBorder="1" applyAlignment="1">
      <alignment horizontal="left"/>
    </xf>
    <xf numFmtId="181" fontId="19" fillId="0" borderId="0" xfId="0" applyNumberFormat="1" applyFont="1" applyBorder="1" applyAlignment="1">
      <alignment horizontal="center"/>
    </xf>
    <xf numFmtId="181" fontId="22" fillId="0" borderId="0" xfId="0" applyNumberFormat="1" applyFont="1" applyBorder="1" applyAlignment="1">
      <alignment horizontal="right"/>
    </xf>
    <xf numFmtId="0" fontId="61" fillId="0" borderId="0" xfId="0" applyFont="1" applyBorder="1" applyAlignment="1">
      <alignment horizontal="center"/>
    </xf>
    <xf numFmtId="0" fontId="46" fillId="33" borderId="38" xfId="0" applyFont="1" applyFill="1" applyBorder="1" applyAlignment="1" applyProtection="1">
      <alignment horizontal="left" wrapText="1"/>
      <protection locked="0"/>
    </xf>
    <xf numFmtId="0" fontId="46" fillId="33" borderId="14" xfId="0" applyFont="1" applyFill="1" applyBorder="1" applyAlignment="1" applyProtection="1">
      <alignment horizontal="left" wrapText="1"/>
      <protection locked="0"/>
    </xf>
    <xf numFmtId="0" fontId="19" fillId="0" borderId="0" xfId="0" applyFont="1" applyBorder="1" applyAlignment="1">
      <alignment horizontal="center"/>
    </xf>
    <xf numFmtId="0" fontId="46" fillId="0" borderId="132" xfId="0" applyFont="1" applyFill="1" applyBorder="1" applyAlignment="1" applyProtection="1">
      <alignment horizontal="center" vertical="center"/>
      <protection/>
    </xf>
    <xf numFmtId="0" fontId="70" fillId="0" borderId="0" xfId="0" applyFont="1" applyBorder="1" applyAlignment="1">
      <alignment horizontal="left" wrapText="1"/>
    </xf>
    <xf numFmtId="0" fontId="68" fillId="33" borderId="14" xfId="0" applyFont="1" applyFill="1" applyBorder="1" applyAlignment="1" applyProtection="1">
      <alignment horizontal="left" vertical="center" wrapText="1"/>
      <protection locked="0"/>
    </xf>
    <xf numFmtId="0" fontId="46" fillId="33" borderId="14" xfId="0" applyFont="1" applyFill="1" applyBorder="1" applyAlignment="1" applyProtection="1">
      <alignment horizontal="left" vertical="center" wrapText="1"/>
      <protection locked="0"/>
    </xf>
    <xf numFmtId="181" fontId="23" fillId="45" borderId="0" xfId="64" applyFont="1" applyFill="1" applyBorder="1" applyAlignment="1" applyProtection="1">
      <alignment horizontal="center" vertical="center"/>
      <protection/>
    </xf>
    <xf numFmtId="181" fontId="26" fillId="44" borderId="0" xfId="89" applyNumberFormat="1" applyFont="1" applyFill="1" applyBorder="1" applyAlignment="1" applyProtection="1">
      <alignment horizontal="center"/>
      <protection/>
    </xf>
    <xf numFmtId="181" fontId="61" fillId="0" borderId="0" xfId="0" applyNumberFormat="1" applyFont="1" applyBorder="1" applyAlignment="1" applyProtection="1">
      <alignment horizontal="center"/>
      <protection/>
    </xf>
    <xf numFmtId="0" fontId="46" fillId="0" borderId="120" xfId="0" applyFont="1" applyBorder="1" applyAlignment="1" applyProtection="1">
      <alignment horizontal="left" vertical="center" wrapText="1"/>
      <protection/>
    </xf>
    <xf numFmtId="0" fontId="4" fillId="0" borderId="83" xfId="0" applyFont="1" applyBorder="1" applyAlignment="1" applyProtection="1">
      <alignment horizontal="center"/>
      <protection/>
    </xf>
    <xf numFmtId="0" fontId="46" fillId="0" borderId="14" xfId="0" applyFont="1" applyBorder="1" applyAlignment="1" applyProtection="1">
      <alignment horizontal="center" vertical="center" wrapText="1"/>
      <protection/>
    </xf>
    <xf numFmtId="9" fontId="62" fillId="47" borderId="14" xfId="73" applyFont="1" applyFill="1" applyBorder="1" applyAlignment="1" applyProtection="1">
      <alignment horizontal="center" vertical="center" wrapText="1"/>
      <protection/>
    </xf>
    <xf numFmtId="9" fontId="62" fillId="48" borderId="14" xfId="73" applyFont="1" applyFill="1" applyBorder="1" applyAlignment="1" applyProtection="1">
      <alignment horizontal="center" vertical="center" wrapText="1"/>
      <protection/>
    </xf>
    <xf numFmtId="0" fontId="46" fillId="0" borderId="73" xfId="0" applyFont="1" applyBorder="1" applyAlignment="1" applyProtection="1">
      <alignment horizontal="center" vertical="center"/>
      <protection/>
    </xf>
    <xf numFmtId="0" fontId="38" fillId="0" borderId="14" xfId="0" applyFont="1" applyBorder="1" applyAlignment="1" applyProtection="1">
      <alignment vertical="center" wrapText="1"/>
      <protection/>
    </xf>
    <xf numFmtId="9" fontId="22" fillId="0" borderId="11" xfId="73" applyFont="1" applyFill="1" applyBorder="1" applyAlignment="1" applyProtection="1">
      <alignment horizontal="center" vertical="center" wrapText="1"/>
      <protection/>
    </xf>
    <xf numFmtId="9" fontId="0" fillId="33" borderId="73" xfId="73" applyFont="1" applyFill="1" applyBorder="1" applyAlignment="1" applyProtection="1">
      <alignment horizontal="left" vertical="top" wrapText="1"/>
      <protection locked="0"/>
    </xf>
    <xf numFmtId="0" fontId="0" fillId="0" borderId="14" xfId="0" applyFont="1" applyBorder="1" applyAlignment="1" applyProtection="1">
      <alignment vertical="center" wrapText="1"/>
      <protection/>
    </xf>
    <xf numFmtId="9" fontId="38" fillId="33" borderId="73" xfId="73" applyFont="1" applyFill="1" applyBorder="1" applyAlignment="1" applyProtection="1">
      <alignment horizontal="left" vertical="center" wrapText="1"/>
      <protection locked="0"/>
    </xf>
    <xf numFmtId="49" fontId="38" fillId="0" borderId="14" xfId="0" applyNumberFormat="1" applyFont="1" applyBorder="1" applyAlignment="1" applyProtection="1">
      <alignment vertical="center" wrapText="1"/>
      <protection/>
    </xf>
    <xf numFmtId="9" fontId="0" fillId="33" borderId="73" xfId="73" applyFont="1" applyFill="1" applyBorder="1" applyAlignment="1" applyProtection="1">
      <alignment horizontal="left" vertical="center" wrapText="1"/>
      <protection locked="0"/>
    </xf>
    <xf numFmtId="181" fontId="4" fillId="0" borderId="0" xfId="0" applyNumberFormat="1" applyFont="1" applyBorder="1" applyAlignment="1" applyProtection="1">
      <alignment horizontal="center"/>
      <protection/>
    </xf>
    <xf numFmtId="187" fontId="61" fillId="0" borderId="0" xfId="0" applyNumberFormat="1" applyFont="1" applyBorder="1" applyAlignment="1" applyProtection="1">
      <alignment horizontal="center"/>
      <protection/>
    </xf>
    <xf numFmtId="187" fontId="75" fillId="37" borderId="118" xfId="0" applyNumberFormat="1" applyFont="1" applyFill="1" applyBorder="1" applyAlignment="1" applyProtection="1">
      <alignment horizontal="center" vertical="center"/>
      <protection/>
    </xf>
    <xf numFmtId="187" fontId="77" fillId="0" borderId="0" xfId="0" applyNumberFormat="1" applyFont="1" applyFill="1" applyBorder="1" applyAlignment="1" applyProtection="1">
      <alignment horizontal="center"/>
      <protection/>
    </xf>
    <xf numFmtId="187" fontId="78" fillId="34" borderId="17" xfId="0" applyNumberFormat="1" applyFont="1" applyFill="1" applyBorder="1" applyAlignment="1" applyProtection="1">
      <alignment horizontal="center" vertical="center"/>
      <protection/>
    </xf>
    <xf numFmtId="0" fontId="8" fillId="0" borderId="134" xfId="0" applyNumberFormat="1" applyFont="1" applyFill="1" applyBorder="1" applyAlignment="1" applyProtection="1">
      <alignment horizontal="left" vertical="top" wrapText="1"/>
      <protection/>
    </xf>
    <xf numFmtId="49" fontId="1" fillId="34" borderId="135" xfId="0" applyNumberFormat="1" applyFont="1" applyFill="1" applyBorder="1" applyAlignment="1" applyProtection="1">
      <alignment horizontal="center" vertical="center"/>
      <protection locked="0"/>
    </xf>
    <xf numFmtId="49" fontId="1" fillId="34" borderId="136" xfId="0" applyNumberFormat="1" applyFont="1" applyFill="1" applyBorder="1" applyAlignment="1" applyProtection="1">
      <alignment horizontal="center" vertical="center" wrapText="1"/>
      <protection locked="0"/>
    </xf>
    <xf numFmtId="49" fontId="1" fillId="34" borderId="136" xfId="0" applyNumberFormat="1" applyFont="1" applyFill="1" applyBorder="1" applyAlignment="1" applyProtection="1">
      <alignment horizontal="center" vertical="center"/>
      <protection locked="0"/>
    </xf>
    <xf numFmtId="0" fontId="8" fillId="0" borderId="137" xfId="0" applyNumberFormat="1" applyFont="1" applyFill="1" applyBorder="1" applyAlignment="1" applyProtection="1">
      <alignment horizontal="left" vertical="top" wrapText="1"/>
      <protection/>
    </xf>
    <xf numFmtId="49" fontId="1" fillId="34" borderId="138" xfId="0" applyNumberFormat="1" applyFont="1" applyFill="1" applyBorder="1" applyAlignment="1" applyProtection="1">
      <alignment horizontal="center" vertical="center"/>
      <protection locked="0"/>
    </xf>
    <xf numFmtId="187" fontId="77" fillId="0" borderId="139" xfId="0" applyNumberFormat="1" applyFont="1" applyFill="1" applyBorder="1" applyAlignment="1" applyProtection="1">
      <alignment horizontal="center"/>
      <protection/>
    </xf>
    <xf numFmtId="187" fontId="89" fillId="35" borderId="140" xfId="0" applyNumberFormat="1" applyFont="1" applyFill="1" applyBorder="1" applyAlignment="1" applyProtection="1">
      <alignment horizontal="center" vertical="center"/>
      <protection/>
    </xf>
    <xf numFmtId="187" fontId="89" fillId="35" borderId="141" xfId="0" applyNumberFormat="1" applyFont="1" applyFill="1" applyBorder="1" applyAlignment="1" applyProtection="1">
      <alignment horizontal="center" vertical="center"/>
      <protection/>
    </xf>
    <xf numFmtId="0" fontId="8" fillId="0" borderId="142" xfId="0" applyNumberFormat="1" applyFont="1" applyFill="1" applyBorder="1" applyAlignment="1" applyProtection="1">
      <alignment horizontal="left" vertical="top" wrapText="1"/>
      <protection/>
    </xf>
    <xf numFmtId="0" fontId="1" fillId="35" borderId="143" xfId="0" applyFont="1" applyFill="1" applyBorder="1" applyAlignment="1" applyProtection="1">
      <alignment horizontal="center" vertical="top" wrapText="1"/>
      <protection locked="0"/>
    </xf>
    <xf numFmtId="0" fontId="8" fillId="0" borderId="144" xfId="0" applyNumberFormat="1" applyFont="1" applyFill="1" applyBorder="1" applyAlignment="1" applyProtection="1">
      <alignment horizontal="left" vertical="top" wrapText="1"/>
      <protection/>
    </xf>
    <xf numFmtId="0" fontId="1" fillId="35" borderId="145" xfId="0" applyFont="1" applyFill="1" applyBorder="1" applyAlignment="1" applyProtection="1">
      <alignment horizontal="center" vertical="top" wrapText="1"/>
      <protection locked="0"/>
    </xf>
    <xf numFmtId="0" fontId="8" fillId="0" borderId="146" xfId="0" applyNumberFormat="1" applyFont="1" applyFill="1" applyBorder="1" applyAlignment="1" applyProtection="1">
      <alignment horizontal="left" vertical="top" wrapText="1"/>
      <protection/>
    </xf>
    <xf numFmtId="0" fontId="1" fillId="35" borderId="147" xfId="0" applyFont="1" applyFill="1" applyBorder="1" applyAlignment="1" applyProtection="1">
      <alignment horizontal="center" vertical="top" wrapText="1"/>
      <protection locked="0"/>
    </xf>
    <xf numFmtId="187" fontId="77" fillId="0" borderId="148" xfId="0" applyNumberFormat="1" applyFont="1" applyFill="1" applyBorder="1" applyAlignment="1" applyProtection="1">
      <alignment horizontal="center"/>
      <protection/>
    </xf>
    <xf numFmtId="187" fontId="78" fillId="33" borderId="129" xfId="0" applyNumberFormat="1" applyFont="1" applyFill="1" applyBorder="1" applyAlignment="1" applyProtection="1">
      <alignment horizontal="center" vertical="center"/>
      <protection/>
    </xf>
    <xf numFmtId="0" fontId="8" fillId="0" borderId="149" xfId="0" applyNumberFormat="1" applyFont="1" applyFill="1" applyBorder="1" applyAlignment="1" applyProtection="1">
      <alignment horizontal="left" vertical="center" wrapText="1"/>
      <protection/>
    </xf>
    <xf numFmtId="0" fontId="1" fillId="33" borderId="150" xfId="0" applyFont="1" applyFill="1" applyBorder="1" applyAlignment="1" applyProtection="1">
      <alignment horizontal="center" vertical="top" wrapText="1"/>
      <protection locked="0"/>
    </xf>
    <xf numFmtId="0" fontId="1" fillId="0" borderId="151" xfId="73" applyNumberFormat="1" applyFont="1" applyFill="1" applyBorder="1" applyAlignment="1" applyProtection="1">
      <alignment horizontal="left" vertical="center" wrapText="1"/>
      <protection/>
    </xf>
    <xf numFmtId="0" fontId="1" fillId="33" borderId="152" xfId="0" applyFont="1" applyFill="1" applyBorder="1" applyAlignment="1" applyProtection="1">
      <alignment horizontal="center" vertical="top" wrapText="1"/>
      <protection locked="0"/>
    </xf>
    <xf numFmtId="9" fontId="1" fillId="0" borderId="151" xfId="73" applyNumberFormat="1" applyFont="1" applyFill="1" applyBorder="1" applyAlignment="1" applyProtection="1">
      <alignment horizontal="left" vertical="center" wrapText="1"/>
      <protection/>
    </xf>
    <xf numFmtId="0" fontId="1" fillId="33" borderId="153" xfId="0" applyFont="1" applyFill="1" applyBorder="1" applyAlignment="1" applyProtection="1">
      <alignment horizontal="center" vertical="top" wrapText="1"/>
      <protection locked="0"/>
    </xf>
    <xf numFmtId="181" fontId="26" fillId="44" borderId="0" xfId="90" applyNumberFormat="1" applyFont="1" applyFill="1" applyBorder="1" applyAlignment="1" applyProtection="1">
      <alignment horizontal="center"/>
      <protection locked="0"/>
    </xf>
    <xf numFmtId="0" fontId="0" fillId="33" borderId="14" xfId="0" applyFill="1" applyBorder="1" applyAlignment="1" applyProtection="1">
      <alignment horizontal="center"/>
      <protection locked="0"/>
    </xf>
    <xf numFmtId="0" fontId="96" fillId="43" borderId="154" xfId="71" applyNumberFormat="1" applyFont="1" applyFill="1" applyBorder="1" applyAlignment="1">
      <alignment horizontal="center" vertical="center" wrapText="1"/>
      <protection/>
    </xf>
    <xf numFmtId="0" fontId="96" fillId="43" borderId="155" xfId="71" applyNumberFormat="1" applyFont="1" applyFill="1" applyBorder="1" applyAlignment="1">
      <alignment horizontal="center" vertical="center" wrapText="1"/>
      <protection/>
    </xf>
    <xf numFmtId="0" fontId="96" fillId="43" borderId="156" xfId="71" applyNumberFormat="1" applyFont="1" applyFill="1" applyBorder="1" applyAlignment="1">
      <alignment horizontal="center" vertical="center" wrapText="1"/>
      <protection/>
    </xf>
    <xf numFmtId="0" fontId="97" fillId="43" borderId="14" xfId="0" applyNumberFormat="1" applyFont="1" applyFill="1" applyBorder="1" applyAlignment="1">
      <alignment horizontal="center" vertical="center" textRotation="90"/>
    </xf>
    <xf numFmtId="0" fontId="33" fillId="0" borderId="157" xfId="0" applyFont="1" applyBorder="1" applyAlignment="1" applyProtection="1">
      <alignment horizontal="left" wrapText="1"/>
      <protection/>
    </xf>
    <xf numFmtId="0" fontId="34" fillId="0" borderId="158" xfId="0" applyFont="1" applyFill="1" applyBorder="1" applyAlignment="1" applyProtection="1">
      <alignment horizontal="left" wrapText="1"/>
      <protection locked="0"/>
    </xf>
    <xf numFmtId="0" fontId="34" fillId="0" borderId="159" xfId="0" applyFont="1" applyFill="1" applyBorder="1" applyAlignment="1" applyProtection="1">
      <alignment horizontal="left" wrapText="1"/>
      <protection locked="0"/>
    </xf>
    <xf numFmtId="0" fontId="34" fillId="0" borderId="160" xfId="0" applyFont="1" applyFill="1" applyBorder="1" applyAlignment="1" applyProtection="1">
      <alignment horizontal="left" vertical="center" wrapText="1"/>
      <protection locked="0"/>
    </xf>
    <xf numFmtId="0" fontId="34" fillId="0" borderId="161" xfId="0" applyFont="1" applyFill="1" applyBorder="1" applyAlignment="1" applyProtection="1">
      <alignment horizontal="left" vertical="top" wrapText="1"/>
      <protection locked="0"/>
    </xf>
    <xf numFmtId="0" fontId="34" fillId="0" borderId="162" xfId="0" applyFont="1" applyFill="1" applyBorder="1" applyAlignment="1" applyProtection="1">
      <alignment horizontal="left"/>
      <protection locked="0"/>
    </xf>
    <xf numFmtId="0" fontId="34" fillId="0" borderId="161" xfId="0" applyFont="1" applyFill="1" applyBorder="1" applyAlignment="1" applyProtection="1">
      <alignment horizontal="left"/>
      <protection locked="0"/>
    </xf>
    <xf numFmtId="0" fontId="34" fillId="0" borderId="163" xfId="0" applyFont="1" applyFill="1" applyBorder="1" applyAlignment="1" applyProtection="1">
      <alignment horizontal="left" wrapText="1"/>
      <protection locked="0"/>
    </xf>
    <xf numFmtId="0" fontId="34" fillId="0" borderId="161" xfId="0" applyFont="1" applyFill="1" applyBorder="1" applyAlignment="1" applyProtection="1">
      <alignment horizontal="left" wrapText="1"/>
      <protection locked="0"/>
    </xf>
    <xf numFmtId="0" fontId="34" fillId="0" borderId="162" xfId="0" applyFont="1" applyFill="1" applyBorder="1" applyAlignment="1" applyProtection="1">
      <alignment horizontal="left" wrapText="1"/>
      <protection locked="0"/>
    </xf>
    <xf numFmtId="0" fontId="34" fillId="0" borderId="164" xfId="0" applyFont="1" applyFill="1" applyBorder="1" applyAlignment="1" applyProtection="1">
      <alignment horizontal="left"/>
      <protection locked="0"/>
    </xf>
    <xf numFmtId="0" fontId="34" fillId="0" borderId="165" xfId="0" applyFont="1" applyFill="1" applyBorder="1" applyAlignment="1" applyProtection="1">
      <alignment horizontal="left" vertical="center" wrapText="1"/>
      <protection locked="0"/>
    </xf>
    <xf numFmtId="0" fontId="34" fillId="0" borderId="166" xfId="0" applyFont="1" applyFill="1" applyBorder="1" applyAlignment="1" applyProtection="1">
      <alignment horizontal="left"/>
      <protection locked="0"/>
    </xf>
    <xf numFmtId="0" fontId="34" fillId="0" borderId="167" xfId="0" applyFont="1" applyFill="1" applyBorder="1" applyAlignment="1" applyProtection="1">
      <alignment horizontal="left"/>
      <protection locked="0"/>
    </xf>
    <xf numFmtId="0" fontId="34" fillId="0" borderId="168" xfId="0" applyFont="1" applyFill="1" applyBorder="1" applyAlignment="1" applyProtection="1">
      <alignment horizontal="left"/>
      <protection locked="0"/>
    </xf>
    <xf numFmtId="0" fontId="34" fillId="0" borderId="169" xfId="0" applyFont="1" applyFill="1" applyBorder="1" applyAlignment="1" applyProtection="1">
      <alignment horizontal="left" vertical="top" wrapText="1"/>
      <protection locked="0"/>
    </xf>
    <xf numFmtId="0" fontId="34" fillId="0" borderId="170" xfId="0" applyFont="1" applyBorder="1" applyAlignment="1" applyProtection="1">
      <alignment horizontal="left"/>
      <protection locked="0"/>
    </xf>
    <xf numFmtId="0" fontId="34" fillId="0" borderId="114" xfId="0" applyFont="1" applyBorder="1" applyAlignment="1" applyProtection="1">
      <alignment horizontal="left"/>
      <protection locked="0"/>
    </xf>
    <xf numFmtId="0" fontId="34" fillId="0" borderId="171" xfId="0" applyFont="1" applyBorder="1" applyAlignment="1" applyProtection="1">
      <alignment horizontal="left"/>
      <protection locked="0"/>
    </xf>
    <xf numFmtId="0" fontId="34" fillId="0" borderId="172" xfId="0" applyFont="1" applyFill="1" applyBorder="1" applyAlignment="1" applyProtection="1">
      <alignment horizontal="left"/>
      <protection locked="0"/>
    </xf>
    <xf numFmtId="0" fontId="34" fillId="0" borderId="161" xfId="0" applyFont="1" applyBorder="1" applyAlignment="1" applyProtection="1">
      <alignment horizontal="left"/>
      <protection locked="0"/>
    </xf>
    <xf numFmtId="0" fontId="34" fillId="0" borderId="162" xfId="0" applyFont="1" applyBorder="1" applyAlignment="1" applyProtection="1">
      <alignment horizontal="left"/>
      <protection locked="0"/>
    </xf>
    <xf numFmtId="0" fontId="34" fillId="0" borderId="164" xfId="0" applyFont="1" applyBorder="1" applyAlignment="1" applyProtection="1">
      <alignment horizontal="left"/>
      <protection locked="0"/>
    </xf>
    <xf numFmtId="0" fontId="34" fillId="0" borderId="173" xfId="0" applyFont="1" applyFill="1" applyBorder="1" applyAlignment="1" applyProtection="1">
      <alignment horizontal="left"/>
      <protection locked="0"/>
    </xf>
    <xf numFmtId="0" fontId="34" fillId="0" borderId="166" xfId="0" applyFont="1" applyBorder="1" applyAlignment="1" applyProtection="1">
      <alignment horizontal="left"/>
      <protection locked="0"/>
    </xf>
    <xf numFmtId="0" fontId="34" fillId="0" borderId="167" xfId="0" applyFont="1" applyBorder="1" applyAlignment="1" applyProtection="1">
      <alignment horizontal="left"/>
      <protection locked="0"/>
    </xf>
    <xf numFmtId="0" fontId="34" fillId="0" borderId="168" xfId="0" applyFont="1" applyBorder="1" applyAlignment="1" applyProtection="1">
      <alignment horizontal="left"/>
      <protection locked="0"/>
    </xf>
    <xf numFmtId="181" fontId="2" fillId="45" borderId="0" xfId="54" applyFont="1" applyFill="1" applyBorder="1" applyAlignment="1">
      <alignment horizontal="center" vertical="center"/>
      <protection/>
    </xf>
    <xf numFmtId="0" fontId="4" fillId="0" borderId="0" xfId="0" applyFont="1" applyBorder="1" applyAlignment="1">
      <alignment horizontal="center"/>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rmal 2 4" xfId="57"/>
    <cellStyle name="Normal 2 5" xfId="58"/>
    <cellStyle name="Normal 2 6" xfId="59"/>
    <cellStyle name="Normal 2 7" xfId="60"/>
    <cellStyle name="Normal 2 8" xfId="61"/>
    <cellStyle name="Normal 2_Dashboard ver 2.2 ES" xfId="62"/>
    <cellStyle name="Normal 2_Ficticia HIV Dashboard_ES - Set Up and Maintenance Guide" xfId="63"/>
    <cellStyle name="Normal 2_Prototipo" xfId="64"/>
    <cellStyle name="Normal 3" xfId="65"/>
    <cellStyle name="Normal 4" xfId="66"/>
    <cellStyle name="Normal 5" xfId="67"/>
    <cellStyle name="Normal 6" xfId="68"/>
    <cellStyle name="Normal 7" xfId="69"/>
    <cellStyle name="Normal 8" xfId="70"/>
    <cellStyle name="Normal_TZ_R3HIV_Phase_2_21_August_08" xfId="71"/>
    <cellStyle name="Notas" xfId="72"/>
    <cellStyle name="Percent" xfId="73"/>
    <cellStyle name="Porcentual 2" xfId="74"/>
    <cellStyle name="Porcentual 3" xfId="75"/>
    <cellStyle name="Porcentual 4" xfId="76"/>
    <cellStyle name="Porcentual 5" xfId="77"/>
    <cellStyle name="Porcentual 6" xfId="78"/>
    <cellStyle name="Porcentual 7" xfId="79"/>
    <cellStyle name="Porcentual 8" xfId="80"/>
    <cellStyle name="Salida" xfId="81"/>
    <cellStyle name="Texto de advertencia" xfId="82"/>
    <cellStyle name="Texto explicativo" xfId="83"/>
    <cellStyle name="Título" xfId="84"/>
    <cellStyle name="Título 2" xfId="85"/>
    <cellStyle name="Título 3" xfId="86"/>
    <cellStyle name="Título 3 2" xfId="87"/>
    <cellStyle name="Título 3 3" xfId="88"/>
    <cellStyle name="Título 3 3_Prototipo" xfId="89"/>
    <cellStyle name="Título 3 3_PrototipoRep1" xfId="90"/>
    <cellStyle name="Título 3 4" xfId="91"/>
    <cellStyle name="Título 3 5" xfId="92"/>
    <cellStyle name="Título 3 6" xfId="93"/>
    <cellStyle name="Título 3 7" xfId="94"/>
    <cellStyle name="Título 3 8" xfId="95"/>
    <cellStyle name="Total" xfId="96"/>
  </cellStyles>
  <dxfs count="50">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49"/>
          <bgColor indexed="11"/>
        </patternFill>
      </fill>
    </dxf>
    <dxf>
      <font>
        <b/>
        <i val="0"/>
        <sz val="11"/>
        <color indexed="8"/>
      </font>
      <fill>
        <patternFill patternType="solid">
          <fgColor indexed="51"/>
          <bgColor indexed="13"/>
        </patternFill>
      </fill>
    </dxf>
    <dxf>
      <font>
        <b/>
        <i val="0"/>
        <sz val="11"/>
        <color indexed="9"/>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19"/>
          <bgColor indexed="29"/>
        </patternFill>
      </fill>
    </dxf>
    <dxf>
      <font>
        <b val="0"/>
        <sz val="11"/>
        <color indexed="8"/>
      </font>
      <fill>
        <patternFill patternType="solid">
          <fgColor indexed="51"/>
          <bgColor indexed="13"/>
        </patternFill>
      </fill>
    </dxf>
    <dxf>
      <font>
        <b val="0"/>
        <sz val="11"/>
        <color indexed="8"/>
      </font>
      <fill>
        <patternFill patternType="solid">
          <fgColor indexed="4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26"/>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ED7D31"/>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D7D31"/>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88F"/>
      <rgbColor rgb="0000FFFF"/>
      <rgbColor rgb="00800080"/>
      <rgbColor rgb="00800000"/>
      <rgbColor rgb="00008080"/>
      <rgbColor rgb="000000FF"/>
      <rgbColor rgb="0000CCFF"/>
      <rgbColor rgb="00F2F2F2"/>
      <rgbColor rgb="00CCFFCC"/>
      <rgbColor rgb="00FFFF99"/>
      <rgbColor rgb="0099CCFF"/>
      <rgbColor rgb="00D9D9D9"/>
      <rgbColor rgb="00BFBFBF"/>
      <rgbColor rgb="00FFCC99"/>
      <rgbColor rgb="003366FF"/>
      <rgbColor rgb="0033CC33"/>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59"/>
          <c:w val="0.9275"/>
          <c:h val="0.7622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_(\$* #,##0.00_);_(\$* \(#,##0.00\);_(\$* &quot;-&quot;??_);_(@_)" sourceLinked="0"/>
              <c:showLegendKey val="0"/>
              <c:showVal val="1"/>
              <c:showBubbleSize val="0"/>
              <c:showCatName val="0"/>
              <c:showSerName val="0"/>
              <c:showPercent val="0"/>
            </c:dLbl>
            <c:numFmt formatCode="_(\$* #,##0.00_);_(\$* \(#,##0.00\);_(\$* &quot;-&quot;??_);_(@_)" sourceLinked="0"/>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datos'!$C$33:$N$33</c:f>
              <c:numCache>
                <c:ptCount val="12"/>
                <c:pt idx="0">
                  <c:v>4383064.10911</c:v>
                </c:pt>
                <c:pt idx="1">
                  <c:v>0</c:v>
                </c:pt>
                <c:pt idx="2">
                  <c:v>0</c:v>
                </c:pt>
                <c:pt idx="3">
                  <c:v>0</c:v>
                </c:pt>
                <c:pt idx="4">
                  <c:v>0</c:v>
                </c:pt>
                <c:pt idx="5">
                  <c:v>0</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_([$$-440A]* #,##0.00_);_([$$-440A]* \(#,##0.00\);_([$$-440A]* &quot;-&quot;??_);_(@_)" sourceLinked="0"/>
              <c:showLegendKey val="0"/>
              <c:showVal val="1"/>
              <c:showBubbleSize val="0"/>
              <c:showCatName val="0"/>
              <c:showSerName val="0"/>
              <c:showPercent val="0"/>
            </c:dLbl>
            <c:numFmt formatCode="_([$$-440A]* #,##0.00_);_([$$-440A]* \(#,##0.00\);_([$$-440A]* &quot;-&quot;??_);_(@_)" sourceLinked="0"/>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datos'!$C$34:$N$34</c:f>
              <c:numCache>
                <c:ptCount val="12"/>
                <c:pt idx="0">
                  <c:v>4383064.11</c:v>
                </c:pt>
                <c:pt idx="1">
                  <c:v>0</c:v>
                </c:pt>
                <c:pt idx="2">
                  <c:v>0</c:v>
                </c:pt>
                <c:pt idx="3">
                  <c:v>0</c:v>
                </c:pt>
                <c:pt idx="4">
                  <c:v>0</c:v>
                </c:pt>
                <c:pt idx="5">
                  <c:v>0</c:v>
                </c:pt>
                <c:pt idx="6">
                  <c:v>0</c:v>
                </c:pt>
                <c:pt idx="7">
                  <c:v>0</c:v>
                </c:pt>
                <c:pt idx="8">
                  <c:v>0</c:v>
                </c:pt>
                <c:pt idx="9">
                  <c:v>0</c:v>
                </c:pt>
                <c:pt idx="10">
                  <c:v>0</c:v>
                </c:pt>
                <c:pt idx="11">
                  <c:v>0</c:v>
                </c:pt>
              </c:numCache>
            </c:numRef>
          </c:val>
        </c:ser>
        <c:gapWidth val="70"/>
        <c:axId val="42047126"/>
        <c:axId val="13905167"/>
      </c:barChart>
      <c:catAx>
        <c:axId val="4204712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alibri"/>
                <a:ea typeface="Calibri"/>
                <a:cs typeface="Calibri"/>
              </a:defRPr>
            </a:pPr>
          </a:p>
        </c:txPr>
        <c:crossAx val="13905167"/>
        <c:crossesAt val="0"/>
        <c:auto val="1"/>
        <c:lblOffset val="100"/>
        <c:tickLblSkip val="1"/>
        <c:noMultiLvlLbl val="0"/>
      </c:catAx>
      <c:valAx>
        <c:axId val="139051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Calibri"/>
                <a:ea typeface="Calibri"/>
                <a:cs typeface="Calibri"/>
              </a:defRPr>
            </a:pPr>
          </a:p>
        </c:txPr>
        <c:crossAx val="42047126"/>
        <c:crossesAt val="1"/>
        <c:crossBetween val="between"/>
        <c:dispUnits/>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75"/>
          <c:y val="0.103"/>
          <c:w val="0.8425"/>
          <c:h val="0.79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0.9</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datos'!$H$136:$Q$136</c:f>
              <c:numCache>
                <c:ptCount val="10"/>
                <c:pt idx="0">
                  <c:v>0.94</c:v>
                </c:pt>
              </c:numCache>
            </c:numRef>
          </c:val>
        </c:ser>
        <c:axId val="33236876"/>
        <c:axId val="16723965"/>
      </c:barChart>
      <c:catAx>
        <c:axId val="332368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6723965"/>
        <c:crossesAt val="0"/>
        <c:auto val="1"/>
        <c:lblOffset val="100"/>
        <c:tickLblSkip val="1"/>
        <c:noMultiLvlLbl val="0"/>
      </c:catAx>
      <c:valAx>
        <c:axId val="1672396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33236876"/>
        <c:crossesAt val="1"/>
        <c:crossBetween val="between"/>
        <c:dispUnits/>
      </c:valAx>
      <c:spPr>
        <a:noFill/>
        <a:ln>
          <a:noFill/>
        </a:ln>
      </c:spPr>
    </c:plotArea>
    <c:legend>
      <c:legendPos val="r"/>
      <c:layout>
        <c:manualLayout>
          <c:xMode val="edge"/>
          <c:yMode val="edge"/>
          <c:x val="0.88975"/>
          <c:y val="0.3955"/>
          <c:w val="0.08825"/>
          <c:h val="0.169"/>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1005"/>
          <c:w val="0.9"/>
          <c:h val="0.822"/>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datos'!$H$137:$Q$137</c:f>
              <c:numCache>
                <c:ptCount val="10"/>
                <c:pt idx="0">
                  <c:v>0.7</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datos'!$H$138:$Q$138</c:f>
              <c:numCache>
                <c:ptCount val="10"/>
                <c:pt idx="0">
                  <c:v>0.233</c:v>
                </c:pt>
              </c:numCache>
            </c:numRef>
          </c:val>
        </c:ser>
        <c:axId val="13954914"/>
        <c:axId val="1412939"/>
      </c:barChart>
      <c:catAx>
        <c:axId val="1395491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412939"/>
        <c:crossesAt val="0"/>
        <c:auto val="1"/>
        <c:lblOffset val="100"/>
        <c:tickLblSkip val="1"/>
        <c:noMultiLvlLbl val="0"/>
      </c:catAx>
      <c:valAx>
        <c:axId val="141293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3954914"/>
        <c:crossesAt val="1"/>
        <c:crossBetween val="between"/>
        <c:dispUnits/>
      </c:valAx>
      <c:spPr>
        <a:noFill/>
        <a:ln>
          <a:noFill/>
        </a:ln>
      </c:spPr>
    </c:plotArea>
    <c:legend>
      <c:legendPos val="r"/>
      <c:layout>
        <c:manualLayout>
          <c:xMode val="edge"/>
          <c:yMode val="edge"/>
          <c:x val="0.215"/>
          <c:y val="0.84775"/>
          <c:w val="0.328"/>
          <c:h val="0.12175"/>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1185"/>
          <c:w val="0.91375"/>
          <c:h val="0.819"/>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2322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3030</c:v>
                </c:pt>
              </c:numCache>
            </c:numRef>
          </c:val>
        </c:ser>
        <c:axId val="7776904"/>
        <c:axId val="9522729"/>
      </c:barChart>
      <c:catAx>
        <c:axId val="77769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9522729"/>
        <c:crossesAt val="0"/>
        <c:auto val="1"/>
        <c:lblOffset val="100"/>
        <c:tickLblSkip val="1"/>
        <c:noMultiLvlLbl val="0"/>
      </c:catAx>
      <c:valAx>
        <c:axId val="95227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7776904"/>
        <c:crossesAt val="1"/>
        <c:crossBetween val="between"/>
        <c:dispUnits/>
      </c:valAx>
      <c:spPr>
        <a:noFill/>
        <a:ln>
          <a:noFill/>
        </a:ln>
      </c:spPr>
    </c:plotArea>
    <c:legend>
      <c:legendPos val="r"/>
      <c:layout>
        <c:manualLayout>
          <c:xMode val="edge"/>
          <c:yMode val="edge"/>
          <c:x val="0.88275"/>
          <c:y val="0.38375"/>
          <c:w val="0.0895"/>
          <c:h val="0.192"/>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
          <c:w val="0.8685"/>
          <c:h val="1"/>
        </c:manualLayout>
      </c:layout>
      <c:barChart>
        <c:barDir val="col"/>
        <c:grouping val="clustered"/>
        <c:varyColors val="0"/>
        <c:ser>
          <c:idx val="0"/>
          <c:order val="0"/>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datos'!$B$54:$B$57</c:f>
              <c:strCache>
                <c:ptCount val="4"/>
                <c:pt idx="0">
                  <c:v>Desembolsado por el FM al RP</c:v>
                </c:pt>
                <c:pt idx="1">
                  <c:v>Gasto* + Desembolso agentes*</c:v>
                </c:pt>
                <c:pt idx="2">
                  <c:v>Compromisos al 30 de junio MINSAL </c:v>
                </c:pt>
                <c:pt idx="3">
                  <c:v>Saldo en caja</c:v>
                </c:pt>
              </c:strCache>
            </c:strRef>
          </c:cat>
          <c:val>
            <c:numRef>
              <c:f>'Introducción de datos'!$D$54:$D$57</c:f>
              <c:numCache>
                <c:ptCount val="4"/>
                <c:pt idx="0">
                  <c:v>4383064.11</c:v>
                </c:pt>
                <c:pt idx="1">
                  <c:v>3642154.97</c:v>
                </c:pt>
                <c:pt idx="2">
                  <c:v>108584.79</c:v>
                </c:pt>
                <c:pt idx="3">
                  <c:v>632324.35</c:v>
                </c:pt>
              </c:numCache>
            </c:numRef>
          </c:val>
        </c:ser>
        <c:axId val="65885212"/>
        <c:axId val="2255309"/>
      </c:barChart>
      <c:catAx>
        <c:axId val="658852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2255309"/>
        <c:crossesAt val="0"/>
        <c:auto val="1"/>
        <c:lblOffset val="100"/>
        <c:tickLblSkip val="1"/>
        <c:noMultiLvlLbl val="0"/>
      </c:catAx>
      <c:valAx>
        <c:axId val="2255309"/>
        <c:scaling>
          <c:orientation val="minMax"/>
        </c:scaling>
        <c:axPos val="l"/>
        <c:majorGridlines>
          <c:spPr>
            <a:ln w="3175">
              <a:solidFill>
                <a:srgbClr val="808080"/>
              </a:solidFill>
            </a:ln>
          </c:spPr>
        </c:majorGridlines>
        <c:delete val="0"/>
        <c:numFmt formatCode="[$$-340A]\ #,##0.0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65885212"/>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975"/>
          <c:w val="0.83225"/>
          <c:h val="0.865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datos'!$C$39:$C$44</c:f>
              <c:numCache>
                <c:ptCount val="6"/>
                <c:pt idx="0">
                  <c:v>1932217.51</c:v>
                </c:pt>
                <c:pt idx="1">
                  <c:v>235667</c:v>
                </c:pt>
                <c:pt idx="2">
                  <c:v>145000</c:v>
                </c:pt>
                <c:pt idx="3">
                  <c:v>4500</c:v>
                </c:pt>
                <c:pt idx="4">
                  <c:v>25171.7</c:v>
                </c:pt>
                <c:pt idx="5">
                  <c:v>535076</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datos'!$D$39:$D$44</c:f>
              <c:numCache>
                <c:ptCount val="6"/>
                <c:pt idx="0">
                  <c:v>345254.47</c:v>
                </c:pt>
                <c:pt idx="1">
                  <c:v>105936.67</c:v>
                </c:pt>
                <c:pt idx="2">
                  <c:v>145000</c:v>
                </c:pt>
                <c:pt idx="3">
                  <c:v>0</c:v>
                </c:pt>
                <c:pt idx="4">
                  <c:v>377.1</c:v>
                </c:pt>
                <c:pt idx="5">
                  <c:v>352265.66</c:v>
                </c:pt>
              </c:numCache>
            </c:numRef>
          </c:val>
        </c:ser>
        <c:gapWidth val="100"/>
        <c:axId val="52422514"/>
        <c:axId val="26929819"/>
      </c:barChart>
      <c:catAx>
        <c:axId val="52422514"/>
        <c:scaling>
          <c:orientation val="minMax"/>
        </c:scaling>
        <c:axPos val="b"/>
        <c:delete val="0"/>
        <c:numFmt formatCode="General" sourceLinked="1"/>
        <c:majorTickMark val="out"/>
        <c:minorTickMark val="none"/>
        <c:tickLblPos val="nextTo"/>
        <c:spPr>
          <a:ln w="3175">
            <a:solidFill>
              <a:srgbClr val="000000"/>
            </a:solidFill>
          </a:ln>
        </c:spPr>
        <c:crossAx val="26929819"/>
        <c:crossesAt val="0"/>
        <c:auto val="1"/>
        <c:lblOffset val="100"/>
        <c:tickLblSkip val="1"/>
        <c:noMultiLvlLbl val="0"/>
      </c:catAx>
      <c:valAx>
        <c:axId val="26929819"/>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crossAx val="52422514"/>
        <c:crossesAt val="1"/>
        <c:crossBetween val="between"/>
        <c:dispUnits/>
      </c:valAx>
      <c:dTable>
        <c:showHorzBorder val="1"/>
        <c:showVertBorder val="1"/>
        <c:showOutline val="1"/>
        <c:showKeys val="1"/>
        <c:spPr>
          <a:ln w="3175">
            <a:solidFill>
              <a:srgbClr val="808080"/>
            </a:solidFill>
          </a:ln>
        </c:spPr>
      </c:dTable>
      <c:spPr>
        <a:noFill/>
        <a:ln w="12700">
          <a:solidFill>
            <a:srgbClr val="000000"/>
          </a:solidFill>
        </a:ln>
      </c:spPr>
    </c:plotArea>
    <c:plotVisOnly val="1"/>
    <c:dispBlanksAs val="gap"/>
    <c:showDLblsOverMax val="0"/>
  </c:chart>
  <c:spPr>
    <a:noFill/>
    <a:ln>
      <a:noFill/>
    </a:ln>
  </c:spPr>
  <c:txPr>
    <a:bodyPr vert="horz" rot="0"/>
    <a:lstStyle/>
    <a:p>
      <a:pPr>
        <a:defRPr lang="en-US" cap="none" sz="5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65"/>
          <c:w val="0.95325"/>
          <c:h val="0.89225"/>
        </c:manualLayout>
      </c:layout>
      <c:barChart>
        <c:barDir val="col"/>
        <c:grouping val="clustered"/>
        <c:varyColors val="0"/>
        <c:ser>
          <c:idx val="0"/>
          <c:order val="0"/>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datos'!$B$59:$B$65</c:f>
              <c:strCache>
                <c:ptCount val="7"/>
                <c:pt idx="0">
                  <c:v>Desembolsado a los Agentes de compra PNUD</c:v>
                </c:pt>
                <c:pt idx="1">
                  <c:v>Desembolsado a los Agentes de compra PLAN</c:v>
                </c:pt>
                <c:pt idx="2">
                  <c:v>Desembolsado a los Agentes de compra OPS</c:v>
                </c:pt>
                <c:pt idx="3">
                  <c:v>Gasto de RP MINSAL</c:v>
                </c:pt>
                <c:pt idx="4">
                  <c:v>Gastos de los Agentes de Compra PNUD</c:v>
                </c:pt>
                <c:pt idx="5">
                  <c:v>Gastos de los Agentes de Compra  PLAN </c:v>
                </c:pt>
                <c:pt idx="6">
                  <c:v>Gastos de los Agentes de Compra OPS</c:v>
                </c:pt>
              </c:strCache>
            </c:strRef>
          </c:cat>
          <c:val>
            <c:numRef>
              <c:f>'Introducción de datos'!$D$59:$D$65</c:f>
              <c:numCache>
                <c:ptCount val="7"/>
                <c:pt idx="0">
                  <c:v>2574371.44</c:v>
                </c:pt>
                <c:pt idx="1">
                  <c:v>140560.32</c:v>
                </c:pt>
                <c:pt idx="2">
                  <c:v>560436.01</c:v>
                </c:pt>
                <c:pt idx="3">
                  <c:v>366787.2</c:v>
                </c:pt>
                <c:pt idx="4">
                  <c:v>351337.41</c:v>
                </c:pt>
                <c:pt idx="5">
                  <c:v>140560.32</c:v>
                </c:pt>
                <c:pt idx="6">
                  <c:v>560436.01</c:v>
                </c:pt>
              </c:numCache>
            </c:numRef>
          </c:val>
        </c:ser>
        <c:overlap val="-27"/>
        <c:gapWidth val="219"/>
        <c:axId val="17994264"/>
        <c:axId val="14171897"/>
      </c:barChart>
      <c:catAx>
        <c:axId val="17994264"/>
        <c:scaling>
          <c:orientation val="minMax"/>
        </c:scaling>
        <c:axPos val="b"/>
        <c:delete val="0"/>
        <c:numFmt formatCode="General" sourceLinked="1"/>
        <c:majorTickMark val="none"/>
        <c:minorTickMark val="none"/>
        <c:tickLblPos val="nextTo"/>
        <c:spPr>
          <a:ln w="3175">
            <a:solidFill>
              <a:srgbClr val="D9D9D9"/>
            </a:solidFill>
          </a:ln>
        </c:spPr>
        <c:txPr>
          <a:bodyPr vert="horz" rot="0"/>
          <a:lstStyle/>
          <a:p>
            <a:pPr>
              <a:defRPr lang="en-US" cap="none" sz="600" b="0" i="0" u="none" baseline="0">
                <a:solidFill>
                  <a:srgbClr val="333333"/>
                </a:solidFill>
                <a:latin typeface="Calibri"/>
                <a:ea typeface="Calibri"/>
                <a:cs typeface="Calibri"/>
              </a:defRPr>
            </a:pPr>
          </a:p>
        </c:txPr>
        <c:crossAx val="14171897"/>
        <c:crossesAt val="0"/>
        <c:auto val="1"/>
        <c:lblOffset val="100"/>
        <c:tickLblSkip val="2"/>
        <c:noMultiLvlLbl val="0"/>
      </c:catAx>
      <c:valAx>
        <c:axId val="14171897"/>
        <c:scaling>
          <c:orientation val="minMax"/>
        </c:scaling>
        <c:axPos val="l"/>
        <c:majorGridlines>
          <c:spPr>
            <a:ln w="3175">
              <a:solidFill>
                <a:srgbClr val="D9D9D9"/>
              </a:solidFill>
            </a:ln>
          </c:spPr>
        </c:majorGridlines>
        <c:delete val="0"/>
        <c:numFmt formatCode="_ [$$-240A]\ * #,##0.00_ ;_ [$$-240A]\ * \-#,##0.00_ ;_ [$$-240A]\ * \-??_ ;_ @_ " sourceLinked="0"/>
        <c:majorTickMark val="none"/>
        <c:minorTickMark val="none"/>
        <c:tickLblPos val="nextTo"/>
        <c:spPr>
          <a:ln w="3175">
            <a:noFill/>
          </a:ln>
        </c:spPr>
        <c:txPr>
          <a:bodyPr vert="horz" rot="0"/>
          <a:lstStyle/>
          <a:p>
            <a:pPr>
              <a:defRPr lang="en-US" cap="none" sz="600" b="0" i="0" u="none" baseline="0">
                <a:solidFill>
                  <a:srgbClr val="333333"/>
                </a:solidFill>
                <a:latin typeface="Calibri"/>
                <a:ea typeface="Calibri"/>
                <a:cs typeface="Calibri"/>
              </a:defRPr>
            </a:pPr>
          </a:p>
        </c:txPr>
        <c:crossAx val="1799426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D9D9D9"/>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2345"/>
          <c:w val="0.9505"/>
          <c:h val="0.654"/>
        </c:manualLayout>
      </c:layout>
      <c:barChart>
        <c:barDir val="bar"/>
        <c:grouping val="percentStacked"/>
        <c:varyColors val="0"/>
        <c:ser>
          <c:idx val="0"/>
          <c:order val="0"/>
          <c:tx>
            <c:strRef>
              <c:f>'Introducción de datos'!$D$89</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datos'!$D$90</c:f>
              <c:numCache>
                <c:ptCount val="1"/>
                <c:pt idx="0">
                  <c:v>5</c:v>
                </c:pt>
              </c:numCache>
            </c:numRef>
          </c:val>
        </c:ser>
        <c:ser>
          <c:idx val="1"/>
          <c:order val="1"/>
          <c:tx>
            <c:strRef>
              <c:f>'Introducción de datos'!$E$89</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datos'!$E$90</c:f>
              <c:numCache>
                <c:ptCount val="1"/>
                <c:pt idx="0">
                  <c:v>0</c:v>
                </c:pt>
              </c:numCache>
            </c:numRef>
          </c:val>
        </c:ser>
        <c:overlap val="100"/>
        <c:gapWidth val="79"/>
        <c:axId val="12913038"/>
        <c:axId val="13302375"/>
      </c:barChart>
      <c:catAx>
        <c:axId val="12913038"/>
        <c:scaling>
          <c:orientation val="minMax"/>
        </c:scaling>
        <c:axPos val="l"/>
        <c:delete val="1"/>
        <c:majorTickMark val="out"/>
        <c:minorTickMark val="none"/>
        <c:tickLblPos val="nextTo"/>
        <c:crossAx val="13302375"/>
        <c:crossesAt val="0"/>
        <c:auto val="1"/>
        <c:lblOffset val="100"/>
        <c:tickLblSkip val="1"/>
        <c:noMultiLvlLbl val="0"/>
      </c:catAx>
      <c:valAx>
        <c:axId val="13302375"/>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2913038"/>
        <c:crosses val="max"/>
        <c:crossBetween val="between"/>
        <c:dispUnits/>
      </c:valAx>
      <c:spPr>
        <a:solidFill>
          <a:srgbClr val="FFFFFF"/>
        </a:solidFill>
        <a:ln w="3175">
          <a:noFill/>
        </a:ln>
      </c:spPr>
    </c:plotArea>
    <c:legend>
      <c:legendPos val="r"/>
      <c:layout>
        <c:manualLayout>
          <c:xMode val="edge"/>
          <c:yMode val="edge"/>
          <c:x val="0.235"/>
          <c:y val="0.66675"/>
          <c:w val="0.42375"/>
          <c:h val="0.183"/>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2375"/>
          <c:w val="0.92625"/>
          <c:h val="0.7075"/>
        </c:manualLayout>
      </c:layout>
      <c:barChart>
        <c:barDir val="col"/>
        <c:grouping val="clustered"/>
        <c:varyColors val="0"/>
        <c:ser>
          <c:idx val="0"/>
          <c:order val="0"/>
          <c:tx>
            <c:strRef>
              <c:f>'Introducción de datos'!$C$94</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datos'!$C$95</c:f>
              <c:numCache>
                <c:ptCount val="1"/>
                <c:pt idx="0">
                  <c:v>0</c:v>
                </c:pt>
              </c:numCache>
            </c:numRef>
          </c:val>
        </c:ser>
        <c:ser>
          <c:idx val="1"/>
          <c:order val="1"/>
          <c:tx>
            <c:strRef>
              <c:f>'Introducción de datos'!$D$94</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datos'!$D$95</c:f>
              <c:numCache>
                <c:ptCount val="1"/>
                <c:pt idx="0">
                  <c:v>0</c:v>
                </c:pt>
              </c:numCache>
            </c:numRef>
          </c:val>
        </c:ser>
        <c:ser>
          <c:idx val="2"/>
          <c:order val="2"/>
          <c:tx>
            <c:strRef>
              <c:f>'Introducción de datos'!$E$94</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datos'!$E$95</c:f>
              <c:numCache>
                <c:ptCount val="1"/>
                <c:pt idx="0">
                  <c:v>0</c:v>
                </c:pt>
              </c:numCache>
            </c:numRef>
          </c:val>
        </c:ser>
        <c:ser>
          <c:idx val="3"/>
          <c:order val="3"/>
          <c:tx>
            <c:strRef>
              <c:f>'Introducción de datos'!$F$94</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datos'!$F$95</c:f>
              <c:numCache>
                <c:ptCount val="1"/>
                <c:pt idx="0">
                  <c:v>0</c:v>
                </c:pt>
              </c:numCache>
            </c:numRef>
          </c:val>
        </c:ser>
        <c:ser>
          <c:idx val="4"/>
          <c:order val="4"/>
          <c:tx>
            <c:strRef>
              <c:f>'Introducción de datos'!$G$94</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datos'!$G$95</c:f>
              <c:numCache>
                <c:ptCount val="1"/>
                <c:pt idx="0">
                  <c:v>0</c:v>
                </c:pt>
              </c:numCache>
            </c:numRef>
          </c:val>
        </c:ser>
        <c:overlap val="-20"/>
        <c:axId val="33937236"/>
        <c:axId val="53843045"/>
      </c:barChart>
      <c:catAx>
        <c:axId val="33937236"/>
        <c:scaling>
          <c:orientation val="minMax"/>
        </c:scaling>
        <c:axPos val="b"/>
        <c:delete val="0"/>
        <c:numFmt formatCode="General" sourceLinked="1"/>
        <c:majorTickMark val="none"/>
        <c:minorTickMark val="none"/>
        <c:tickLblPos val="none"/>
        <c:spPr>
          <a:ln w="3175">
            <a:solidFill>
              <a:srgbClr val="000000"/>
            </a:solidFill>
          </a:ln>
        </c:spPr>
        <c:crossAx val="53843045"/>
        <c:crossesAt val="0"/>
        <c:auto val="0"/>
        <c:lblOffset val="100"/>
        <c:tickLblSkip val="1"/>
        <c:noMultiLvlLbl val="0"/>
      </c:catAx>
      <c:valAx>
        <c:axId val="538430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937236"/>
        <c:crossesAt val="1"/>
        <c:crossBetween val="between"/>
        <c:dispUnits/>
      </c:valAx>
      <c:spPr>
        <a:noFill/>
        <a:ln>
          <a:noFill/>
        </a:ln>
      </c:spPr>
    </c:plotArea>
    <c:legend>
      <c:legendPos val="r"/>
      <c:layout>
        <c:manualLayout>
          <c:xMode val="edge"/>
          <c:yMode val="edge"/>
          <c:x val="0.0255"/>
          <c:y val="0.7455"/>
          <c:w val="0.96175"/>
          <c:h val="0.145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5"/>
          <c:y val="0.109"/>
          <c:w val="0.76525"/>
          <c:h val="0.739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datos'!$D$83:$D$84</c:f>
              <c:numCache>
                <c:ptCount val="2"/>
                <c:pt idx="0">
                  <c:v>3</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datos'!$E$83:$E$84</c:f>
              <c:numCache>
                <c:ptCount val="2"/>
                <c:pt idx="0">
                  <c:v>2</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datos'!$F$83:$F$84</c:f>
              <c:numCache>
                <c:ptCount val="2"/>
                <c:pt idx="0">
                  <c:v>1</c:v>
                </c:pt>
              </c:numCache>
            </c:numRef>
          </c:val>
        </c:ser>
        <c:overlap val="100"/>
        <c:gapWidth val="70"/>
        <c:axId val="35109098"/>
        <c:axId val="48842867"/>
      </c:barChart>
      <c:catAx>
        <c:axId val="351090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842867"/>
        <c:crossesAt val="0"/>
        <c:auto val="1"/>
        <c:lblOffset val="100"/>
        <c:tickLblSkip val="1"/>
        <c:noMultiLvlLbl val="0"/>
      </c:catAx>
      <c:valAx>
        <c:axId val="48842867"/>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109098"/>
        <c:crossesAt val="1"/>
        <c:crossBetween val="between"/>
        <c:dispUnits/>
      </c:valAx>
      <c:spPr>
        <a:noFill/>
        <a:ln>
          <a:noFill/>
        </a:ln>
      </c:spPr>
    </c:plotArea>
    <c:legend>
      <c:legendPos val="r"/>
      <c:layout>
        <c:manualLayout>
          <c:xMode val="edge"/>
          <c:yMode val="edge"/>
          <c:x val="0.005"/>
          <c:y val="0.73625"/>
          <c:w val="0.9535"/>
          <c:h val="0.1717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53"/>
          <c:w val="0.80025"/>
          <c:h val="0.7065"/>
        </c:manualLayout>
      </c:layout>
      <c:barChart>
        <c:barDir val="bar"/>
        <c:grouping val="percentStacked"/>
        <c:varyColors val="0"/>
        <c:ser>
          <c:idx val="0"/>
          <c:order val="0"/>
          <c:tx>
            <c:strRef>
              <c:f>'Introducción de datos'!$D$99</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datos'!$B$100:$B$101</c:f>
              <c:strCache>
                <c:ptCount val="2"/>
                <c:pt idx="0">
                  <c:v>Sub SR al SR</c:v>
                </c:pt>
                <c:pt idx="1">
                  <c:v>Personal Técnico al RP</c:v>
                </c:pt>
              </c:strCache>
            </c:strRef>
          </c:cat>
          <c:val>
            <c:numRef>
              <c:f>'Introducción de datos'!$D$100:$D$101</c:f>
              <c:numCache>
                <c:ptCount val="2"/>
              </c:numCache>
            </c:numRef>
          </c:val>
        </c:ser>
        <c:ser>
          <c:idx val="1"/>
          <c:order val="1"/>
          <c:tx>
            <c:strRef>
              <c:f>'Introducción de datos'!$E$99</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datos'!$B$100:$B$101</c:f>
              <c:strCache>
                <c:ptCount val="2"/>
                <c:pt idx="0">
                  <c:v>Sub SR al SR</c:v>
                </c:pt>
                <c:pt idx="1">
                  <c:v>Personal Técnico al RP</c:v>
                </c:pt>
              </c:strCache>
            </c:strRef>
          </c:cat>
          <c:val>
            <c:numRef>
              <c:f>'Introducción de datos'!$E$100:$E$101</c:f>
              <c:numCache>
                <c:ptCount val="2"/>
                <c:pt idx="0">
                  <c:v>0</c:v>
                </c:pt>
                <c:pt idx="1">
                  <c:v>0</c:v>
                </c:pt>
              </c:numCache>
            </c:numRef>
          </c:val>
        </c:ser>
        <c:overlap val="100"/>
        <c:gapWidth val="79"/>
        <c:axId val="38535120"/>
        <c:axId val="29095441"/>
      </c:barChart>
      <c:catAx>
        <c:axId val="3853512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9095441"/>
        <c:crossesAt val="0"/>
        <c:auto val="1"/>
        <c:lblOffset val="100"/>
        <c:tickLblSkip val="1"/>
        <c:noMultiLvlLbl val="0"/>
      </c:catAx>
      <c:valAx>
        <c:axId val="29095441"/>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8535120"/>
        <c:crosses val="max"/>
        <c:crossBetween val="between"/>
        <c:dispUnits/>
      </c:valAx>
      <c:spPr>
        <a:solidFill>
          <a:srgbClr val="FFFFFF"/>
        </a:solidFill>
        <a:ln w="3175">
          <a:noFill/>
        </a:ln>
      </c:spPr>
    </c:plotArea>
    <c:legend>
      <c:legendPos val="r"/>
      <c:layout>
        <c:manualLayout>
          <c:xMode val="edge"/>
          <c:yMode val="edge"/>
          <c:x val="0.29425"/>
          <c:y val="0.72525"/>
          <c:w val="0.3005"/>
          <c:h val="0.1262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1925"/>
          <c:w val="0.8575"/>
          <c:h val="0.65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datos'!$C$109:$N$109</c:f>
              <c:numCache>
                <c:ptCount val="12"/>
                <c:pt idx="0">
                  <c:v>1004206</c:v>
                </c:pt>
                <c:pt idx="1">
                  <c:v>1004206</c:v>
                </c:pt>
                <c:pt idx="2">
                  <c:v>1004206</c:v>
                </c:pt>
                <c:pt idx="3">
                  <c:v>1004206</c:v>
                </c:pt>
                <c:pt idx="9">
                  <c:v>0</c:v>
                </c:pt>
                <c:pt idx="10">
                  <c:v>0</c:v>
                </c:pt>
                <c:pt idx="11">
                  <c:v>0</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datos'!$C$110:$N$110</c:f>
              <c:numCache>
                <c:ptCount val="12"/>
                <c:pt idx="0">
                  <c:v>45046.6</c:v>
                </c:pt>
                <c:pt idx="1">
                  <c:v>45046.6</c:v>
                </c:pt>
                <c:pt idx="2">
                  <c:v>45046.6</c:v>
                </c:pt>
                <c:pt idx="3">
                  <c:v>45046.6</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datos'!$C$111:$N$111</c:f>
              <c:numCache>
                <c:ptCount val="12"/>
                <c:pt idx="0">
                  <c:v>593326</c:v>
                </c:pt>
                <c:pt idx="1">
                  <c:v>593326</c:v>
                </c:pt>
                <c:pt idx="2">
                  <c:v>593326</c:v>
                </c:pt>
                <c:pt idx="3">
                  <c:v>593326</c:v>
                </c:pt>
                <c:pt idx="9">
                  <c:v>0</c:v>
                </c:pt>
                <c:pt idx="10">
                  <c:v>0</c:v>
                </c:pt>
                <c:pt idx="11">
                  <c:v>0</c:v>
                </c:pt>
              </c:numCache>
            </c:numRef>
          </c:val>
          <c:smooth val="0"/>
        </c:ser>
        <c:marker val="1"/>
        <c:axId val="65663366"/>
        <c:axId val="57606335"/>
      </c:lineChart>
      <c:catAx>
        <c:axId val="656633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57606335"/>
        <c:crossesAt val="0"/>
        <c:auto val="1"/>
        <c:lblOffset val="100"/>
        <c:tickLblSkip val="1"/>
        <c:noMultiLvlLbl val="0"/>
      </c:catAx>
      <c:valAx>
        <c:axId val="57606335"/>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5663366"/>
        <c:crossesAt val="1"/>
        <c:crossBetween val="midCat"/>
        <c:dispUnits/>
      </c:valAx>
      <c:spPr>
        <a:solidFill>
          <a:srgbClr val="FFFFFF"/>
        </a:solidFill>
        <a:ln w="12700">
          <a:solidFill>
            <a:srgbClr val="808080"/>
          </a:solidFill>
        </a:ln>
      </c:spPr>
    </c:plotArea>
    <c:legend>
      <c:legendPos val="r"/>
      <c:layout>
        <c:manualLayout>
          <c:xMode val="edge"/>
          <c:yMode val="edge"/>
          <c:x val="0.00875"/>
          <c:y val="0.65075"/>
          <c:w val="0.85675"/>
          <c:h val="0.201"/>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 Id="rId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hyperlink" Target="#Men&#250;!A1" /><Relationship Id="rId4"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67625" cy="2819400"/>
        </a:xfrm>
        <a:prstGeom prst="rect">
          <a:avLst/>
        </a:prstGeom>
        <a:no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66950"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57150</xdr:rowOff>
    </xdr:to>
    <xdr:sp>
      <xdr:nvSpPr>
        <xdr:cNvPr id="3" name="AutoShape 27"/>
        <xdr:cNvSpPr>
          <a:spLocks/>
        </xdr:cNvSpPr>
      </xdr:nvSpPr>
      <xdr:spPr>
        <a:xfrm>
          <a:off x="2619375" y="1914525"/>
          <a:ext cx="2581275" cy="2047875"/>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600075</xdr:colOff>
      <xdr:row>12</xdr:row>
      <xdr:rowOff>38100</xdr:rowOff>
    </xdr:to>
    <xdr:sp>
      <xdr:nvSpPr>
        <xdr:cNvPr id="4" name="AutoShape 26"/>
        <xdr:cNvSpPr>
          <a:spLocks/>
        </xdr:cNvSpPr>
      </xdr:nvSpPr>
      <xdr:spPr>
        <a:xfrm>
          <a:off x="3409950" y="2428875"/>
          <a:ext cx="107632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590550</xdr:colOff>
      <xdr:row>12</xdr:row>
      <xdr:rowOff>0</xdr:rowOff>
    </xdr:to>
    <xdr:sp>
      <xdr:nvSpPr>
        <xdr:cNvPr id="5" name="AutoShape 27">
          <a:hlinkClick r:id="rId3"/>
        </xdr:cNvPr>
        <xdr:cNvSpPr>
          <a:spLocks/>
        </xdr:cNvSpPr>
      </xdr:nvSpPr>
      <xdr:spPr>
        <a:xfrm>
          <a:off x="3438525" y="2466975"/>
          <a:ext cx="103822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57150</xdr:rowOff>
    </xdr:to>
    <xdr:sp>
      <xdr:nvSpPr>
        <xdr:cNvPr id="6" name="Freeform 28"/>
        <xdr:cNvSpPr>
          <a:spLocks/>
        </xdr:cNvSpPr>
      </xdr:nvSpPr>
      <xdr:spPr>
        <a:xfrm>
          <a:off x="3438525" y="2486025"/>
          <a:ext cx="114300" cy="1428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180975</xdr:rowOff>
    </xdr:from>
    <xdr:to>
      <xdr:col>6</xdr:col>
      <xdr:colOff>609600</xdr:colOff>
      <xdr:row>17</xdr:row>
      <xdr:rowOff>152400</xdr:rowOff>
    </xdr:to>
    <xdr:sp>
      <xdr:nvSpPr>
        <xdr:cNvPr id="7" name="AutoShape 26"/>
        <xdr:cNvSpPr>
          <a:spLocks/>
        </xdr:cNvSpPr>
      </xdr:nvSpPr>
      <xdr:spPr>
        <a:xfrm>
          <a:off x="3429000" y="3514725"/>
          <a:ext cx="106680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457200</xdr:colOff>
      <xdr:row>16</xdr:row>
      <xdr:rowOff>190500</xdr:rowOff>
    </xdr:to>
    <xdr:sp>
      <xdr:nvSpPr>
        <xdr:cNvPr id="9" name="Freeform 28"/>
        <xdr:cNvSpPr>
          <a:spLocks/>
        </xdr:cNvSpPr>
      </xdr:nvSpPr>
      <xdr:spPr>
        <a:xfrm>
          <a:off x="3476625" y="3552825"/>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0</xdr:rowOff>
    </xdr:from>
    <xdr:to>
      <xdr:col>6</xdr:col>
      <xdr:colOff>600075</xdr:colOff>
      <xdr:row>15</xdr:row>
      <xdr:rowOff>0</xdr:rowOff>
    </xdr:to>
    <xdr:sp>
      <xdr:nvSpPr>
        <xdr:cNvPr id="10" name="AutoShape 26"/>
        <xdr:cNvSpPr>
          <a:spLocks/>
        </xdr:cNvSpPr>
      </xdr:nvSpPr>
      <xdr:spPr>
        <a:xfrm>
          <a:off x="3409950" y="2952750"/>
          <a:ext cx="1076325" cy="3810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38100</xdr:rowOff>
    </xdr:from>
    <xdr:to>
      <xdr:col>6</xdr:col>
      <xdr:colOff>590550</xdr:colOff>
      <xdr:row>14</xdr:row>
      <xdr:rowOff>161925</xdr:rowOff>
    </xdr:to>
    <xdr:sp>
      <xdr:nvSpPr>
        <xdr:cNvPr id="11" name="AutoShape 27">
          <a:hlinkClick r:id="rId5"/>
        </xdr:cNvPr>
        <xdr:cNvSpPr>
          <a:spLocks/>
        </xdr:cNvSpPr>
      </xdr:nvSpPr>
      <xdr:spPr>
        <a:xfrm>
          <a:off x="3438525" y="2990850"/>
          <a:ext cx="1038225" cy="31432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5</xdr:row>
      <xdr:rowOff>0</xdr:rowOff>
    </xdr:from>
    <xdr:to>
      <xdr:col>7</xdr:col>
      <xdr:colOff>390525</xdr:colOff>
      <xdr:row>6</xdr:row>
      <xdr:rowOff>47625</xdr:rowOff>
    </xdr:to>
    <xdr:sp>
      <xdr:nvSpPr>
        <xdr:cNvPr id="13" name="Rectangle 803"/>
        <xdr:cNvSpPr>
          <a:spLocks/>
        </xdr:cNvSpPr>
      </xdr:nvSpPr>
      <xdr:spPr>
        <a:xfrm>
          <a:off x="2705100"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304800</xdr:colOff>
      <xdr:row>11</xdr:row>
      <xdr:rowOff>0</xdr:rowOff>
    </xdr:from>
    <xdr:to>
      <xdr:col>11</xdr:col>
      <xdr:colOff>171450</xdr:colOff>
      <xdr:row>13</xdr:row>
      <xdr:rowOff>28575</xdr:rowOff>
    </xdr:to>
    <xdr:sp>
      <xdr:nvSpPr>
        <xdr:cNvPr id="14" name="AutoShape 30"/>
        <xdr:cNvSpPr>
          <a:spLocks/>
        </xdr:cNvSpPr>
      </xdr:nvSpPr>
      <xdr:spPr>
        <a:xfrm>
          <a:off x="5715000" y="2571750"/>
          <a:ext cx="14954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816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57150</xdr:rowOff>
    </xdr:from>
    <xdr:to>
      <xdr:col>8</xdr:col>
      <xdr:colOff>495300</xdr:colOff>
      <xdr:row>12</xdr:row>
      <xdr:rowOff>47625</xdr:rowOff>
    </xdr:to>
    <xdr:sp>
      <xdr:nvSpPr>
        <xdr:cNvPr id="16" name="Freeform 32"/>
        <xdr:cNvSpPr>
          <a:spLocks/>
        </xdr:cNvSpPr>
      </xdr:nvSpPr>
      <xdr:spPr>
        <a:xfrm>
          <a:off x="5762625" y="2628900"/>
          <a:ext cx="142875" cy="1809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7</xdr:row>
      <xdr:rowOff>85725</xdr:rowOff>
    </xdr:from>
    <xdr:to>
      <xdr:col>4</xdr:col>
      <xdr:colOff>95250</xdr:colOff>
      <xdr:row>18</xdr:row>
      <xdr:rowOff>114300</xdr:rowOff>
    </xdr:to>
    <xdr:sp>
      <xdr:nvSpPr>
        <xdr:cNvPr id="17" name="AutoShape 31"/>
        <xdr:cNvSpPr>
          <a:spLocks/>
        </xdr:cNvSpPr>
      </xdr:nvSpPr>
      <xdr:spPr>
        <a:xfrm>
          <a:off x="314325"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14</xdr:row>
      <xdr:rowOff>57150</xdr:rowOff>
    </xdr:from>
    <xdr:to>
      <xdr:col>11</xdr:col>
      <xdr:colOff>152400</xdr:colOff>
      <xdr:row>16</xdr:row>
      <xdr:rowOff>76200</xdr:rowOff>
    </xdr:to>
    <xdr:sp>
      <xdr:nvSpPr>
        <xdr:cNvPr id="19" name="AutoShape 30"/>
        <xdr:cNvSpPr>
          <a:spLocks/>
        </xdr:cNvSpPr>
      </xdr:nvSpPr>
      <xdr:spPr>
        <a:xfrm>
          <a:off x="5705475" y="3200400"/>
          <a:ext cx="1485900" cy="4000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14</xdr:row>
      <xdr:rowOff>104775</xdr:rowOff>
    </xdr:from>
    <xdr:to>
      <xdr:col>11</xdr:col>
      <xdr:colOff>104775</xdr:colOff>
      <xdr:row>16</xdr:row>
      <xdr:rowOff>76200</xdr:rowOff>
    </xdr:to>
    <xdr:sp>
      <xdr:nvSpPr>
        <xdr:cNvPr id="20" name="AutoShape 31">
          <a:hlinkClick r:id="rId7"/>
        </xdr:cNvPr>
        <xdr:cNvSpPr>
          <a:spLocks/>
        </xdr:cNvSpPr>
      </xdr:nvSpPr>
      <xdr:spPr>
        <a:xfrm>
          <a:off x="5753100" y="3248025"/>
          <a:ext cx="1390650"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133350</xdr:rowOff>
    </xdr:from>
    <xdr:to>
      <xdr:col>8</xdr:col>
      <xdr:colOff>476250</xdr:colOff>
      <xdr:row>15</xdr:row>
      <xdr:rowOff>104775</xdr:rowOff>
    </xdr:to>
    <xdr:sp>
      <xdr:nvSpPr>
        <xdr:cNvPr id="21" name="Freeform 32"/>
        <xdr:cNvSpPr>
          <a:spLocks/>
        </xdr:cNvSpPr>
      </xdr:nvSpPr>
      <xdr:spPr>
        <a:xfrm>
          <a:off x="5743575" y="3276600"/>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15</xdr:row>
      <xdr:rowOff>142875</xdr:rowOff>
    </xdr:from>
    <xdr:to>
      <xdr:col>3</xdr:col>
      <xdr:colOff>495300</xdr:colOff>
      <xdr:row>18</xdr:row>
      <xdr:rowOff>9525</xdr:rowOff>
    </xdr:to>
    <xdr:sp>
      <xdr:nvSpPr>
        <xdr:cNvPr id="22" name="AutoShape 30"/>
        <xdr:cNvSpPr>
          <a:spLocks/>
        </xdr:cNvSpPr>
      </xdr:nvSpPr>
      <xdr:spPr>
        <a:xfrm>
          <a:off x="600075" y="3476625"/>
          <a:ext cx="1495425" cy="4381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28650" y="3514725"/>
          <a:ext cx="1447800"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10</xdr:row>
      <xdr:rowOff>28575</xdr:rowOff>
    </xdr:from>
    <xdr:to>
      <xdr:col>3</xdr:col>
      <xdr:colOff>495300</xdr:colOff>
      <xdr:row>12</xdr:row>
      <xdr:rowOff>9525</xdr:rowOff>
    </xdr:to>
    <xdr:sp>
      <xdr:nvSpPr>
        <xdr:cNvPr id="25" name="AutoShape 30"/>
        <xdr:cNvSpPr>
          <a:spLocks/>
        </xdr:cNvSpPr>
      </xdr:nvSpPr>
      <xdr:spPr>
        <a:xfrm>
          <a:off x="600075" y="2409825"/>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57150</xdr:rowOff>
    </xdr:from>
    <xdr:to>
      <xdr:col>3</xdr:col>
      <xdr:colOff>476250</xdr:colOff>
      <xdr:row>11</xdr:row>
      <xdr:rowOff>180975</xdr:rowOff>
    </xdr:to>
    <xdr:sp>
      <xdr:nvSpPr>
        <xdr:cNvPr id="26" name="AutoShape 31">
          <a:hlinkClick r:id="rId9"/>
        </xdr:cNvPr>
        <xdr:cNvSpPr>
          <a:spLocks/>
        </xdr:cNvSpPr>
      </xdr:nvSpPr>
      <xdr:spPr>
        <a:xfrm>
          <a:off x="628650" y="2438400"/>
          <a:ext cx="1447800" cy="3143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723900</xdr:colOff>
      <xdr:row>11</xdr:row>
      <xdr:rowOff>47625</xdr:rowOff>
    </xdr:to>
    <xdr:sp>
      <xdr:nvSpPr>
        <xdr:cNvPr id="27" name="Freeform 32"/>
        <xdr:cNvSpPr>
          <a:spLocks/>
        </xdr:cNvSpPr>
      </xdr:nvSpPr>
      <xdr:spPr>
        <a:xfrm>
          <a:off x="647700" y="24669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13</xdr:row>
      <xdr:rowOff>0</xdr:rowOff>
    </xdr:from>
    <xdr:to>
      <xdr:col>3</xdr:col>
      <xdr:colOff>495300</xdr:colOff>
      <xdr:row>14</xdr:row>
      <xdr:rowOff>171450</xdr:rowOff>
    </xdr:to>
    <xdr:sp>
      <xdr:nvSpPr>
        <xdr:cNvPr id="28" name="AutoShape 30"/>
        <xdr:cNvSpPr>
          <a:spLocks/>
        </xdr:cNvSpPr>
      </xdr:nvSpPr>
      <xdr:spPr>
        <a:xfrm>
          <a:off x="600075" y="2952750"/>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723900</xdr:colOff>
      <xdr:row>14</xdr:row>
      <xdr:rowOff>9525</xdr:rowOff>
    </xdr:to>
    <xdr:sp>
      <xdr:nvSpPr>
        <xdr:cNvPr id="30" name="Freeform 32"/>
        <xdr:cNvSpPr>
          <a:spLocks/>
        </xdr:cNvSpPr>
      </xdr:nvSpPr>
      <xdr:spPr>
        <a:xfrm>
          <a:off x="647700" y="30003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57150</xdr:rowOff>
    </xdr:from>
    <xdr:to>
      <xdr:col>4</xdr:col>
      <xdr:colOff>95250</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66900"/>
          <a:ext cx="2124075" cy="457200"/>
        </a:xfrm>
        <a:prstGeom prst="rect">
          <a:avLst/>
        </a:prstGeom>
        <a:noFill/>
        <a:ln w="9525" cmpd="sng">
          <a:noFill/>
        </a:ln>
      </xdr:spPr>
    </xdr:pic>
    <xdr:clientData/>
  </xdr:twoCellAnchor>
  <xdr:twoCellAnchor>
    <xdr:from>
      <xdr:col>1</xdr:col>
      <xdr:colOff>314325</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390525" y="1914525"/>
          <a:ext cx="2047875"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238125</xdr:colOff>
      <xdr:row>7</xdr:row>
      <xdr:rowOff>57150</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0325" y="1866900"/>
          <a:ext cx="2609850" cy="457200"/>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723900</xdr:colOff>
      <xdr:row>7</xdr:row>
      <xdr:rowOff>76200</xdr:rowOff>
    </xdr:from>
    <xdr:to>
      <xdr:col>11</xdr:col>
      <xdr:colOff>523875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72100" y="1885950"/>
          <a:ext cx="2190750" cy="438150"/>
        </a:xfrm>
        <a:prstGeom prst="rect">
          <a:avLst/>
        </a:prstGeom>
        <a:noFill/>
        <a:ln w="9525" cmpd="sng">
          <a:noFill/>
        </a:ln>
      </xdr:spPr>
    </xdr:pic>
    <xdr:clientData/>
  </xdr:twoCellAnchor>
  <xdr:twoCellAnchor>
    <xdr:from>
      <xdr:col>8</xdr:col>
      <xdr:colOff>76200</xdr:colOff>
      <xdr:row>7</xdr:row>
      <xdr:rowOff>104775</xdr:rowOff>
    </xdr:from>
    <xdr:to>
      <xdr:col>11</xdr:col>
      <xdr:colOff>447675</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438150</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44350" y="4419600"/>
          <a:ext cx="0" cy="22764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0</xdr:row>
      <xdr:rowOff>0</xdr:rowOff>
    </xdr:from>
    <xdr:to>
      <xdr:col>1</xdr:col>
      <xdr:colOff>933450</xdr:colOff>
      <xdr:row>0</xdr:row>
      <xdr:rowOff>333375</xdr:rowOff>
    </xdr:to>
    <xdr:sp>
      <xdr:nvSpPr>
        <xdr:cNvPr id="2" name="AutoShape 50">
          <a:hlinkClick r:id="rId1"/>
        </xdr:cNvPr>
        <xdr:cNvSpPr>
          <a:spLocks/>
        </xdr:cNvSpPr>
      </xdr:nvSpPr>
      <xdr:spPr>
        <a:xfrm>
          <a:off x="161925"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49</xdr:row>
      <xdr:rowOff>38100</xdr:rowOff>
    </xdr:from>
    <xdr:to>
      <xdr:col>6</xdr:col>
      <xdr:colOff>971550</xdr:colOff>
      <xdr:row>50</xdr:row>
      <xdr:rowOff>47625</xdr:rowOff>
    </xdr:to>
    <xdr:grpSp>
      <xdr:nvGrpSpPr>
        <xdr:cNvPr id="3" name="Group 18"/>
        <xdr:cNvGrpSpPr>
          <a:grpSpLocks/>
        </xdr:cNvGrpSpPr>
      </xdr:nvGrpSpPr>
      <xdr:grpSpPr>
        <a:xfrm>
          <a:off x="7943850" y="8448675"/>
          <a:ext cx="4829175" cy="200025"/>
          <a:chOff x="13233" y="13364"/>
          <a:chExt cx="8041" cy="298"/>
        </a:xfrm>
        <a:solidFill>
          <a:srgbClr val="FFFFFF"/>
        </a:solidFill>
      </xdr:grpSpPr>
      <xdr:sp>
        <xdr:nvSpPr>
          <xdr:cNvPr id="4" name="AutoShape 100"/>
          <xdr:cNvSpPr>
            <a:spLocks/>
          </xdr:cNvSpPr>
        </xdr:nvSpPr>
        <xdr:spPr>
          <a:xfrm>
            <a:off x="13253" y="13643"/>
            <a:ext cx="801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3233" y="13364"/>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1274" y="13389"/>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1171575</xdr:colOff>
      <xdr:row>2</xdr:row>
      <xdr:rowOff>447675</xdr:rowOff>
    </xdr:to>
    <xdr:sp>
      <xdr:nvSpPr>
        <xdr:cNvPr id="1" name="Rectangle 117">
          <a:hlinkClick r:id="rId1"/>
        </xdr:cNvPr>
        <xdr:cNvSpPr>
          <a:spLocks/>
        </xdr:cNvSpPr>
      </xdr:nvSpPr>
      <xdr:spPr>
        <a:xfrm>
          <a:off x="200025" y="590550"/>
          <a:ext cx="971550"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95250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95250" y="3810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228600</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28600" y="542925"/>
          <a:ext cx="9810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85725</xdr:rowOff>
    </xdr:from>
    <xdr:to>
      <xdr:col>6</xdr:col>
      <xdr:colOff>171450</xdr:colOff>
      <xdr:row>21</xdr:row>
      <xdr:rowOff>19050</xdr:rowOff>
    </xdr:to>
    <xdr:graphicFrame>
      <xdr:nvGraphicFramePr>
        <xdr:cNvPr id="1" name="Chart 1"/>
        <xdr:cNvGraphicFramePr/>
      </xdr:nvGraphicFramePr>
      <xdr:xfrm>
        <a:off x="19050" y="3000375"/>
        <a:ext cx="4943475" cy="222885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9</xdr:row>
      <xdr:rowOff>38100</xdr:rowOff>
    </xdr:from>
    <xdr:to>
      <xdr:col>12</xdr:col>
      <xdr:colOff>657225</xdr:colOff>
      <xdr:row>20</xdr:row>
      <xdr:rowOff>47625</xdr:rowOff>
    </xdr:to>
    <xdr:graphicFrame>
      <xdr:nvGraphicFramePr>
        <xdr:cNvPr id="2" name="Chart 2"/>
        <xdr:cNvGraphicFramePr/>
      </xdr:nvGraphicFramePr>
      <xdr:xfrm>
        <a:off x="4914900" y="2952750"/>
        <a:ext cx="5076825" cy="2000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19050</xdr:rowOff>
    </xdr:from>
    <xdr:to>
      <xdr:col>6</xdr:col>
      <xdr:colOff>114300</xdr:colOff>
      <xdr:row>30</xdr:row>
      <xdr:rowOff>57150</xdr:rowOff>
    </xdr:to>
    <xdr:graphicFrame>
      <xdr:nvGraphicFramePr>
        <xdr:cNvPr id="3" name="Chart 3"/>
        <xdr:cNvGraphicFramePr/>
      </xdr:nvGraphicFramePr>
      <xdr:xfrm>
        <a:off x="0" y="6115050"/>
        <a:ext cx="4905375" cy="1876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714375</xdr:colOff>
      <xdr:row>0</xdr:row>
      <xdr:rowOff>333375</xdr:rowOff>
    </xdr:to>
    <xdr:sp>
      <xdr:nvSpPr>
        <xdr:cNvPr id="4" name="AutoShape 50">
          <a:hlinkClick r:id="rId4"/>
        </xdr:cNvPr>
        <xdr:cNvSpPr>
          <a:spLocks/>
        </xdr:cNvSpPr>
      </xdr:nvSpPr>
      <xdr:spPr>
        <a:xfrm>
          <a:off x="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12</xdr:col>
      <xdr:colOff>657225</xdr:colOff>
      <xdr:row>9</xdr:row>
      <xdr:rowOff>123825</xdr:rowOff>
    </xdr:from>
    <xdr:to>
      <xdr:col>19</xdr:col>
      <xdr:colOff>619125</xdr:colOff>
      <xdr:row>22</xdr:row>
      <xdr:rowOff>104775</xdr:rowOff>
    </xdr:to>
    <xdr:graphicFrame>
      <xdr:nvGraphicFramePr>
        <xdr:cNvPr id="5" name="Chart 5"/>
        <xdr:cNvGraphicFramePr/>
      </xdr:nvGraphicFramePr>
      <xdr:xfrm>
        <a:off x="9991725" y="3038475"/>
        <a:ext cx="5295900" cy="25717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276225</xdr:colOff>
      <xdr:row>14</xdr:row>
      <xdr:rowOff>152400</xdr:rowOff>
    </xdr:to>
    <xdr:graphicFrame>
      <xdr:nvGraphicFramePr>
        <xdr:cNvPr id="1" name="Chart 1"/>
        <xdr:cNvGraphicFramePr/>
      </xdr:nvGraphicFramePr>
      <xdr:xfrm>
        <a:off x="5724525" y="1885950"/>
        <a:ext cx="5038725" cy="1266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15</xdr:row>
      <xdr:rowOff>371475</xdr:rowOff>
    </xdr:from>
    <xdr:to>
      <xdr:col>6</xdr:col>
      <xdr:colOff>0</xdr:colOff>
      <xdr:row>25</xdr:row>
      <xdr:rowOff>28575</xdr:rowOff>
    </xdr:to>
    <xdr:graphicFrame>
      <xdr:nvGraphicFramePr>
        <xdr:cNvPr id="2" name="Chart 2"/>
        <xdr:cNvGraphicFramePr/>
      </xdr:nvGraphicFramePr>
      <xdr:xfrm>
        <a:off x="295275" y="3724275"/>
        <a:ext cx="4152900" cy="1819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9525</xdr:rowOff>
    </xdr:from>
    <xdr:to>
      <xdr:col>6</xdr:col>
      <xdr:colOff>95250</xdr:colOff>
      <xdr:row>14</xdr:row>
      <xdr:rowOff>247650</xdr:rowOff>
    </xdr:to>
    <xdr:graphicFrame>
      <xdr:nvGraphicFramePr>
        <xdr:cNvPr id="3" name="Chart 3"/>
        <xdr:cNvGraphicFramePr/>
      </xdr:nvGraphicFramePr>
      <xdr:xfrm>
        <a:off x="0" y="1914525"/>
        <a:ext cx="4543425" cy="13335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9525</xdr:rowOff>
    </xdr:from>
    <xdr:to>
      <xdr:col>13</xdr:col>
      <xdr:colOff>228600</xdr:colOff>
      <xdr:row>25</xdr:row>
      <xdr:rowOff>57150</xdr:rowOff>
    </xdr:to>
    <xdr:graphicFrame>
      <xdr:nvGraphicFramePr>
        <xdr:cNvPr id="4" name="Chart 4"/>
        <xdr:cNvGraphicFramePr/>
      </xdr:nvGraphicFramePr>
      <xdr:xfrm>
        <a:off x="5524500" y="3733800"/>
        <a:ext cx="5953125" cy="183832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27</xdr:row>
      <xdr:rowOff>47625</xdr:rowOff>
    </xdr:from>
    <xdr:to>
      <xdr:col>6</xdr:col>
      <xdr:colOff>104775</xdr:colOff>
      <xdr:row>30</xdr:row>
      <xdr:rowOff>266700</xdr:rowOff>
    </xdr:to>
    <xdr:graphicFrame>
      <xdr:nvGraphicFramePr>
        <xdr:cNvPr id="5" name="Chart 5"/>
        <xdr:cNvGraphicFramePr/>
      </xdr:nvGraphicFramePr>
      <xdr:xfrm>
        <a:off x="219075" y="6086475"/>
        <a:ext cx="4333875" cy="15430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114300</xdr:rowOff>
    </xdr:from>
    <xdr:to>
      <xdr:col>12</xdr:col>
      <xdr:colOff>228600</xdr:colOff>
      <xdr:row>18</xdr:row>
      <xdr:rowOff>19050</xdr:rowOff>
    </xdr:to>
    <xdr:graphicFrame>
      <xdr:nvGraphicFramePr>
        <xdr:cNvPr id="1" name="Chart 1"/>
        <xdr:cNvGraphicFramePr/>
      </xdr:nvGraphicFramePr>
      <xdr:xfrm>
        <a:off x="4505325" y="3200400"/>
        <a:ext cx="4124325" cy="1790700"/>
      </xdr:xfrm>
      <a:graphic>
        <a:graphicData uri="http://schemas.openxmlformats.org/drawingml/2006/chart">
          <c:chart xmlns:c="http://schemas.openxmlformats.org/drawingml/2006/chart" r:id="rId1"/>
        </a:graphicData>
      </a:graphic>
    </xdr:graphicFrame>
    <xdr:clientData/>
  </xdr:twoCellAnchor>
  <xdr:twoCellAnchor>
    <xdr:from>
      <xdr:col>12</xdr:col>
      <xdr:colOff>666750</xdr:colOff>
      <xdr:row>9</xdr:row>
      <xdr:rowOff>114300</xdr:rowOff>
    </xdr:from>
    <xdr:to>
      <xdr:col>18</xdr:col>
      <xdr:colOff>228600</xdr:colOff>
      <xdr:row>18</xdr:row>
      <xdr:rowOff>57150</xdr:rowOff>
    </xdr:to>
    <xdr:graphicFrame>
      <xdr:nvGraphicFramePr>
        <xdr:cNvPr id="2" name="Chart 2"/>
        <xdr:cNvGraphicFramePr/>
      </xdr:nvGraphicFramePr>
      <xdr:xfrm>
        <a:off x="9067800" y="3200400"/>
        <a:ext cx="4219575" cy="1828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942975</xdr:colOff>
      <xdr:row>1</xdr:row>
      <xdr:rowOff>9525</xdr:rowOff>
    </xdr:to>
    <xdr:sp>
      <xdr:nvSpPr>
        <xdr:cNvPr id="3" name="AutoShape 50">
          <a:hlinkClick r:id="rId3"/>
        </xdr:cNvPr>
        <xdr:cNvSpPr>
          <a:spLocks/>
        </xdr:cNvSpPr>
      </xdr:nvSpPr>
      <xdr:spPr>
        <a:xfrm>
          <a:off x="28575" y="19050"/>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3200400"/>
        <a:ext cx="4067175" cy="16002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38100" y="47625"/>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676275</xdr:colOff>
      <xdr:row>0</xdr:row>
      <xdr:rowOff>352425</xdr:rowOff>
    </xdr:to>
    <xdr:sp>
      <xdr:nvSpPr>
        <xdr:cNvPr id="1" name="AutoShape 50">
          <a:hlinkClick r:id="rId1"/>
        </xdr:cNvPr>
        <xdr:cNvSpPr>
          <a:spLocks/>
        </xdr:cNvSpPr>
      </xdr:nvSpPr>
      <xdr:spPr>
        <a:xfrm>
          <a:off x="38100" y="28575"/>
          <a:ext cx="91440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3">
      <selection activeCell="A1" sqref="A1"/>
    </sheetView>
  </sheetViews>
  <sheetFormatPr defaultColWidth="11.421875" defaultRowHeight="15"/>
  <cols>
    <col min="1" max="1" width="1.1484375" style="0" customWidth="1"/>
    <col min="2" max="10" width="11.421875" style="0" customWidth="1"/>
    <col min="11" max="11" width="1.57421875" style="0" customWidth="1"/>
  </cols>
  <sheetData>
    <row r="1" ht="25.5" customHeight="1"/>
    <row r="2" spans="2:15" ht="36">
      <c r="B2" s="491" t="str">
        <f>+'[1]Información de la subvención'!B3:J3</f>
        <v>Tablero de mando:  Ficticia - VIH / SIDA</v>
      </c>
      <c r="C2" s="491"/>
      <c r="D2" s="491"/>
      <c r="E2" s="491"/>
      <c r="F2" s="491"/>
      <c r="G2" s="491"/>
      <c r="H2" s="491"/>
      <c r="I2" s="491"/>
      <c r="J2" s="491"/>
      <c r="K2" s="491"/>
      <c r="L2" s="491"/>
      <c r="M2" s="1"/>
      <c r="N2" s="1"/>
      <c r="O2" s="1"/>
    </row>
    <row r="4" spans="2:12" ht="21">
      <c r="B4" s="492" t="str">
        <f>+'Introducción de datos'!G6&amp;"  "&amp;+'Introducción de datos'!G8&amp;",  "&amp;+'Introducción de datos'!I8</f>
        <v>TB  ,  </v>
      </c>
      <c r="C4" s="492"/>
      <c r="D4" s="492"/>
      <c r="E4" s="492"/>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
    </sheetView>
  </sheetViews>
  <sheetFormatPr defaultColWidth="11.421875" defaultRowHeight="15"/>
  <cols>
    <col min="1" max="1" width="11.421875" style="0" customWidth="1"/>
    <col min="2" max="2" width="16.140625" style="0" customWidth="1"/>
    <col min="3" max="3" width="14.57421875" style="0" customWidth="1"/>
    <col min="4" max="4" width="15.421875" style="0" customWidth="1"/>
    <col min="5" max="6" width="11.421875" style="0" customWidth="1"/>
    <col min="7" max="7" width="14.421875" style="0" customWidth="1"/>
    <col min="8" max="8" width="35.421875" style="0" customWidth="1"/>
    <col min="9" max="9" width="45.574218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675" t="str">
        <f>'Información de la subvención'!B3:J3</f>
        <v>Tablero de mando:  El Salvador - TB</v>
      </c>
      <c r="C3" s="675"/>
      <c r="D3" s="675"/>
      <c r="E3" s="675"/>
      <c r="F3" s="675"/>
      <c r="G3" s="675"/>
      <c r="H3" s="675"/>
      <c r="I3" s="321"/>
    </row>
    <row r="6" spans="2:8" ht="18">
      <c r="B6" s="676" t="s">
        <v>268</v>
      </c>
      <c r="C6" s="676"/>
      <c r="D6" s="676"/>
      <c r="E6" s="676"/>
      <c r="F6" s="676"/>
      <c r="G6" s="676"/>
      <c r="H6" s="676"/>
    </row>
    <row r="8" spans="2:15" ht="18">
      <c r="B8" s="477" t="s">
        <v>269</v>
      </c>
      <c r="C8" s="477" t="s">
        <v>270</v>
      </c>
      <c r="D8" s="477" t="s">
        <v>271</v>
      </c>
      <c r="E8" s="477" t="s">
        <v>272</v>
      </c>
      <c r="F8" s="477" t="s">
        <v>273</v>
      </c>
      <c r="G8" s="477" t="s">
        <v>274</v>
      </c>
      <c r="H8" s="477" t="s">
        <v>275</v>
      </c>
      <c r="I8" s="478" t="s">
        <v>276</v>
      </c>
      <c r="J8" s="478" t="s">
        <v>277</v>
      </c>
      <c r="M8" s="10"/>
      <c r="N8" s="10"/>
      <c r="O8" s="10"/>
    </row>
    <row r="9" spans="2:15" ht="14.25">
      <c r="B9" s="479" t="s">
        <v>278</v>
      </c>
      <c r="C9" s="479" t="s">
        <v>278</v>
      </c>
      <c r="D9" s="479" t="s">
        <v>278</v>
      </c>
      <c r="E9" s="479" t="s">
        <v>278</v>
      </c>
      <c r="F9" s="479" t="s">
        <v>278</v>
      </c>
      <c r="G9" s="479" t="s">
        <v>278</v>
      </c>
      <c r="H9" s="479" t="s">
        <v>278</v>
      </c>
      <c r="I9" s="480" t="s">
        <v>278</v>
      </c>
      <c r="J9" s="479" t="s">
        <v>278</v>
      </c>
      <c r="M9" s="10"/>
      <c r="N9" s="10"/>
      <c r="O9" s="10"/>
    </row>
    <row r="10" spans="2:15" ht="14.25">
      <c r="B10" s="481" t="s">
        <v>279</v>
      </c>
      <c r="C10" s="481" t="s">
        <v>78</v>
      </c>
      <c r="D10" s="481" t="s">
        <v>280</v>
      </c>
      <c r="E10" s="481" t="s">
        <v>281</v>
      </c>
      <c r="F10" s="481" t="s">
        <v>63</v>
      </c>
      <c r="G10" s="482" t="s">
        <v>282</v>
      </c>
      <c r="H10" s="483" t="s">
        <v>283</v>
      </c>
      <c r="I10" s="484" t="s">
        <v>176</v>
      </c>
      <c r="J10" s="479" t="s">
        <v>284</v>
      </c>
      <c r="M10" s="10"/>
      <c r="N10" s="10"/>
      <c r="O10" s="10"/>
    </row>
    <row r="11" spans="2:15" ht="14.25">
      <c r="B11" s="481" t="s">
        <v>285</v>
      </c>
      <c r="C11" s="481" t="s">
        <v>286</v>
      </c>
      <c r="D11" s="481" t="s">
        <v>287</v>
      </c>
      <c r="E11" s="481" t="s">
        <v>288</v>
      </c>
      <c r="F11" s="481" t="s">
        <v>82</v>
      </c>
      <c r="G11" s="482" t="s">
        <v>58</v>
      </c>
      <c r="H11" s="483" t="s">
        <v>289</v>
      </c>
      <c r="I11" s="484" t="s">
        <v>177</v>
      </c>
      <c r="J11" s="479" t="s">
        <v>290</v>
      </c>
      <c r="M11" s="10"/>
      <c r="N11" s="10"/>
      <c r="O11" s="10"/>
    </row>
    <row r="12" spans="2:15" ht="14.25">
      <c r="B12" s="481" t="s">
        <v>50</v>
      </c>
      <c r="D12" s="481" t="s">
        <v>291</v>
      </c>
      <c r="E12" s="481" t="s">
        <v>292</v>
      </c>
      <c r="F12" s="481" t="s">
        <v>83</v>
      </c>
      <c r="G12" s="482" t="s">
        <v>293</v>
      </c>
      <c r="H12" s="483" t="s">
        <v>294</v>
      </c>
      <c r="I12" s="484" t="s">
        <v>178</v>
      </c>
      <c r="J12" s="479" t="s">
        <v>295</v>
      </c>
      <c r="M12" s="485"/>
      <c r="N12" s="10"/>
      <c r="O12" s="10"/>
    </row>
    <row r="13" spans="2:15" ht="14.25">
      <c r="B13" s="481" t="s">
        <v>296</v>
      </c>
      <c r="D13" s="481" t="s">
        <v>297</v>
      </c>
      <c r="E13" s="486"/>
      <c r="F13" s="481" t="s">
        <v>84</v>
      </c>
      <c r="G13" s="482" t="s">
        <v>298</v>
      </c>
      <c r="H13" s="483" t="s">
        <v>299</v>
      </c>
      <c r="I13" s="484" t="s">
        <v>179</v>
      </c>
      <c r="J13" s="479" t="s">
        <v>300</v>
      </c>
      <c r="M13" s="485"/>
      <c r="N13" s="10"/>
      <c r="O13" s="10"/>
    </row>
    <row r="14" spans="2:15" ht="14.25">
      <c r="B14" s="481" t="s">
        <v>301</v>
      </c>
      <c r="D14" s="481" t="s">
        <v>302</v>
      </c>
      <c r="F14" s="481" t="s">
        <v>85</v>
      </c>
      <c r="G14" s="482" t="s">
        <v>303</v>
      </c>
      <c r="H14" s="483" t="s">
        <v>304</v>
      </c>
      <c r="I14" s="484" t="s">
        <v>305</v>
      </c>
      <c r="J14" s="479" t="s">
        <v>306</v>
      </c>
      <c r="M14" s="485"/>
      <c r="N14" s="10"/>
      <c r="O14" s="10"/>
    </row>
    <row r="15" spans="4:15" ht="14.25">
      <c r="D15" s="481" t="s">
        <v>307</v>
      </c>
      <c r="F15" s="481" t="s">
        <v>86</v>
      </c>
      <c r="H15" s="483" t="s">
        <v>308</v>
      </c>
      <c r="I15" s="484" t="s">
        <v>309</v>
      </c>
      <c r="J15" s="479" t="s">
        <v>310</v>
      </c>
      <c r="M15" s="485"/>
      <c r="N15" s="10"/>
      <c r="O15" s="10"/>
    </row>
    <row r="16" spans="4:15" ht="14.25">
      <c r="D16" s="481" t="s">
        <v>311</v>
      </c>
      <c r="F16" s="481" t="s">
        <v>87</v>
      </c>
      <c r="H16" s="483" t="s">
        <v>312</v>
      </c>
      <c r="I16" s="484" t="s">
        <v>313</v>
      </c>
      <c r="J16" s="479" t="s">
        <v>314</v>
      </c>
      <c r="M16" s="485"/>
      <c r="N16" s="10"/>
      <c r="O16" s="10"/>
    </row>
    <row r="17" spans="4:15" ht="14.25">
      <c r="D17" s="481" t="s">
        <v>315</v>
      </c>
      <c r="F17" s="481" t="s">
        <v>88</v>
      </c>
      <c r="H17" s="483" t="s">
        <v>316</v>
      </c>
      <c r="I17" s="484" t="s">
        <v>317</v>
      </c>
      <c r="J17" s="479" t="s">
        <v>318</v>
      </c>
      <c r="M17" s="485"/>
      <c r="N17" s="10"/>
      <c r="O17" s="10"/>
    </row>
    <row r="18" spans="4:15" ht="14.25">
      <c r="D18" s="481" t="s">
        <v>319</v>
      </c>
      <c r="F18" s="481" t="s">
        <v>89</v>
      </c>
      <c r="H18" s="483" t="s">
        <v>320</v>
      </c>
      <c r="I18" s="484" t="s">
        <v>321</v>
      </c>
      <c r="J18" s="479" t="s">
        <v>322</v>
      </c>
      <c r="M18" s="485"/>
      <c r="N18" s="10"/>
      <c r="O18" s="10"/>
    </row>
    <row r="19" spans="4:15" ht="14.25">
      <c r="D19" s="481" t="s">
        <v>323</v>
      </c>
      <c r="F19" s="481" t="s">
        <v>90</v>
      </c>
      <c r="H19" s="483" t="s">
        <v>324</v>
      </c>
      <c r="I19" s="484" t="s">
        <v>325</v>
      </c>
      <c r="J19" s="479" t="s">
        <v>326</v>
      </c>
      <c r="M19" s="485"/>
      <c r="N19" s="10"/>
      <c r="O19" s="10"/>
    </row>
    <row r="20" spans="4:15" ht="14.25">
      <c r="D20" s="487"/>
      <c r="F20" s="481" t="s">
        <v>91</v>
      </c>
      <c r="H20" s="483" t="s">
        <v>327</v>
      </c>
      <c r="I20" s="484" t="s">
        <v>328</v>
      </c>
      <c r="J20" s="479" t="s">
        <v>329</v>
      </c>
      <c r="M20" s="10"/>
      <c r="N20" s="10"/>
      <c r="O20" s="10"/>
    </row>
    <row r="21" spans="4:15" ht="14.25">
      <c r="D21" s="488"/>
      <c r="F21" s="481" t="s">
        <v>92</v>
      </c>
      <c r="H21" s="488"/>
      <c r="I21" s="484" t="s">
        <v>330</v>
      </c>
      <c r="J21" s="479" t="s">
        <v>331</v>
      </c>
      <c r="M21" s="10"/>
      <c r="N21" s="10"/>
      <c r="O21" s="10"/>
    </row>
    <row r="22" spans="8:15" ht="14.25">
      <c r="H22" s="488"/>
      <c r="I22" s="484" t="s">
        <v>332</v>
      </c>
      <c r="J22" s="479" t="s">
        <v>333</v>
      </c>
      <c r="M22" s="10"/>
      <c r="N22" s="10"/>
      <c r="O22" s="10"/>
    </row>
    <row r="23" spans="9:15" ht="14.25">
      <c r="I23" s="484" t="s">
        <v>334</v>
      </c>
      <c r="J23" s="479" t="s">
        <v>335</v>
      </c>
      <c r="M23" s="10"/>
      <c r="N23" s="10"/>
      <c r="O23" s="10"/>
    </row>
    <row r="24" spans="9:15" ht="14.25">
      <c r="I24" s="484" t="s">
        <v>336</v>
      </c>
      <c r="J24" s="479" t="s">
        <v>337</v>
      </c>
      <c r="M24" s="10"/>
      <c r="N24" s="10"/>
      <c r="O24" s="10"/>
    </row>
    <row r="25" spans="9:10" ht="14.25">
      <c r="I25" s="489"/>
      <c r="J25" s="479" t="s">
        <v>338</v>
      </c>
    </row>
    <row r="26" spans="9:10" ht="14.25">
      <c r="I26" s="484" t="s">
        <v>339</v>
      </c>
      <c r="J26" s="479" t="s">
        <v>340</v>
      </c>
    </row>
    <row r="27" spans="9:10" ht="14.25">
      <c r="I27" s="484" t="s">
        <v>341</v>
      </c>
      <c r="J27" s="479" t="s">
        <v>44</v>
      </c>
    </row>
    <row r="28" spans="9:10" ht="14.25">
      <c r="I28" s="489" t="s">
        <v>181</v>
      </c>
      <c r="J28" s="479" t="s">
        <v>342</v>
      </c>
    </row>
    <row r="29" spans="9:10" ht="14.25">
      <c r="I29" s="489" t="s">
        <v>343</v>
      </c>
      <c r="J29" s="479" t="s">
        <v>344</v>
      </c>
    </row>
    <row r="30" spans="9:10" ht="14.25">
      <c r="I30" s="489" t="s">
        <v>345</v>
      </c>
      <c r="J30" s="479" t="s">
        <v>346</v>
      </c>
    </row>
    <row r="31" ht="14.25">
      <c r="J31" s="479" t="s">
        <v>347</v>
      </c>
    </row>
    <row r="32" ht="14.25">
      <c r="J32" s="479" t="s">
        <v>348</v>
      </c>
    </row>
    <row r="33" ht="14.25">
      <c r="J33" s="479" t="s">
        <v>349</v>
      </c>
    </row>
    <row r="34" ht="14.25">
      <c r="J34" s="479" t="s">
        <v>350</v>
      </c>
    </row>
    <row r="35" ht="14.25">
      <c r="J35" s="479" t="s">
        <v>351</v>
      </c>
    </row>
    <row r="36" ht="14.25">
      <c r="J36" s="479" t="s">
        <v>352</v>
      </c>
    </row>
    <row r="37" ht="14.25">
      <c r="J37" s="479" t="s">
        <v>353</v>
      </c>
    </row>
    <row r="38" ht="14.25">
      <c r="J38" s="479" t="s">
        <v>354</v>
      </c>
    </row>
    <row r="39" ht="14.25">
      <c r="J39" s="479" t="s">
        <v>355</v>
      </c>
    </row>
    <row r="40" ht="14.25">
      <c r="J40" s="479" t="s">
        <v>356</v>
      </c>
    </row>
    <row r="41" ht="14.25">
      <c r="J41" s="479" t="s">
        <v>357</v>
      </c>
    </row>
    <row r="42" ht="14.25">
      <c r="J42" s="479" t="s">
        <v>358</v>
      </c>
    </row>
    <row r="43" ht="14.25">
      <c r="J43" s="479" t="s">
        <v>359</v>
      </c>
    </row>
    <row r="44" ht="14.25">
      <c r="J44" s="479" t="s">
        <v>360</v>
      </c>
    </row>
    <row r="45" ht="14.25">
      <c r="J45" s="479" t="s">
        <v>361</v>
      </c>
    </row>
    <row r="46" ht="14.25">
      <c r="J46" s="479" t="s">
        <v>362</v>
      </c>
    </row>
    <row r="47" ht="14.25">
      <c r="J47" s="479" t="s">
        <v>363</v>
      </c>
    </row>
    <row r="48" ht="14.25">
      <c r="J48" s="479" t="s">
        <v>364</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B1">
      <pane ySplit="2" topLeftCell="A3" activePane="bottomLeft" state="frozen"/>
      <selection pane="topLeft" activeCell="B1" sqref="B1"/>
      <selection pane="bottomLeft" activeCell="B11" sqref="B11"/>
    </sheetView>
  </sheetViews>
  <sheetFormatPr defaultColWidth="11.421875" defaultRowHeight="15"/>
  <cols>
    <col min="1" max="1" width="2.57421875" style="0" customWidth="1"/>
    <col min="2" max="2" width="21.421875" style="0" customWidth="1"/>
    <col min="3" max="3" width="11.421875" style="0" customWidth="1"/>
    <col min="4" max="4" width="11.140625" style="0" customWidth="1"/>
    <col min="5" max="5" width="16.421875" style="0" customWidth="1"/>
    <col min="6" max="6" width="15.57421875" style="0" customWidth="1"/>
    <col min="7" max="7" width="37.421875" style="0" customWidth="1"/>
    <col min="8" max="8" width="17.42187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5" customWidth="1"/>
    <col min="15" max="15" width="3.00390625" style="5" customWidth="1"/>
    <col min="16" max="16" width="2.421875" style="0" customWidth="1"/>
    <col min="17" max="17" width="16.140625" style="0" customWidth="1"/>
    <col min="18" max="18" width="13.57421875" style="0" customWidth="1"/>
    <col min="19" max="19" width="11.421875" style="0" customWidth="1"/>
    <col min="20" max="20" width="14.8515625" style="0" customWidth="1"/>
    <col min="21" max="21" width="16.00390625" style="0" customWidth="1"/>
    <col min="22" max="22" width="0" style="0" hidden="1" customWidth="1"/>
    <col min="23" max="23" width="15.421875" style="0" customWidth="1"/>
    <col min="24" max="24" width="11.421875" style="0" customWidth="1"/>
    <col min="25" max="25" width="2.421875" style="0" customWidth="1"/>
    <col min="26" max="26" width="1.1484375" style="0" customWidth="1"/>
    <col min="27" max="27" width="3.42187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421875" style="0" customWidth="1"/>
    <col min="36" max="36" width="2.421875" style="0" customWidth="1"/>
    <col min="37" max="37" width="40.574218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93" t="str">
        <f>+"Cuadro de mando:  "&amp;"  "&amp;+'Introducción de datos'!C4&amp;" - "&amp;'Introducción de datos'!G6</f>
        <v>Cuadro de mando:    El Salvador - TB</v>
      </c>
      <c r="C2" s="493"/>
      <c r="D2" s="493"/>
      <c r="E2" s="493"/>
      <c r="F2" s="493"/>
      <c r="G2" s="493"/>
      <c r="H2" s="493"/>
      <c r="I2" s="493"/>
      <c r="J2" s="493"/>
      <c r="K2" s="493"/>
      <c r="L2" s="493"/>
      <c r="M2" s="493"/>
    </row>
    <row r="3" spans="1:13" ht="15.75" customHeight="1">
      <c r="A3" s="6"/>
      <c r="B3" s="7"/>
      <c r="C3" s="7"/>
      <c r="D3" s="7"/>
      <c r="E3" s="7"/>
      <c r="F3" s="7"/>
      <c r="G3" s="7"/>
      <c r="H3" s="7"/>
      <c r="I3" s="7"/>
      <c r="J3" s="7"/>
      <c r="K3" s="8"/>
      <c r="L3" s="8"/>
      <c r="M3" s="6"/>
    </row>
    <row r="5" spans="2:15" ht="23.25">
      <c r="B5" s="494" t="s">
        <v>0</v>
      </c>
      <c r="C5" s="494"/>
      <c r="D5" s="494"/>
      <c r="E5" s="494"/>
      <c r="F5" s="494"/>
      <c r="G5" s="494"/>
      <c r="H5" s="494"/>
      <c r="I5" s="494"/>
      <c r="J5" s="494"/>
      <c r="K5" s="494"/>
      <c r="L5" s="494"/>
      <c r="M5" s="494"/>
      <c r="N5" s="494"/>
      <c r="O5" s="494"/>
    </row>
    <row r="7" spans="2:15" ht="21">
      <c r="B7" s="495" t="s">
        <v>1</v>
      </c>
      <c r="C7" s="495"/>
      <c r="D7" s="495"/>
      <c r="E7" s="495" t="s">
        <v>2</v>
      </c>
      <c r="F7" s="495"/>
      <c r="G7" s="495"/>
      <c r="H7" s="495"/>
      <c r="I7" s="495"/>
      <c r="J7" s="495" t="s">
        <v>3</v>
      </c>
      <c r="K7" s="495"/>
      <c r="L7" s="495"/>
      <c r="M7" s="495" t="s">
        <v>4</v>
      </c>
      <c r="N7" s="495"/>
      <c r="O7" s="495"/>
    </row>
    <row r="8" spans="2:15" ht="92.25" customHeight="1">
      <c r="B8" s="496" t="str">
        <f>+'Introducción de datos'!B27</f>
        <v>F1: Presupuesto y desembolsos del Fondo Mundial</v>
      </c>
      <c r="C8" s="496"/>
      <c r="D8" s="496"/>
      <c r="E8" s="497" t="s">
        <v>5</v>
      </c>
      <c r="F8" s="497"/>
      <c r="G8" s="497"/>
      <c r="H8" s="497"/>
      <c r="I8" s="497"/>
      <c r="J8" s="498" t="s">
        <v>6</v>
      </c>
      <c r="K8" s="498"/>
      <c r="L8" s="498"/>
      <c r="M8" s="498" t="s">
        <v>7</v>
      </c>
      <c r="N8" s="498"/>
      <c r="O8" s="498"/>
    </row>
    <row r="9" spans="2:15" ht="117.75" customHeight="1">
      <c r="B9" s="496" t="str">
        <f>+'Introducción de datos'!B36</f>
        <v>F2: Presupuesto y gastos reales por estrategias de la subvención anual</v>
      </c>
      <c r="C9" s="496"/>
      <c r="D9" s="496"/>
      <c r="E9" s="499" t="s">
        <v>8</v>
      </c>
      <c r="F9" s="499"/>
      <c r="G9" s="499"/>
      <c r="H9" s="499"/>
      <c r="I9" s="499"/>
      <c r="J9" s="500" t="s">
        <v>9</v>
      </c>
      <c r="K9" s="500"/>
      <c r="L9" s="500"/>
      <c r="M9" s="500" t="s">
        <v>7</v>
      </c>
      <c r="N9" s="500"/>
      <c r="O9" s="500"/>
    </row>
    <row r="10" spans="2:15" ht="233.25" customHeight="1">
      <c r="B10" s="501" t="str">
        <f>+'Introducción de datos'!B51</f>
        <v>F3: Desembolsos y gastos</v>
      </c>
      <c r="C10" s="501"/>
      <c r="D10" s="501"/>
      <c r="E10" s="499" t="s">
        <v>10</v>
      </c>
      <c r="F10" s="499"/>
      <c r="G10" s="499"/>
      <c r="H10" s="499"/>
      <c r="I10" s="499"/>
      <c r="J10" s="502" t="s">
        <v>11</v>
      </c>
      <c r="K10" s="502"/>
      <c r="L10" s="502"/>
      <c r="M10" s="500" t="s">
        <v>12</v>
      </c>
      <c r="N10" s="500"/>
      <c r="O10" s="500"/>
    </row>
    <row r="11" spans="2:60" ht="279.75" customHeight="1">
      <c r="B11" s="501" t="str">
        <f>+'Introducción de datos'!B69</f>
        <v>F4: Último ciclo de información y desembolso del RP</v>
      </c>
      <c r="C11" s="501"/>
      <c r="D11" s="501"/>
      <c r="E11" s="499" t="s">
        <v>13</v>
      </c>
      <c r="F11" s="499"/>
      <c r="G11" s="499"/>
      <c r="H11" s="499"/>
      <c r="I11" s="499"/>
      <c r="J11" s="502" t="s">
        <v>14</v>
      </c>
      <c r="K11" s="502"/>
      <c r="L11" s="502"/>
      <c r="M11" s="500" t="s">
        <v>15</v>
      </c>
      <c r="N11" s="500"/>
      <c r="O11" s="500"/>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4.25">
      <c r="B12" s="503"/>
      <c r="C12" s="503"/>
      <c r="D12" s="503"/>
      <c r="E12" s="504"/>
      <c r="F12" s="504"/>
      <c r="G12" s="504"/>
      <c r="H12" s="504"/>
      <c r="I12" s="504"/>
      <c r="J12" s="504"/>
      <c r="K12" s="504"/>
      <c r="L12" s="504"/>
      <c r="M12" s="504"/>
      <c r="N12" s="504"/>
      <c r="O12" s="504"/>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4.25">
      <c r="B13" s="505"/>
      <c r="C13" s="505"/>
      <c r="D13" s="505"/>
      <c r="E13" s="506"/>
      <c r="F13" s="506"/>
      <c r="G13" s="506"/>
      <c r="H13" s="506"/>
      <c r="I13" s="506"/>
      <c r="J13" s="506"/>
      <c r="K13" s="506"/>
      <c r="L13" s="506"/>
      <c r="M13" s="506"/>
      <c r="N13" s="506"/>
      <c r="O13" s="50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4.25">
      <c r="B14" s="505"/>
      <c r="C14" s="505"/>
      <c r="D14" s="505"/>
      <c r="E14" s="506"/>
      <c r="F14" s="506"/>
      <c r="G14" s="506"/>
      <c r="H14" s="506"/>
      <c r="I14" s="506"/>
      <c r="J14" s="506"/>
      <c r="K14" s="506"/>
      <c r="L14" s="506"/>
      <c r="M14" s="506"/>
      <c r="N14" s="506"/>
      <c r="O14" s="50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4.25">
      <c r="B15" s="505"/>
      <c r="C15" s="505"/>
      <c r="D15" s="505"/>
      <c r="E15" s="506"/>
      <c r="F15" s="506"/>
      <c r="G15" s="506"/>
      <c r="H15" s="506"/>
      <c r="I15" s="506"/>
      <c r="J15" s="506"/>
      <c r="K15" s="506"/>
      <c r="L15" s="506"/>
      <c r="M15" s="506"/>
      <c r="N15" s="506"/>
      <c r="O15" s="50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4" t="s">
        <v>16</v>
      </c>
      <c r="C16" s="494"/>
      <c r="D16" s="494"/>
      <c r="E16" s="494"/>
      <c r="F16" s="494"/>
      <c r="G16" s="494"/>
      <c r="H16" s="494"/>
      <c r="I16" s="494"/>
      <c r="J16" s="494"/>
      <c r="K16" s="494"/>
      <c r="L16" s="494"/>
      <c r="M16" s="494"/>
      <c r="N16" s="494"/>
      <c r="O16" s="494"/>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4.2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7" t="s">
        <v>1</v>
      </c>
      <c r="C18" s="507"/>
      <c r="D18" s="507"/>
      <c r="E18" s="507" t="s">
        <v>2</v>
      </c>
      <c r="F18" s="507"/>
      <c r="G18" s="507"/>
      <c r="H18" s="507"/>
      <c r="I18" s="507"/>
      <c r="J18" s="507" t="s">
        <v>3</v>
      </c>
      <c r="K18" s="507"/>
      <c r="L18" s="507"/>
      <c r="M18" s="507" t="s">
        <v>17</v>
      </c>
      <c r="N18" s="507"/>
      <c r="O18" s="50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6" t="str">
        <f>+'Introducción de datos'!B80</f>
        <v>M1: Estado de las condiciones precedentes y acciones con fecha límite</v>
      </c>
      <c r="C19" s="496"/>
      <c r="D19" s="496"/>
      <c r="E19" s="499" t="s">
        <v>18</v>
      </c>
      <c r="F19" s="499"/>
      <c r="G19" s="499"/>
      <c r="H19" s="499"/>
      <c r="I19" s="499"/>
      <c r="J19" s="500" t="s">
        <v>19</v>
      </c>
      <c r="K19" s="500"/>
      <c r="L19" s="500"/>
      <c r="M19" s="500" t="s">
        <v>20</v>
      </c>
      <c r="N19" s="500"/>
      <c r="O19" s="500"/>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6" t="str">
        <f>+'Introducción de datos'!B87</f>
        <v>M2: Estado de los principales puestos directivos del RP</v>
      </c>
      <c r="C20" s="496"/>
      <c r="D20" s="496"/>
      <c r="E20" s="499" t="s">
        <v>21</v>
      </c>
      <c r="F20" s="499"/>
      <c r="G20" s="499"/>
      <c r="H20" s="499"/>
      <c r="I20" s="499"/>
      <c r="J20" s="500" t="s">
        <v>22</v>
      </c>
      <c r="K20" s="500"/>
      <c r="L20" s="500"/>
      <c r="M20" s="500" t="s">
        <v>23</v>
      </c>
      <c r="N20" s="500"/>
      <c r="O20" s="500"/>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6" t="str">
        <f>+'Introducción de datos'!B92</f>
        <v>M3: Acuerdos contractuales</v>
      </c>
      <c r="C21" s="496"/>
      <c r="D21" s="496"/>
      <c r="E21" s="508" t="s">
        <v>24</v>
      </c>
      <c r="F21" s="508"/>
      <c r="G21" s="508"/>
      <c r="H21" s="508"/>
      <c r="I21" s="508"/>
      <c r="J21" s="500" t="s">
        <v>25</v>
      </c>
      <c r="K21" s="500"/>
      <c r="L21" s="500"/>
      <c r="M21" s="500" t="s">
        <v>26</v>
      </c>
      <c r="N21" s="500"/>
      <c r="O21" s="500"/>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6" t="str">
        <f>+'Introducción de datos'!B97</f>
        <v>M4: Número de informes completos recibidos a tiempo</v>
      </c>
      <c r="C22" s="496"/>
      <c r="D22" s="496"/>
      <c r="E22" s="509" t="s">
        <v>27</v>
      </c>
      <c r="F22" s="509"/>
      <c r="G22" s="509"/>
      <c r="H22" s="509"/>
      <c r="I22" s="509"/>
      <c r="J22" s="502" t="s">
        <v>28</v>
      </c>
      <c r="K22" s="502"/>
      <c r="L22" s="502"/>
      <c r="M22" s="500" t="s">
        <v>29</v>
      </c>
      <c r="N22" s="500"/>
      <c r="O22" s="500"/>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01" t="str">
        <f>+'Introducción de datos'!B103</f>
        <v>M5: Presupuesto y compra de productos y equipo sanitario, medicamentos y productos farmacéuticos</v>
      </c>
      <c r="C23" s="501"/>
      <c r="D23" s="501"/>
      <c r="E23" s="510" t="s">
        <v>30</v>
      </c>
      <c r="F23" s="510"/>
      <c r="G23" s="510"/>
      <c r="H23" s="510"/>
      <c r="I23" s="510"/>
      <c r="J23" s="500" t="s">
        <v>31</v>
      </c>
      <c r="K23" s="500"/>
      <c r="L23" s="500"/>
      <c r="M23" s="500" t="s">
        <v>32</v>
      </c>
      <c r="N23" s="500"/>
      <c r="O23" s="500"/>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01"/>
      <c r="C24" s="501"/>
      <c r="D24" s="501"/>
      <c r="E24" s="511" t="s">
        <v>33</v>
      </c>
      <c r="F24" s="511"/>
      <c r="G24" s="511"/>
      <c r="H24" s="511"/>
      <c r="I24" s="511"/>
      <c r="J24" s="500"/>
      <c r="K24" s="500"/>
      <c r="L24" s="500"/>
      <c r="M24" s="500"/>
      <c r="N24" s="500"/>
      <c r="O24" s="500"/>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6" t="str">
        <f>+'Introducción de datos'!B116</f>
        <v>M6: Diferencia entre existencias actuales y existencias de seguridad</v>
      </c>
      <c r="C25" s="496"/>
      <c r="D25" s="496"/>
      <c r="E25" s="512" t="s">
        <v>34</v>
      </c>
      <c r="F25" s="512"/>
      <c r="G25" s="512"/>
      <c r="H25" s="512"/>
      <c r="I25" s="512"/>
      <c r="J25" s="513" t="s">
        <v>35</v>
      </c>
      <c r="K25" s="513"/>
      <c r="L25" s="513"/>
      <c r="M25" s="514" t="s">
        <v>36</v>
      </c>
      <c r="N25" s="514"/>
      <c r="O25" s="51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4.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4.2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4.2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4" t="s">
        <v>37</v>
      </c>
      <c r="C30" s="494"/>
      <c r="D30" s="494"/>
      <c r="E30" s="494"/>
      <c r="F30" s="494"/>
      <c r="G30" s="494"/>
      <c r="H30" s="494"/>
      <c r="I30" s="494"/>
      <c r="J30" s="494"/>
      <c r="K30" s="494"/>
      <c r="L30" s="494"/>
      <c r="M30" s="494"/>
      <c r="N30" s="494"/>
      <c r="O30" s="494"/>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4.2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15" t="s">
        <v>38</v>
      </c>
      <c r="C32" s="515"/>
      <c r="D32" s="515"/>
      <c r="E32" s="516" t="s">
        <v>39</v>
      </c>
      <c r="F32" s="516"/>
      <c r="G32" s="516"/>
      <c r="H32" s="516"/>
      <c r="I32" s="516"/>
      <c r="J32" s="516" t="s">
        <v>3</v>
      </c>
      <c r="K32" s="516"/>
      <c r="L32" s="516"/>
      <c r="M32" s="516" t="s">
        <v>17</v>
      </c>
      <c r="N32" s="516"/>
      <c r="O32" s="516"/>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17"/>
      <c r="C33" s="517"/>
      <c r="D33" s="517"/>
      <c r="E33" s="518"/>
      <c r="F33" s="518"/>
      <c r="G33" s="518"/>
      <c r="H33" s="518"/>
      <c r="I33" s="518"/>
      <c r="J33" s="519"/>
      <c r="K33" s="519"/>
      <c r="L33" s="519"/>
      <c r="M33" s="519"/>
      <c r="N33" s="519"/>
      <c r="O33" s="51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17"/>
      <c r="C34" s="517"/>
      <c r="D34" s="517"/>
      <c r="E34" s="518"/>
      <c r="F34" s="518"/>
      <c r="G34" s="518"/>
      <c r="H34" s="518"/>
      <c r="I34" s="518"/>
      <c r="J34" s="519"/>
      <c r="K34" s="519"/>
      <c r="L34" s="519"/>
      <c r="M34" s="519"/>
      <c r="N34" s="519"/>
      <c r="O34" s="51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17"/>
      <c r="C35" s="517"/>
      <c r="D35" s="517"/>
      <c r="E35" s="519"/>
      <c r="F35" s="519"/>
      <c r="G35" s="519"/>
      <c r="H35" s="519"/>
      <c r="I35" s="519"/>
      <c r="J35" s="519"/>
      <c r="K35" s="519"/>
      <c r="L35" s="519"/>
      <c r="M35" s="519"/>
      <c r="N35" s="519"/>
      <c r="O35" s="51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20"/>
      <c r="C36" s="520"/>
      <c r="D36" s="520"/>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17"/>
      <c r="C37" s="517"/>
      <c r="D37" s="517"/>
      <c r="E37" s="519"/>
      <c r="F37" s="519"/>
      <c r="G37" s="519"/>
      <c r="H37" s="519"/>
      <c r="I37" s="519"/>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17"/>
      <c r="C38" s="517"/>
      <c r="D38" s="517"/>
      <c r="E38" s="518"/>
      <c r="F38" s="518"/>
      <c r="G38" s="518"/>
      <c r="H38" s="518"/>
      <c r="I38" s="518"/>
      <c r="J38" s="519"/>
      <c r="K38" s="519"/>
      <c r="L38" s="519"/>
      <c r="M38" s="519"/>
      <c r="N38" s="519"/>
      <c r="O38" s="51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21"/>
      <c r="C39" s="521"/>
      <c r="D39" s="521"/>
      <c r="E39" s="519"/>
      <c r="F39" s="519"/>
      <c r="G39" s="519"/>
      <c r="H39" s="519"/>
      <c r="I39" s="519"/>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22"/>
      <c r="C40" s="522"/>
      <c r="D40" s="522"/>
      <c r="E40" s="523"/>
      <c r="F40" s="523"/>
      <c r="G40" s="523"/>
      <c r="H40" s="523"/>
      <c r="I40" s="523"/>
      <c r="J40" s="519"/>
      <c r="K40" s="519"/>
      <c r="L40" s="519"/>
      <c r="M40" s="519"/>
      <c r="N40" s="519"/>
      <c r="O40" s="51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21"/>
      <c r="C41" s="521"/>
      <c r="D41" s="521"/>
      <c r="E41" s="518"/>
      <c r="F41" s="518"/>
      <c r="G41" s="518"/>
      <c r="H41" s="518"/>
      <c r="I41" s="518"/>
      <c r="J41" s="519"/>
      <c r="K41" s="519"/>
      <c r="L41" s="519"/>
      <c r="M41" s="519"/>
      <c r="N41" s="519"/>
      <c r="O41" s="51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21"/>
      <c r="C42" s="521"/>
      <c r="D42" s="521"/>
      <c r="E42" s="519"/>
      <c r="F42" s="519"/>
      <c r="G42" s="519"/>
      <c r="H42" s="519"/>
      <c r="I42" s="519"/>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21"/>
      <c r="C43" s="521"/>
      <c r="D43" s="521"/>
      <c r="E43" s="518"/>
      <c r="F43" s="518"/>
      <c r="G43" s="518"/>
      <c r="H43" s="518"/>
      <c r="I43" s="518"/>
      <c r="J43" s="519"/>
      <c r="K43" s="519"/>
      <c r="L43" s="519"/>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22"/>
      <c r="C44" s="522"/>
      <c r="D44" s="522"/>
      <c r="E44" s="518"/>
      <c r="F44" s="518"/>
      <c r="G44" s="518"/>
      <c r="H44" s="518"/>
      <c r="I44" s="518"/>
      <c r="J44" s="519"/>
      <c r="K44" s="519"/>
      <c r="L44" s="519"/>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22"/>
      <c r="C45" s="522"/>
      <c r="D45" s="522"/>
      <c r="E45" s="518"/>
      <c r="F45" s="518"/>
      <c r="G45" s="518"/>
      <c r="H45" s="518"/>
      <c r="I45" s="518"/>
      <c r="J45" s="519"/>
      <c r="K45" s="519"/>
      <c r="L45" s="519"/>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26"/>
      <c r="C46" s="526"/>
      <c r="D46" s="526"/>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24" t="s">
        <v>40</v>
      </c>
      <c r="C48" s="524"/>
      <c r="D48" s="524"/>
      <c r="E48" s="524"/>
      <c r="F48" s="524"/>
      <c r="G48" s="524"/>
      <c r="H48" s="524"/>
      <c r="I48" s="524"/>
      <c r="J48" s="524"/>
      <c r="K48" s="524"/>
      <c r="L48" s="524"/>
      <c r="M48" s="525" t="s">
        <v>41</v>
      </c>
      <c r="N48" s="525"/>
      <c r="O48" s="52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57"/>
  <sheetViews>
    <sheetView showGridLines="0" zoomScale="80" zoomScaleNormal="80" zoomScalePageLayoutView="0" workbookViewId="0" topLeftCell="A34">
      <selection activeCell="D65" sqref="D65"/>
    </sheetView>
  </sheetViews>
  <sheetFormatPr defaultColWidth="11.421875" defaultRowHeight="15"/>
  <cols>
    <col min="1" max="1" width="2.574218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421875" style="0" customWidth="1"/>
    <col min="10" max="10" width="16.8515625" style="0" customWidth="1"/>
    <col min="11" max="11" width="18.421875" style="0" customWidth="1"/>
    <col min="12" max="12" width="15.421875" style="0" customWidth="1"/>
    <col min="13" max="13" width="20.421875" style="0" customWidth="1"/>
    <col min="14" max="14" width="14.421875" style="5" customWidth="1"/>
    <col min="15" max="15" width="16.140625" style="0" customWidth="1"/>
    <col min="16" max="16" width="13.57421875" style="0" customWidth="1"/>
    <col min="17" max="17" width="13.421875" style="0" customWidth="1"/>
    <col min="18" max="18" width="11.421875" style="0" customWidth="1"/>
    <col min="19" max="19" width="2.421875" style="0" customWidth="1"/>
    <col min="20" max="20" width="1.1484375" style="0" customWidth="1"/>
    <col min="21" max="21" width="3.421875" style="0" customWidth="1"/>
    <col min="22" max="22" width="17.00390625" style="0" customWidth="1"/>
    <col min="23" max="23" width="15.00390625" style="0" customWidth="1"/>
    <col min="24" max="24" width="11.421875" style="0" customWidth="1"/>
    <col min="25" max="25" width="13.421875" style="0" customWidth="1"/>
    <col min="26" max="26" width="16.8515625" style="0" customWidth="1"/>
    <col min="27" max="27" width="11.421875" style="0" customWidth="1"/>
    <col min="28" max="28" width="2.00390625" style="5" customWidth="1"/>
    <col min="29" max="29" width="3.421875" style="5" customWidth="1"/>
    <col min="30" max="30" width="2.421875" style="5" customWidth="1"/>
    <col min="31" max="31" width="40.574218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27" t="s">
        <v>42</v>
      </c>
      <c r="C2" s="527"/>
      <c r="D2" s="527"/>
      <c r="E2" s="527"/>
      <c r="F2" s="527"/>
      <c r="G2" s="527"/>
      <c r="H2" s="527"/>
      <c r="I2" s="527"/>
      <c r="J2" s="527"/>
      <c r="K2" s="33"/>
      <c r="L2" s="33"/>
      <c r="M2" s="33"/>
    </row>
    <row r="3" spans="1:13" ht="4.5" customHeight="1">
      <c r="A3" s="6"/>
      <c r="B3" s="6"/>
      <c r="C3" s="6"/>
      <c r="D3" s="6"/>
      <c r="E3" s="6"/>
      <c r="F3" s="6"/>
      <c r="G3" s="6"/>
      <c r="H3" s="6"/>
      <c r="I3" s="6"/>
      <c r="J3" s="6"/>
      <c r="K3" s="6"/>
      <c r="L3" s="6"/>
      <c r="M3" s="6"/>
    </row>
    <row r="4" spans="1:13" ht="14.25" customHeight="1">
      <c r="A4" s="6"/>
      <c r="B4" s="34" t="s">
        <v>43</v>
      </c>
      <c r="C4" s="528" t="s">
        <v>44</v>
      </c>
      <c r="D4" s="528"/>
      <c r="E4" s="529" t="s">
        <v>45</v>
      </c>
      <c r="F4" s="529"/>
      <c r="G4" s="530" t="s">
        <v>46</v>
      </c>
      <c r="H4" s="530"/>
      <c r="I4" s="530"/>
      <c r="J4" s="530"/>
      <c r="K4" s="6"/>
      <c r="L4" s="6"/>
      <c r="M4" s="6"/>
    </row>
    <row r="5" spans="1:13" ht="3" customHeight="1">
      <c r="A5" s="6"/>
      <c r="B5" s="37"/>
      <c r="C5" s="6"/>
      <c r="D5" s="6"/>
      <c r="E5" s="38"/>
      <c r="F5" s="38"/>
      <c r="G5" s="6"/>
      <c r="H5" s="6"/>
      <c r="I5" s="6"/>
      <c r="J5" s="6"/>
      <c r="K5" s="6"/>
      <c r="L5" s="6"/>
      <c r="M5" s="6"/>
    </row>
    <row r="6" spans="1:13" ht="14.25">
      <c r="A6" s="6"/>
      <c r="B6" s="34" t="s">
        <v>47</v>
      </c>
      <c r="C6" s="531" t="s">
        <v>48</v>
      </c>
      <c r="D6" s="531"/>
      <c r="E6" s="529" t="s">
        <v>49</v>
      </c>
      <c r="F6" s="529"/>
      <c r="G6" s="35" t="s">
        <v>50</v>
      </c>
      <c r="H6" s="39" t="s">
        <v>51</v>
      </c>
      <c r="I6" s="532">
        <v>9950916</v>
      </c>
      <c r="J6" s="532"/>
      <c r="K6" s="6"/>
      <c r="L6" s="6"/>
      <c r="M6" s="6"/>
    </row>
    <row r="7" spans="1:13" ht="3" customHeight="1">
      <c r="A7" s="6"/>
      <c r="B7" s="37"/>
      <c r="C7" s="6"/>
      <c r="D7" s="6"/>
      <c r="E7" s="38"/>
      <c r="F7" s="38"/>
      <c r="G7" s="6"/>
      <c r="H7" s="37"/>
      <c r="I7" s="6"/>
      <c r="J7" s="6"/>
      <c r="K7" s="6"/>
      <c r="L7" s="6"/>
      <c r="M7" s="6"/>
    </row>
    <row r="8" spans="1:13" ht="14.25">
      <c r="A8" s="6"/>
      <c r="B8" s="34" t="s">
        <v>52</v>
      </c>
      <c r="C8" s="531" t="s">
        <v>53</v>
      </c>
      <c r="D8" s="531"/>
      <c r="E8" s="40"/>
      <c r="F8" s="36"/>
      <c r="G8" s="35"/>
      <c r="H8" s="36"/>
      <c r="I8" s="528"/>
      <c r="J8" s="528"/>
      <c r="K8" s="6"/>
      <c r="L8" s="6"/>
      <c r="M8" s="6"/>
    </row>
    <row r="9" spans="1:13" ht="3" customHeight="1">
      <c r="A9" s="6"/>
      <c r="B9" s="38"/>
      <c r="C9" s="41">
        <v>39825</v>
      </c>
      <c r="D9" s="6"/>
      <c r="E9" s="38"/>
      <c r="F9" s="38"/>
      <c r="G9" s="6"/>
      <c r="H9" s="6"/>
      <c r="I9" s="6"/>
      <c r="J9" s="6"/>
      <c r="K9" s="6"/>
      <c r="L9" s="6"/>
      <c r="M9" s="6"/>
    </row>
    <row r="10" spans="1:13" ht="14.25">
      <c r="A10" s="6"/>
      <c r="B10" s="34" t="s">
        <v>54</v>
      </c>
      <c r="C10" s="533">
        <v>42370</v>
      </c>
      <c r="D10" s="533"/>
      <c r="E10" s="534" t="s">
        <v>55</v>
      </c>
      <c r="F10" s="534"/>
      <c r="G10" s="528" t="s">
        <v>56</v>
      </c>
      <c r="H10" s="528"/>
      <c r="I10" s="528"/>
      <c r="J10" s="528"/>
      <c r="K10" s="6"/>
      <c r="L10" s="6"/>
      <c r="M10" s="6"/>
    </row>
    <row r="11" spans="1:13" ht="5.25" customHeight="1">
      <c r="A11" s="6"/>
      <c r="B11" s="6"/>
      <c r="C11" s="6"/>
      <c r="D11" s="6"/>
      <c r="E11" s="6"/>
      <c r="F11" s="6"/>
      <c r="G11" s="6"/>
      <c r="H11" s="6"/>
      <c r="I11" s="6"/>
      <c r="J11" s="6"/>
      <c r="K11" s="6"/>
      <c r="L11" s="6"/>
      <c r="M11" s="6"/>
    </row>
    <row r="12" spans="1:13" ht="15" customHeight="1">
      <c r="A12" s="6"/>
      <c r="B12" s="34" t="s">
        <v>57</v>
      </c>
      <c r="C12" s="535" t="s">
        <v>58</v>
      </c>
      <c r="D12" s="535"/>
      <c r="E12" s="536" t="s">
        <v>59</v>
      </c>
      <c r="F12" s="536"/>
      <c r="G12" s="537" t="s">
        <v>60</v>
      </c>
      <c r="H12" s="537"/>
      <c r="I12" s="537"/>
      <c r="J12" s="537"/>
      <c r="K12" s="6"/>
      <c r="L12" s="6"/>
      <c r="M12" s="6"/>
    </row>
    <row r="13" spans="1:13" ht="5.25" customHeight="1">
      <c r="A13" s="6"/>
      <c r="B13" s="6"/>
      <c r="C13" s="6"/>
      <c r="D13" s="6"/>
      <c r="E13" s="6"/>
      <c r="F13" s="6"/>
      <c r="G13" s="6"/>
      <c r="H13" s="6"/>
      <c r="I13" s="6"/>
      <c r="J13" s="6"/>
      <c r="K13" s="6"/>
      <c r="L13" s="6"/>
      <c r="M13" s="6"/>
    </row>
    <row r="14" spans="1:13" ht="15.75" customHeight="1">
      <c r="A14" s="6"/>
      <c r="B14" s="527" t="s">
        <v>61</v>
      </c>
      <c r="C14" s="527"/>
      <c r="D14" s="527"/>
      <c r="E14" s="527"/>
      <c r="F14" s="527"/>
      <c r="G14" s="527"/>
      <c r="H14" s="527"/>
      <c r="I14" s="527"/>
      <c r="J14" s="527"/>
      <c r="K14" s="6"/>
      <c r="L14" s="6"/>
      <c r="M14" s="6"/>
    </row>
    <row r="15" spans="1:13" ht="3" customHeight="1">
      <c r="A15" s="6"/>
      <c r="B15" s="6"/>
      <c r="C15" s="6"/>
      <c r="D15" s="6"/>
      <c r="E15" s="6"/>
      <c r="F15" s="6"/>
      <c r="G15" s="6"/>
      <c r="H15" s="6"/>
      <c r="I15" s="6"/>
      <c r="J15" s="6"/>
      <c r="K15" s="6"/>
      <c r="L15" s="6"/>
      <c r="M15" s="6"/>
    </row>
    <row r="16" spans="1:13" ht="14.25">
      <c r="A16" s="6"/>
      <c r="B16" s="34" t="s">
        <v>62</v>
      </c>
      <c r="C16" s="35" t="s">
        <v>63</v>
      </c>
      <c r="D16" s="36" t="s">
        <v>64</v>
      </c>
      <c r="E16" s="42">
        <v>42370</v>
      </c>
      <c r="F16" s="43" t="s">
        <v>65</v>
      </c>
      <c r="G16" s="42" t="s">
        <v>66</v>
      </c>
      <c r="H16" s="538" t="s">
        <v>67</v>
      </c>
      <c r="I16" s="538"/>
      <c r="J16" s="42" t="s">
        <v>68</v>
      </c>
      <c r="K16" s="6"/>
      <c r="L16" s="6"/>
      <c r="M16" s="6"/>
    </row>
    <row r="17" spans="1:13" ht="3" customHeight="1">
      <c r="A17" s="6"/>
      <c r="B17" s="6"/>
      <c r="C17" s="6"/>
      <c r="D17" s="6"/>
      <c r="E17" s="6"/>
      <c r="F17" s="6"/>
      <c r="G17" s="6"/>
      <c r="H17" s="6"/>
      <c r="I17" s="6"/>
      <c r="J17" s="6"/>
      <c r="K17" s="6"/>
      <c r="L17" s="6"/>
      <c r="M17" s="6"/>
    </row>
    <row r="18" spans="1:13" ht="14.25">
      <c r="A18" s="6"/>
      <c r="B18" s="539" t="s">
        <v>69</v>
      </c>
      <c r="C18" s="539"/>
      <c r="D18" s="540" t="s">
        <v>70</v>
      </c>
      <c r="E18" s="540"/>
      <c r="F18" s="540"/>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7" t="s">
        <v>71</v>
      </c>
      <c r="C21" s="527"/>
      <c r="D21" s="527"/>
      <c r="E21" s="527"/>
      <c r="F21" s="527"/>
      <c r="G21" s="527"/>
      <c r="H21" s="527"/>
      <c r="I21" s="527"/>
      <c r="J21" s="527"/>
      <c r="K21" s="6"/>
      <c r="L21" s="6"/>
      <c r="M21" s="6"/>
    </row>
    <row r="22" spans="1:13" ht="14.25">
      <c r="A22" s="6"/>
      <c r="B22" s="45" t="s">
        <v>72</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4.25">
      <c r="A24" s="6"/>
      <c r="B24" s="34" t="s">
        <v>73</v>
      </c>
      <c r="C24" s="47"/>
      <c r="D24" s="529" t="s">
        <v>74</v>
      </c>
      <c r="E24" s="529"/>
      <c r="F24" s="48"/>
      <c r="G24" s="529" t="s">
        <v>75</v>
      </c>
      <c r="H24" s="529"/>
      <c r="I24" s="541"/>
      <c r="J24" s="541"/>
      <c r="K24" s="6"/>
      <c r="L24" s="6"/>
      <c r="M24" s="6"/>
      <c r="N24" s="49"/>
    </row>
    <row r="25" spans="1:29" ht="18">
      <c r="A25" s="6"/>
      <c r="B25" s="50" t="s">
        <v>73</v>
      </c>
      <c r="C25" s="51"/>
      <c r="D25" s="51"/>
      <c r="E25" s="51"/>
      <c r="F25" s="51"/>
      <c r="G25" s="51"/>
      <c r="H25" s="52"/>
      <c r="I25" s="52"/>
      <c r="J25" s="52" t="s">
        <v>76</v>
      </c>
      <c r="K25" s="52"/>
      <c r="L25" s="51"/>
      <c r="M25" s="51"/>
      <c r="N25" s="53"/>
      <c r="AC25" s="54"/>
    </row>
    <row r="26" spans="1:29" ht="14.25">
      <c r="A26" s="6"/>
      <c r="B26" s="542" t="s">
        <v>77</v>
      </c>
      <c r="C26" s="542"/>
      <c r="D26" s="55" t="s">
        <v>78</v>
      </c>
      <c r="E26" s="56"/>
      <c r="F26" s="56"/>
      <c r="G26" s="56"/>
      <c r="H26" s="56"/>
      <c r="I26" s="56"/>
      <c r="J26" s="57"/>
      <c r="K26" s="56"/>
      <c r="L26" s="56"/>
      <c r="M26" s="56"/>
      <c r="N26" s="58"/>
      <c r="AC26" s="54"/>
    </row>
    <row r="27" spans="1:29" ht="18">
      <c r="A27" s="6"/>
      <c r="B27" s="59" t="s">
        <v>79</v>
      </c>
      <c r="C27" s="56"/>
      <c r="D27" s="56"/>
      <c r="E27" s="56"/>
      <c r="F27" s="56"/>
      <c r="G27" s="56"/>
      <c r="H27" s="56"/>
      <c r="I27" s="56"/>
      <c r="J27" s="57"/>
      <c r="K27" s="56"/>
      <c r="L27" s="56"/>
      <c r="M27" s="56"/>
      <c r="N27" s="58"/>
      <c r="AC27" s="54"/>
    </row>
    <row r="28" spans="1:13" ht="14.25">
      <c r="A28" s="6"/>
      <c r="B28" s="6"/>
      <c r="C28" s="6"/>
      <c r="D28" s="6"/>
      <c r="E28" s="6"/>
      <c r="F28" s="6"/>
      <c r="G28" s="6"/>
      <c r="H28" s="6"/>
      <c r="I28" s="6"/>
      <c r="J28" s="6"/>
      <c r="K28" s="6"/>
      <c r="L28" s="6"/>
      <c r="M28" s="6"/>
    </row>
    <row r="29" spans="1:17" ht="14.25">
      <c r="A29" s="6"/>
      <c r="B29" s="543" t="s">
        <v>80</v>
      </c>
      <c r="C29" s="543"/>
      <c r="D29" s="543"/>
      <c r="E29" s="543"/>
      <c r="F29" s="543"/>
      <c r="G29" s="543"/>
      <c r="H29" s="543"/>
      <c r="I29" s="543"/>
      <c r="J29" s="543"/>
      <c r="K29" s="543"/>
      <c r="L29" s="543"/>
      <c r="M29" s="543"/>
      <c r="N29" s="543"/>
      <c r="O29" s="60"/>
      <c r="P29" s="61">
        <f>+C33</f>
        <v>4383064.10911</v>
      </c>
      <c r="Q29" s="62"/>
    </row>
    <row r="30" spans="1:17" ht="45" customHeight="1">
      <c r="A30" s="6"/>
      <c r="B30" s="63" t="s">
        <v>81</v>
      </c>
      <c r="C30" s="64" t="s">
        <v>63</v>
      </c>
      <c r="D30" s="64" t="s">
        <v>82</v>
      </c>
      <c r="E30" s="64" t="s">
        <v>83</v>
      </c>
      <c r="F30" s="64" t="s">
        <v>84</v>
      </c>
      <c r="G30" s="64" t="s">
        <v>85</v>
      </c>
      <c r="H30" s="64" t="s">
        <v>86</v>
      </c>
      <c r="I30" s="64" t="s">
        <v>87</v>
      </c>
      <c r="J30" s="64" t="s">
        <v>88</v>
      </c>
      <c r="K30" s="64" t="s">
        <v>89</v>
      </c>
      <c r="L30" s="64" t="s">
        <v>90</v>
      </c>
      <c r="M30" s="64" t="s">
        <v>91</v>
      </c>
      <c r="N30" s="64" t="s">
        <v>92</v>
      </c>
      <c r="O30" s="60"/>
      <c r="P30" s="61">
        <f>+D33</f>
        <v>0</v>
      </c>
      <c r="Q30" s="62"/>
    </row>
    <row r="31" spans="1:17" ht="14.25" customHeight="1">
      <c r="A31" s="6"/>
      <c r="B31" s="65" t="str">
        <f>CONCATENATE("Presupuesto (en ",'Introducción de datos'!$D$26,")")</f>
        <v>Presupuesto (en $)</v>
      </c>
      <c r="C31" s="66">
        <v>4383064.10911</v>
      </c>
      <c r="D31" s="67"/>
      <c r="E31" s="67"/>
      <c r="F31" s="67"/>
      <c r="G31" s="67"/>
      <c r="H31" s="67"/>
      <c r="I31" s="67"/>
      <c r="J31" s="67"/>
      <c r="K31" s="67"/>
      <c r="L31" s="67"/>
      <c r="M31" s="67"/>
      <c r="N31" s="67"/>
      <c r="O31" s="60"/>
      <c r="P31" s="61">
        <f>+E33</f>
        <v>0</v>
      </c>
      <c r="Q31" s="62"/>
    </row>
    <row r="32" spans="1:17" ht="14.25" customHeight="1">
      <c r="A32" s="6"/>
      <c r="B32" s="68" t="str">
        <f>CONCATENATE("Desembolsos por el Fondo Mundial (en ",$D$26,")")</f>
        <v>Desembolsos por el Fondo Mundial (en $)</v>
      </c>
      <c r="C32" s="66">
        <v>4383064.11</v>
      </c>
      <c r="D32" s="69"/>
      <c r="E32" s="69"/>
      <c r="F32" s="69"/>
      <c r="G32" s="69"/>
      <c r="H32" s="69"/>
      <c r="I32" s="67"/>
      <c r="J32" s="67"/>
      <c r="K32" s="67"/>
      <c r="L32" s="67"/>
      <c r="M32" s="67"/>
      <c r="N32" s="67"/>
      <c r="O32" s="60"/>
      <c r="P32" s="61">
        <f>+F33</f>
        <v>0</v>
      </c>
      <c r="Q32" s="62"/>
    </row>
    <row r="33" spans="1:17" ht="14.25" customHeight="1">
      <c r="A33" s="6"/>
      <c r="B33" s="70" t="s">
        <v>93</v>
      </c>
      <c r="C33" s="71">
        <f>+C31</f>
        <v>4383064.10911</v>
      </c>
      <c r="D33" s="71">
        <f aca="true" t="shared" si="0" ref="D33:N33">IF(AND(D31=0,D32=0),0,+C33+D31)</f>
        <v>0</v>
      </c>
      <c r="E33" s="71">
        <f t="shared" si="0"/>
        <v>0</v>
      </c>
      <c r="F33" s="71">
        <f t="shared" si="0"/>
        <v>0</v>
      </c>
      <c r="G33" s="71">
        <f t="shared" si="0"/>
        <v>0</v>
      </c>
      <c r="H33" s="71">
        <f t="shared" si="0"/>
        <v>0</v>
      </c>
      <c r="I33" s="71">
        <f t="shared" si="0"/>
        <v>0</v>
      </c>
      <c r="J33" s="72">
        <f t="shared" si="0"/>
        <v>0</v>
      </c>
      <c r="K33" s="71">
        <f t="shared" si="0"/>
        <v>0</v>
      </c>
      <c r="L33" s="71">
        <f t="shared" si="0"/>
        <v>0</v>
      </c>
      <c r="M33" s="71">
        <f t="shared" si="0"/>
        <v>0</v>
      </c>
      <c r="N33" s="71">
        <f t="shared" si="0"/>
        <v>0</v>
      </c>
      <c r="O33" s="60"/>
      <c r="P33" s="61">
        <f>+G33</f>
        <v>0</v>
      </c>
      <c r="Q33" s="62"/>
    </row>
    <row r="34" spans="1:17" ht="15" customHeight="1">
      <c r="A34" s="6"/>
      <c r="B34" s="73" t="s">
        <v>94</v>
      </c>
      <c r="C34" s="74">
        <f>+C32</f>
        <v>4383064.11</v>
      </c>
      <c r="D34" s="74">
        <f aca="true" t="shared" si="1" ref="D34:N34">IF(AND(D31=0,D32=0),0,+C34+D32)</f>
        <v>0</v>
      </c>
      <c r="E34" s="74">
        <f t="shared" si="1"/>
        <v>0</v>
      </c>
      <c r="F34" s="74">
        <f t="shared" si="1"/>
        <v>0</v>
      </c>
      <c r="G34" s="74">
        <f t="shared" si="1"/>
        <v>0</v>
      </c>
      <c r="H34" s="74">
        <f t="shared" si="1"/>
        <v>0</v>
      </c>
      <c r="I34" s="74">
        <f t="shared" si="1"/>
        <v>0</v>
      </c>
      <c r="J34" s="74">
        <f t="shared" si="1"/>
        <v>0</v>
      </c>
      <c r="K34" s="74">
        <f t="shared" si="1"/>
        <v>0</v>
      </c>
      <c r="L34" s="74">
        <f t="shared" si="1"/>
        <v>0</v>
      </c>
      <c r="M34" s="74">
        <f t="shared" si="1"/>
        <v>0</v>
      </c>
      <c r="N34" s="74">
        <f t="shared" si="1"/>
        <v>0</v>
      </c>
      <c r="O34" s="60"/>
      <c r="P34" s="61">
        <f>+H33</f>
        <v>0</v>
      </c>
      <c r="Q34" s="62"/>
    </row>
    <row r="35" spans="1:17" ht="14.25">
      <c r="A35" s="6"/>
      <c r="B35" s="6"/>
      <c r="C35" s="75">
        <f aca="true" t="shared" si="2" ref="C35:N35">+IF(AND(C30=$C$16,C33&lt;&gt;0),C34/C33,0)</f>
        <v>1.0000000002030545</v>
      </c>
      <c r="D35" s="75">
        <f t="shared" si="2"/>
        <v>0</v>
      </c>
      <c r="E35" s="75">
        <f t="shared" si="2"/>
        <v>0</v>
      </c>
      <c r="F35" s="75">
        <f t="shared" si="2"/>
        <v>0</v>
      </c>
      <c r="G35" s="75">
        <f t="shared" si="2"/>
        <v>0</v>
      </c>
      <c r="H35" s="75">
        <f t="shared" si="2"/>
        <v>0</v>
      </c>
      <c r="I35" s="75">
        <f t="shared" si="2"/>
        <v>0</v>
      </c>
      <c r="J35" s="75">
        <f t="shared" si="2"/>
        <v>0</v>
      </c>
      <c r="K35" s="75">
        <f t="shared" si="2"/>
        <v>0</v>
      </c>
      <c r="L35" s="75">
        <f t="shared" si="2"/>
        <v>0</v>
      </c>
      <c r="M35" s="75">
        <f t="shared" si="2"/>
        <v>0</v>
      </c>
      <c r="N35" s="75">
        <f t="shared" si="2"/>
        <v>0</v>
      </c>
      <c r="O35" s="76"/>
      <c r="P35" s="61">
        <f>+I33</f>
        <v>0</v>
      </c>
      <c r="Q35" s="62"/>
    </row>
    <row r="36" spans="1:29" ht="18">
      <c r="A36" s="6"/>
      <c r="B36" s="59" t="s">
        <v>95</v>
      </c>
      <c r="C36" s="6"/>
      <c r="D36" s="6"/>
      <c r="E36" s="77"/>
      <c r="F36" s="6"/>
      <c r="G36" s="78"/>
      <c r="H36" s="6"/>
      <c r="I36" s="6"/>
      <c r="J36" s="6"/>
      <c r="K36" s="6"/>
      <c r="L36" s="6"/>
      <c r="M36" s="6"/>
      <c r="N36" s="79"/>
      <c r="AC36" s="49"/>
    </row>
    <row r="37" spans="1:14" ht="14.25">
      <c r="A37" s="6"/>
      <c r="B37" s="6"/>
      <c r="C37" s="6"/>
      <c r="D37" s="6"/>
      <c r="E37" s="6"/>
      <c r="F37" s="6"/>
      <c r="G37" s="6"/>
      <c r="H37" s="6"/>
      <c r="I37" s="6"/>
      <c r="J37" s="6"/>
      <c r="K37" s="6"/>
      <c r="L37" s="6"/>
      <c r="M37" s="6"/>
      <c r="N37" s="80"/>
    </row>
    <row r="38" spans="1:26" ht="30" customHeight="1">
      <c r="A38" s="6"/>
      <c r="B38" s="81" t="s">
        <v>96</v>
      </c>
      <c r="C38" s="82" t="str">
        <f>CONCATENATE("Presupuesto acumulado (en ",'Introducción de datos'!$D$26,")")</f>
        <v>Presupuesto acumulado (en $)</v>
      </c>
      <c r="D38" s="83" t="str">
        <f>CONCATENATE("Gastos acumulados (en ",'Introducción de datos'!$D$26,")")</f>
        <v>Gastos acumulados (en $)</v>
      </c>
      <c r="E38" s="84"/>
      <c r="F38" s="85"/>
      <c r="G38" s="6"/>
      <c r="H38" s="6"/>
      <c r="I38" s="6"/>
      <c r="J38" s="86"/>
      <c r="K38" s="87"/>
      <c r="N38"/>
      <c r="Y38" s="49"/>
      <c r="Z38" s="5"/>
    </row>
    <row r="39" spans="1:26" ht="14.25" customHeight="1">
      <c r="A39" s="6"/>
      <c r="B39" s="88" t="s">
        <v>97</v>
      </c>
      <c r="C39" s="89">
        <v>1932217.51</v>
      </c>
      <c r="D39" s="90">
        <v>345254.47</v>
      </c>
      <c r="E39" s="91"/>
      <c r="F39" s="92"/>
      <c r="G39" s="93"/>
      <c r="H39" s="6"/>
      <c r="I39" s="6"/>
      <c r="J39" s="94"/>
      <c r="K39" s="95"/>
      <c r="N39"/>
      <c r="Y39" s="49"/>
      <c r="Z39" s="5"/>
    </row>
    <row r="40" spans="1:26" ht="14.25" customHeight="1">
      <c r="A40" s="6"/>
      <c r="B40" s="88" t="s">
        <v>98</v>
      </c>
      <c r="C40" s="89">
        <v>235667</v>
      </c>
      <c r="D40" s="90">
        <v>105936.67</v>
      </c>
      <c r="E40" s="96"/>
      <c r="F40" s="92"/>
      <c r="G40" s="93"/>
      <c r="H40" s="6"/>
      <c r="I40" s="6"/>
      <c r="J40" s="6"/>
      <c r="K40" s="95"/>
      <c r="N40"/>
      <c r="Y40" s="49"/>
      <c r="Z40" s="5"/>
    </row>
    <row r="41" spans="1:26" ht="14.25">
      <c r="A41" s="6"/>
      <c r="B41" s="97" t="s">
        <v>99</v>
      </c>
      <c r="C41" s="89">
        <v>145000</v>
      </c>
      <c r="D41" s="90">
        <v>145000</v>
      </c>
      <c r="E41" s="96"/>
      <c r="F41" s="98"/>
      <c r="G41" s="6"/>
      <c r="H41" s="6"/>
      <c r="I41" s="6"/>
      <c r="J41" s="6"/>
      <c r="K41" s="95"/>
      <c r="N41"/>
      <c r="Y41" s="49"/>
      <c r="Z41" s="5"/>
    </row>
    <row r="42" spans="1:26" ht="15" customHeight="1">
      <c r="A42" s="6"/>
      <c r="B42" s="88" t="s">
        <v>100</v>
      </c>
      <c r="C42" s="89">
        <v>4500</v>
      </c>
      <c r="D42" s="90">
        <v>0</v>
      </c>
      <c r="E42" s="96"/>
      <c r="F42" s="99"/>
      <c r="G42" s="6"/>
      <c r="H42" s="6"/>
      <c r="I42" s="6"/>
      <c r="J42" s="6"/>
      <c r="K42" s="49"/>
      <c r="N42"/>
      <c r="Y42" s="49"/>
      <c r="Z42" s="5"/>
    </row>
    <row r="43" spans="1:26" ht="14.25">
      <c r="A43" s="6"/>
      <c r="B43" s="88" t="s">
        <v>101</v>
      </c>
      <c r="C43" s="89">
        <v>25171.7</v>
      </c>
      <c r="D43" s="90">
        <v>377.1</v>
      </c>
      <c r="E43" s="96"/>
      <c r="F43" s="100"/>
      <c r="G43" s="6"/>
      <c r="H43" s="6"/>
      <c r="I43" s="6"/>
      <c r="J43" s="6"/>
      <c r="K43" s="49"/>
      <c r="N43"/>
      <c r="Y43" s="49"/>
      <c r="Z43" s="5"/>
    </row>
    <row r="44" spans="1:26" ht="14.25">
      <c r="A44" s="6"/>
      <c r="B44" s="88" t="s">
        <v>102</v>
      </c>
      <c r="C44" s="89">
        <v>535076</v>
      </c>
      <c r="D44" s="101">
        <v>352265.66</v>
      </c>
      <c r="E44" s="96"/>
      <c r="F44" s="102"/>
      <c r="G44" s="6"/>
      <c r="H44" s="6"/>
      <c r="I44" s="6"/>
      <c r="J44" s="6"/>
      <c r="K44" s="49"/>
      <c r="N44"/>
      <c r="Y44" s="49"/>
      <c r="Z44" s="5"/>
    </row>
    <row r="45" spans="1:26" ht="14.25">
      <c r="A45" s="6"/>
      <c r="B45" s="103" t="s">
        <v>103</v>
      </c>
      <c r="C45" s="89">
        <v>1015914.63</v>
      </c>
      <c r="D45" s="101">
        <v>269077.9</v>
      </c>
      <c r="E45" s="96"/>
      <c r="F45" s="100"/>
      <c r="G45" s="96"/>
      <c r="H45" s="96"/>
      <c r="I45" s="96"/>
      <c r="J45" s="96"/>
      <c r="K45" s="49"/>
      <c r="N45"/>
      <c r="Y45" s="5"/>
      <c r="Z45" s="5"/>
    </row>
    <row r="46" spans="1:26" ht="14.25">
      <c r="A46" s="6"/>
      <c r="B46" s="103" t="s">
        <v>104</v>
      </c>
      <c r="C46" s="89">
        <v>179364.99</v>
      </c>
      <c r="D46" s="101">
        <v>62048.6</v>
      </c>
      <c r="E46" s="96"/>
      <c r="F46" s="100"/>
      <c r="G46" s="96"/>
      <c r="H46" s="96"/>
      <c r="I46" s="96"/>
      <c r="J46" s="96"/>
      <c r="K46" s="49"/>
      <c r="N46"/>
      <c r="Y46" s="5"/>
      <c r="Z46" s="5"/>
    </row>
    <row r="47" spans="1:26" ht="14.25">
      <c r="A47" s="6"/>
      <c r="B47" s="103" t="s">
        <v>105</v>
      </c>
      <c r="C47" s="89">
        <f>310151.92+0.36</f>
        <v>310152.27999999997</v>
      </c>
      <c r="D47" s="101">
        <v>139160.75</v>
      </c>
      <c r="E47" s="96"/>
      <c r="F47" s="100"/>
      <c r="G47" s="96"/>
      <c r="H47" s="96"/>
      <c r="I47" s="96"/>
      <c r="J47" s="96"/>
      <c r="K47" s="49"/>
      <c r="N47"/>
      <c r="Y47" s="5"/>
      <c r="Z47" s="5"/>
    </row>
    <row r="48" spans="1:26" ht="14.25">
      <c r="A48" s="6"/>
      <c r="B48" s="104"/>
      <c r="C48" s="105"/>
      <c r="D48" s="106"/>
      <c r="E48" s="96"/>
      <c r="F48" s="96"/>
      <c r="G48" s="96"/>
      <c r="H48" s="96"/>
      <c r="I48" s="96"/>
      <c r="J48" s="96"/>
      <c r="K48" s="49"/>
      <c r="N48"/>
      <c r="Y48" s="5"/>
      <c r="Z48" s="5"/>
    </row>
    <row r="49" spans="1:26" ht="14.25">
      <c r="A49" s="6"/>
      <c r="B49" s="107" t="s">
        <v>106</v>
      </c>
      <c r="C49" s="108">
        <f>SUM(C39:C47)</f>
        <v>4383064.11</v>
      </c>
      <c r="D49" s="108">
        <f>SUM(D39:D47)</f>
        <v>1419121.15</v>
      </c>
      <c r="E49" s="109"/>
      <c r="F49" s="544" t="str">
        <f ca="1">+IF((ROUND(C49,0)=ROUND(OFFSET(B33,0,RIGHT('Introducción de datos'!$C$16,LEN('Introducción de datos'!$C$16)-1),1,1),0)),"OK: Datos corresponden","Atención: Datos no corresponden")</f>
        <v>OK: Datos corresponden</v>
      </c>
      <c r="G49" s="544"/>
      <c r="H49" s="544"/>
      <c r="I49" s="544"/>
      <c r="J49" s="110"/>
      <c r="K49" s="110"/>
      <c r="L49" s="110"/>
      <c r="M49" s="111"/>
      <c r="N49" s="76"/>
      <c r="Y49" s="5"/>
      <c r="Z49" s="5"/>
    </row>
    <row r="50" spans="1:17" ht="15">
      <c r="A50" s="6"/>
      <c r="B50" s="112" t="s">
        <v>107</v>
      </c>
      <c r="C50" s="110"/>
      <c r="D50" s="110"/>
      <c r="E50" s="113"/>
      <c r="F50" s="110"/>
      <c r="G50" s="110"/>
      <c r="H50" s="110"/>
      <c r="I50" s="110"/>
      <c r="J50" s="110"/>
      <c r="K50" s="110"/>
      <c r="L50" s="110"/>
      <c r="M50" s="110"/>
      <c r="N50" s="110"/>
      <c r="O50" s="76"/>
      <c r="P50" s="61"/>
      <c r="Q50" s="62"/>
    </row>
    <row r="51" spans="1:17" ht="18.75">
      <c r="A51" s="6"/>
      <c r="B51" s="59" t="s">
        <v>108</v>
      </c>
      <c r="C51" s="6"/>
      <c r="D51" s="6"/>
      <c r="E51" s="6"/>
      <c r="F51" s="6"/>
      <c r="G51" s="6"/>
      <c r="H51" s="6"/>
      <c r="I51" s="6"/>
      <c r="J51" s="6"/>
      <c r="K51" s="6"/>
      <c r="L51" s="6"/>
      <c r="M51" s="6"/>
      <c r="O51" s="60"/>
      <c r="P51" s="61">
        <f>+J33</f>
        <v>0</v>
      </c>
      <c r="Q51" s="62"/>
    </row>
    <row r="52" spans="1:17" ht="14.25">
      <c r="A52" s="6"/>
      <c r="B52" s="6"/>
      <c r="C52" s="6"/>
      <c r="D52" s="6"/>
      <c r="E52" s="6"/>
      <c r="F52" s="6"/>
      <c r="G52" s="6"/>
      <c r="H52" s="6"/>
      <c r="I52" s="6"/>
      <c r="J52" s="6"/>
      <c r="K52" s="6"/>
      <c r="L52" s="6"/>
      <c r="M52" s="6"/>
      <c r="O52" s="60"/>
      <c r="P52" s="61">
        <f>+K33</f>
        <v>0</v>
      </c>
      <c r="Q52" s="62"/>
    </row>
    <row r="53" spans="1:28" ht="35.25" customHeight="1">
      <c r="A53" s="6"/>
      <c r="B53" s="114"/>
      <c r="C53" s="115" t="s">
        <v>109</v>
      </c>
      <c r="D53" s="115" t="s">
        <v>110</v>
      </c>
      <c r="E53" s="116" t="str">
        <f>CONCATENATE("Total gastado y desembolso (en ",D26,")")</f>
        <v>Total gastado y desembolso (en $)</v>
      </c>
      <c r="F53" s="6"/>
      <c r="G53" s="117"/>
      <c r="H53" s="85"/>
      <c r="I53" s="118"/>
      <c r="J53" s="118"/>
      <c r="K53" s="118"/>
      <c r="L53" s="118"/>
      <c r="M53" s="119"/>
      <c r="N53" s="119"/>
      <c r="O53" s="61">
        <f>+M33</f>
        <v>0</v>
      </c>
      <c r="P53" s="62"/>
      <c r="AB53" s="49"/>
    </row>
    <row r="54" spans="1:28" ht="14.25">
      <c r="A54" s="6"/>
      <c r="B54" s="120" t="s">
        <v>111</v>
      </c>
      <c r="C54" s="121">
        <v>0</v>
      </c>
      <c r="D54" s="122">
        <v>4383064.11</v>
      </c>
      <c r="E54" s="123">
        <f>+D54+C54</f>
        <v>4383064.11</v>
      </c>
      <c r="F54" s="6"/>
      <c r="G54" s="124"/>
      <c r="H54" s="125"/>
      <c r="I54" s="126"/>
      <c r="J54" s="127"/>
      <c r="K54" s="127"/>
      <c r="L54" s="128"/>
      <c r="M54" s="128"/>
      <c r="N54" s="128"/>
      <c r="O54" s="62"/>
      <c r="P54" s="62"/>
      <c r="AB54" s="49"/>
    </row>
    <row r="55" spans="1:28" ht="14.25">
      <c r="A55" s="6"/>
      <c r="B55" s="129" t="s">
        <v>112</v>
      </c>
      <c r="C55" s="121">
        <v>0</v>
      </c>
      <c r="D55" s="122">
        <v>3642154.97</v>
      </c>
      <c r="E55" s="123">
        <f>+D55+C55</f>
        <v>3642154.97</v>
      </c>
      <c r="F55" s="6"/>
      <c r="G55" s="130"/>
      <c r="H55" s="125"/>
      <c r="I55" s="126"/>
      <c r="J55" s="127"/>
      <c r="K55" s="127"/>
      <c r="L55" s="128"/>
      <c r="M55" s="131"/>
      <c r="N55" s="131"/>
      <c r="O55" s="62"/>
      <c r="P55" s="62"/>
      <c r="AB55" s="49"/>
    </row>
    <row r="56" spans="1:28" ht="14.25">
      <c r="A56" s="6"/>
      <c r="B56" s="132" t="s">
        <v>113</v>
      </c>
      <c r="C56" s="121"/>
      <c r="D56" s="122">
        <v>108584.79</v>
      </c>
      <c r="E56" s="133">
        <f>+D56+C56</f>
        <v>108584.79</v>
      </c>
      <c r="F56" s="6"/>
      <c r="G56" s="130"/>
      <c r="H56" s="125"/>
      <c r="I56" s="126"/>
      <c r="J56" s="127"/>
      <c r="K56" s="127"/>
      <c r="L56" s="128"/>
      <c r="M56" s="131"/>
      <c r="N56" s="131"/>
      <c r="O56" s="62"/>
      <c r="P56" s="62"/>
      <c r="AB56" s="49"/>
    </row>
    <row r="57" spans="1:28" ht="14.25">
      <c r="A57" s="6"/>
      <c r="B57" s="129" t="s">
        <v>114</v>
      </c>
      <c r="C57" s="121"/>
      <c r="D57" s="134">
        <v>632324.35</v>
      </c>
      <c r="E57" s="133">
        <f>+D57+C57</f>
        <v>632324.35</v>
      </c>
      <c r="F57" s="6"/>
      <c r="G57" s="130"/>
      <c r="H57" s="125"/>
      <c r="I57" s="126"/>
      <c r="J57" s="127"/>
      <c r="K57" s="127"/>
      <c r="L57" s="128"/>
      <c r="M57" s="131"/>
      <c r="N57" s="131"/>
      <c r="O57" s="62"/>
      <c r="P57" s="62"/>
      <c r="AB57" s="49"/>
    </row>
    <row r="58" spans="1:17" ht="18">
      <c r="A58" s="6"/>
      <c r="B58" s="59" t="s">
        <v>115</v>
      </c>
      <c r="C58" s="6"/>
      <c r="D58" s="6"/>
      <c r="E58" s="6"/>
      <c r="F58" s="6"/>
      <c r="G58" s="6"/>
      <c r="H58" s="6"/>
      <c r="I58" s="6"/>
      <c r="J58" s="6"/>
      <c r="K58" s="6"/>
      <c r="L58" s="6"/>
      <c r="M58" s="6"/>
      <c r="O58" s="60"/>
      <c r="P58" s="61">
        <f>+J40</f>
        <v>0</v>
      </c>
      <c r="Q58" s="62"/>
    </row>
    <row r="59" spans="1:28" ht="14.25">
      <c r="A59" s="6"/>
      <c r="B59" s="135" t="s">
        <v>116</v>
      </c>
      <c r="C59" s="135">
        <v>0</v>
      </c>
      <c r="D59" s="136">
        <v>2574371.44</v>
      </c>
      <c r="E59" s="123">
        <f aca="true" t="shared" si="3" ref="E59:E65">+D59+C59</f>
        <v>2574371.44</v>
      </c>
      <c r="F59" s="490"/>
      <c r="G59" s="124"/>
      <c r="H59" s="125"/>
      <c r="I59" s="126"/>
      <c r="J59" s="127"/>
      <c r="K59" s="127"/>
      <c r="L59" s="128"/>
      <c r="M59" s="128"/>
      <c r="N59" s="128"/>
      <c r="AB59" s="49"/>
    </row>
    <row r="60" spans="1:28" ht="14.25">
      <c r="A60" s="6"/>
      <c r="B60" s="135" t="s">
        <v>117</v>
      </c>
      <c r="C60" s="135">
        <v>0</v>
      </c>
      <c r="D60" s="136">
        <v>140560.32</v>
      </c>
      <c r="E60" s="123">
        <f t="shared" si="3"/>
        <v>140560.32</v>
      </c>
      <c r="F60" s="490"/>
      <c r="G60" s="124"/>
      <c r="H60" s="125"/>
      <c r="I60" s="126"/>
      <c r="J60" s="127"/>
      <c r="K60" s="127"/>
      <c r="L60" s="128"/>
      <c r="M60" s="128"/>
      <c r="N60" s="128"/>
      <c r="AB60" s="49"/>
    </row>
    <row r="61" spans="1:28" ht="14.25">
      <c r="A61" s="6"/>
      <c r="B61" s="135" t="s">
        <v>118</v>
      </c>
      <c r="C61" s="135">
        <v>0</v>
      </c>
      <c r="D61" s="136">
        <v>560436.01</v>
      </c>
      <c r="E61" s="133">
        <f t="shared" si="3"/>
        <v>560436.01</v>
      </c>
      <c r="F61" s="490"/>
      <c r="G61" s="124"/>
      <c r="H61" s="125"/>
      <c r="I61" s="126"/>
      <c r="J61" s="127"/>
      <c r="K61" s="127"/>
      <c r="L61" s="128"/>
      <c r="M61" s="128"/>
      <c r="N61" s="128"/>
      <c r="AB61" s="49"/>
    </row>
    <row r="62" spans="1:28" ht="14.25">
      <c r="A62" s="6"/>
      <c r="B62" s="135" t="s">
        <v>119</v>
      </c>
      <c r="C62" s="135"/>
      <c r="D62" s="136">
        <v>366787.2</v>
      </c>
      <c r="E62" s="133">
        <f t="shared" si="3"/>
        <v>366787.2</v>
      </c>
      <c r="F62" s="490"/>
      <c r="G62" s="124"/>
      <c r="H62" s="125"/>
      <c r="I62" s="126"/>
      <c r="J62" s="127"/>
      <c r="K62" s="127"/>
      <c r="L62" s="128"/>
      <c r="M62" s="128"/>
      <c r="N62" s="128"/>
      <c r="O62" s="62"/>
      <c r="P62" s="62"/>
      <c r="AB62" s="49"/>
    </row>
    <row r="63" spans="1:28" ht="14.25">
      <c r="A63" s="6"/>
      <c r="B63" s="135" t="s">
        <v>120</v>
      </c>
      <c r="C63" s="135">
        <v>0</v>
      </c>
      <c r="D63" s="136">
        <v>351337.41</v>
      </c>
      <c r="E63" s="123">
        <f t="shared" si="3"/>
        <v>351337.41</v>
      </c>
      <c r="F63" s="490"/>
      <c r="G63" s="130"/>
      <c r="H63" s="137"/>
      <c r="I63" s="138"/>
      <c r="J63" s="138"/>
      <c r="K63" s="138"/>
      <c r="L63" s="128"/>
      <c r="M63" s="131"/>
      <c r="N63" s="131"/>
      <c r="AB63" s="49"/>
    </row>
    <row r="64" spans="1:28" ht="14.25">
      <c r="A64" s="6"/>
      <c r="B64" s="135" t="s">
        <v>121</v>
      </c>
      <c r="C64" s="135">
        <v>0</v>
      </c>
      <c r="D64" s="136">
        <v>140560.32</v>
      </c>
      <c r="E64" s="123">
        <f t="shared" si="3"/>
        <v>140560.32</v>
      </c>
      <c r="F64" s="490"/>
      <c r="G64" s="130"/>
      <c r="H64" s="137"/>
      <c r="I64" s="138"/>
      <c r="J64" s="138"/>
      <c r="K64" s="138"/>
      <c r="L64" s="128"/>
      <c r="M64" s="131"/>
      <c r="N64" s="131"/>
      <c r="AB64" s="49"/>
    </row>
    <row r="65" spans="1:28" ht="14.25">
      <c r="A65" s="6"/>
      <c r="B65" s="139" t="s">
        <v>122</v>
      </c>
      <c r="C65" s="139">
        <v>0</v>
      </c>
      <c r="D65" s="136">
        <v>560436.01</v>
      </c>
      <c r="E65" s="133">
        <f t="shared" si="3"/>
        <v>560436.01</v>
      </c>
      <c r="F65" s="490"/>
      <c r="G65" s="130"/>
      <c r="H65" s="137"/>
      <c r="I65" s="138"/>
      <c r="J65" s="138"/>
      <c r="K65" s="138"/>
      <c r="L65" s="128"/>
      <c r="M65" s="131"/>
      <c r="N65" s="131"/>
      <c r="AB65" s="49"/>
    </row>
    <row r="66" spans="1:29" ht="15.75" customHeight="1">
      <c r="A66" s="6"/>
      <c r="B66" s="140"/>
      <c r="C66" s="141"/>
      <c r="D66" s="141"/>
      <c r="E66" s="142"/>
      <c r="F66" s="6"/>
      <c r="G66" s="6"/>
      <c r="H66" s="6"/>
      <c r="I66" s="6"/>
      <c r="J66" s="6"/>
      <c r="K66" s="6"/>
      <c r="L66" s="6"/>
      <c r="M66" s="6"/>
      <c r="AC66" s="49"/>
    </row>
    <row r="67" spans="1:29" ht="15.75" customHeight="1">
      <c r="A67" s="6"/>
      <c r="B67" s="143"/>
      <c r="C67" s="141"/>
      <c r="D67" s="141"/>
      <c r="E67" s="142"/>
      <c r="F67" s="6"/>
      <c r="G67" s="6"/>
      <c r="H67" s="6"/>
      <c r="I67" s="6"/>
      <c r="J67" s="6"/>
      <c r="K67" s="6"/>
      <c r="L67" s="6"/>
      <c r="M67" s="6"/>
      <c r="AC67" s="49"/>
    </row>
    <row r="68" spans="1:13" ht="14.25">
      <c r="A68" s="6"/>
      <c r="B68" s="6"/>
      <c r="C68" s="6"/>
      <c r="D68" s="144"/>
      <c r="E68" s="6"/>
      <c r="F68" s="6"/>
      <c r="G68" s="6"/>
      <c r="H68" s="6"/>
      <c r="I68" s="6"/>
      <c r="J68" s="6"/>
      <c r="K68" s="6"/>
      <c r="L68" s="6"/>
      <c r="M68" s="6"/>
    </row>
    <row r="69" spans="1:13" ht="18">
      <c r="A69" s="6"/>
      <c r="B69" s="59" t="s">
        <v>123</v>
      </c>
      <c r="C69" s="6"/>
      <c r="D69" s="145"/>
      <c r="E69" s="6"/>
      <c r="F69" s="6"/>
      <c r="G69" s="6"/>
      <c r="H69" s="6"/>
      <c r="I69" s="6"/>
      <c r="J69" s="6"/>
      <c r="K69" s="6"/>
      <c r="L69" s="6"/>
      <c r="M69" s="6"/>
    </row>
    <row r="70" spans="1:13" ht="14.25">
      <c r="A70" s="6"/>
      <c r="B70" s="6"/>
      <c r="C70" s="6"/>
      <c r="D70" s="6"/>
      <c r="E70" s="6"/>
      <c r="F70" s="6"/>
      <c r="G70" s="6"/>
      <c r="H70" s="6"/>
      <c r="I70" s="6"/>
      <c r="J70" s="6"/>
      <c r="K70" s="6"/>
      <c r="L70" s="6"/>
      <c r="M70" s="6"/>
    </row>
    <row r="71" spans="1:13" ht="14.25" customHeight="1">
      <c r="A71" s="6"/>
      <c r="B71" s="545" t="s">
        <v>124</v>
      </c>
      <c r="C71" s="545"/>
      <c r="D71" s="545"/>
      <c r="E71" s="6"/>
      <c r="F71" s="6"/>
      <c r="G71" s="6"/>
      <c r="H71" s="6"/>
      <c r="I71" s="6"/>
      <c r="J71" s="6"/>
      <c r="K71" s="6"/>
      <c r="L71" s="6"/>
      <c r="M71" s="5"/>
    </row>
    <row r="72" spans="1:13" ht="14.25">
      <c r="A72" s="6"/>
      <c r="B72" s="146"/>
      <c r="C72" s="147" t="s">
        <v>125</v>
      </c>
      <c r="D72" s="148" t="s">
        <v>126</v>
      </c>
      <c r="E72" s="6"/>
      <c r="F72" s="6"/>
      <c r="G72" s="6"/>
      <c r="H72" s="6"/>
      <c r="I72" s="6"/>
      <c r="J72" s="6"/>
      <c r="K72" s="6"/>
      <c r="L72" s="6"/>
      <c r="M72" s="5"/>
    </row>
    <row r="73" spans="1:13" ht="14.25">
      <c r="A73" s="6"/>
      <c r="B73" s="149" t="s">
        <v>127</v>
      </c>
      <c r="C73" s="150">
        <v>45</v>
      </c>
      <c r="D73" s="151">
        <v>45</v>
      </c>
      <c r="E73" s="6"/>
      <c r="F73" s="6"/>
      <c r="G73" s="6"/>
      <c r="H73" s="6"/>
      <c r="I73" s="6"/>
      <c r="J73" s="6"/>
      <c r="K73" s="6"/>
      <c r="L73" s="6"/>
      <c r="M73" s="5"/>
    </row>
    <row r="74" spans="1:13" ht="14.25">
      <c r="A74" s="6"/>
      <c r="B74" s="152" t="s">
        <v>128</v>
      </c>
      <c r="C74" s="150">
        <v>45</v>
      </c>
      <c r="D74" s="151">
        <v>27</v>
      </c>
      <c r="E74" s="6"/>
      <c r="F74" s="6"/>
      <c r="G74" s="6"/>
      <c r="H74" s="125"/>
      <c r="I74" s="125"/>
      <c r="J74" s="6"/>
      <c r="K74" s="6"/>
      <c r="L74" s="6"/>
      <c r="M74" s="5"/>
    </row>
    <row r="75" spans="1:13" ht="14.25">
      <c r="A75" s="6"/>
      <c r="B75" s="153" t="s">
        <v>129</v>
      </c>
      <c r="C75" s="154"/>
      <c r="D75" s="155"/>
      <c r="E75" s="6"/>
      <c r="F75" s="6"/>
      <c r="G75" s="6"/>
      <c r="H75" s="125"/>
      <c r="I75" s="125"/>
      <c r="J75" s="6"/>
      <c r="K75" s="6"/>
      <c r="L75" s="6"/>
      <c r="M75" s="5"/>
    </row>
    <row r="76" spans="1:13" ht="14.25">
      <c r="A76" s="6"/>
      <c r="B76" s="156"/>
      <c r="C76" s="6"/>
      <c r="D76" s="6"/>
      <c r="E76" s="6"/>
      <c r="F76" s="6"/>
      <c r="G76" s="6"/>
      <c r="H76" s="6"/>
      <c r="I76" s="6"/>
      <c r="J76" s="6"/>
      <c r="K76" s="6"/>
      <c r="L76" s="6"/>
      <c r="M76" s="6"/>
    </row>
    <row r="77" spans="1:24" ht="14.25">
      <c r="A77" s="6"/>
      <c r="B77" s="6"/>
      <c r="C77" s="6"/>
      <c r="D77" s="6"/>
      <c r="E77" s="6"/>
      <c r="F77" s="6"/>
      <c r="G77" s="6"/>
      <c r="H77" s="6"/>
      <c r="I77" s="6"/>
      <c r="J77" s="6"/>
      <c r="K77" s="6"/>
      <c r="L77" s="157"/>
      <c r="M77" s="6"/>
      <c r="W77" s="10"/>
      <c r="X77" s="10"/>
    </row>
    <row r="78" spans="1:24" ht="18">
      <c r="A78" s="6"/>
      <c r="B78" s="158" t="s">
        <v>130</v>
      </c>
      <c r="C78" s="159"/>
      <c r="D78" s="159"/>
      <c r="E78" s="159"/>
      <c r="F78" s="159"/>
      <c r="G78" s="159"/>
      <c r="H78" s="160" t="s">
        <v>131</v>
      </c>
      <c r="I78" s="159"/>
      <c r="J78" s="161"/>
      <c r="K78" s="161"/>
      <c r="L78" s="162"/>
      <c r="M78" s="163"/>
      <c r="N78" s="164"/>
      <c r="Q78" s="54"/>
      <c r="W78" s="10"/>
      <c r="X78" s="10"/>
    </row>
    <row r="79" spans="1:24" ht="18">
      <c r="A79" s="6"/>
      <c r="B79" s="165"/>
      <c r="C79" s="166"/>
      <c r="D79" s="166"/>
      <c r="E79" s="166"/>
      <c r="F79" s="166"/>
      <c r="G79" s="166"/>
      <c r="H79" s="166"/>
      <c r="I79" s="166"/>
      <c r="J79" s="166"/>
      <c r="K79" s="167"/>
      <c r="L79" s="167"/>
      <c r="M79" s="166"/>
      <c r="N79" s="164"/>
      <c r="Q79" s="54"/>
      <c r="W79" s="10"/>
      <c r="X79" s="10"/>
    </row>
    <row r="80" spans="1:24" ht="18">
      <c r="A80" s="6"/>
      <c r="B80" s="165" t="s">
        <v>132</v>
      </c>
      <c r="C80" s="166"/>
      <c r="D80" s="166"/>
      <c r="E80" s="166"/>
      <c r="F80" s="166"/>
      <c r="G80" s="166"/>
      <c r="H80" s="166"/>
      <c r="I80" s="166"/>
      <c r="J80" s="166"/>
      <c r="K80" s="167"/>
      <c r="L80" s="167"/>
      <c r="M80" s="166"/>
      <c r="N80" s="164"/>
      <c r="Q80" s="54"/>
      <c r="W80" s="10"/>
      <c r="X80" s="10"/>
    </row>
    <row r="81" spans="1:24" ht="14.25">
      <c r="A81" s="6"/>
      <c r="B81" s="168"/>
      <c r="C81" s="169"/>
      <c r="D81" s="169"/>
      <c r="E81" s="169"/>
      <c r="F81" s="169"/>
      <c r="G81" s="169"/>
      <c r="H81" s="168"/>
      <c r="I81" s="169"/>
      <c r="J81" s="168"/>
      <c r="K81" s="168"/>
      <c r="L81" s="168"/>
      <c r="M81" s="168"/>
      <c r="N81" s="49"/>
      <c r="O81" s="10"/>
      <c r="P81" s="10"/>
      <c r="Q81" s="10"/>
      <c r="X81" s="10"/>
    </row>
    <row r="82" spans="1:17" ht="42.75">
      <c r="A82" s="6"/>
      <c r="B82" s="546"/>
      <c r="C82" s="546"/>
      <c r="D82" s="170" t="s">
        <v>133</v>
      </c>
      <c r="E82" s="171" t="s">
        <v>134</v>
      </c>
      <c r="F82" s="171" t="s">
        <v>135</v>
      </c>
      <c r="G82" s="171" t="s">
        <v>136</v>
      </c>
      <c r="H82" s="172" t="s">
        <v>106</v>
      </c>
      <c r="I82" s="173"/>
      <c r="J82" s="96"/>
      <c r="K82" s="168"/>
      <c r="L82" s="168"/>
      <c r="M82" s="168"/>
      <c r="N82" s="49"/>
      <c r="O82" s="10"/>
      <c r="P82" s="10"/>
      <c r="Q82" s="10"/>
    </row>
    <row r="83" spans="1:17" ht="14.25">
      <c r="A83" s="6"/>
      <c r="B83" s="547" t="s">
        <v>137</v>
      </c>
      <c r="C83" s="547"/>
      <c r="D83" s="175">
        <v>3</v>
      </c>
      <c r="E83" s="176">
        <v>2</v>
      </c>
      <c r="F83" s="176">
        <v>1</v>
      </c>
      <c r="G83" s="176">
        <v>0</v>
      </c>
      <c r="H83" s="177">
        <f>SUM(E83:G83)</f>
        <v>3</v>
      </c>
      <c r="I83" s="178"/>
      <c r="J83" s="178"/>
      <c r="K83" s="168"/>
      <c r="L83" s="168"/>
      <c r="M83" s="168"/>
      <c r="N83" s="49"/>
      <c r="O83" s="10"/>
      <c r="P83" s="10"/>
      <c r="Q83" s="10"/>
    </row>
    <row r="84" spans="1:17" ht="14.25">
      <c r="A84" s="6"/>
      <c r="B84" s="548" t="s">
        <v>138</v>
      </c>
      <c r="C84" s="548"/>
      <c r="D84" s="180"/>
      <c r="E84" s="181"/>
      <c r="F84" s="181"/>
      <c r="G84" s="181"/>
      <c r="H84" s="182">
        <f>SUM(E84:G84)</f>
        <v>0</v>
      </c>
      <c r="I84" s="96"/>
      <c r="J84" s="96"/>
      <c r="K84" s="168"/>
      <c r="L84" s="168"/>
      <c r="M84" s="168"/>
      <c r="N84" s="10"/>
      <c r="O84" s="10"/>
      <c r="P84" s="10"/>
      <c r="Q84" s="10"/>
    </row>
    <row r="85" spans="1:17" ht="14.25">
      <c r="A85" s="6"/>
      <c r="B85" s="168"/>
      <c r="C85" s="168"/>
      <c r="D85" s="168"/>
      <c r="E85" s="168"/>
      <c r="F85" s="168"/>
      <c r="G85" s="168"/>
      <c r="H85" s="168"/>
      <c r="I85" s="168"/>
      <c r="J85" s="168"/>
      <c r="K85" s="168"/>
      <c r="L85" s="168"/>
      <c r="M85" s="168"/>
      <c r="N85" s="10"/>
      <c r="O85" s="10"/>
      <c r="P85" s="10"/>
      <c r="Q85" s="10"/>
    </row>
    <row r="86" spans="1:17" ht="14.25">
      <c r="A86" s="6"/>
      <c r="B86" s="168"/>
      <c r="C86" s="168"/>
      <c r="D86" s="168"/>
      <c r="E86" s="168"/>
      <c r="F86" s="168"/>
      <c r="G86" s="168"/>
      <c r="H86" s="168"/>
      <c r="I86" s="168"/>
      <c r="J86" s="168"/>
      <c r="K86" s="168"/>
      <c r="L86" s="168"/>
      <c r="M86" s="168"/>
      <c r="N86" s="10"/>
      <c r="Q86" s="10"/>
    </row>
    <row r="87" spans="1:17" ht="18">
      <c r="A87" s="6"/>
      <c r="B87" s="165" t="s">
        <v>139</v>
      </c>
      <c r="C87" s="168"/>
      <c r="D87" s="168"/>
      <c r="E87" s="168"/>
      <c r="F87" s="168"/>
      <c r="G87" s="168"/>
      <c r="H87" s="168"/>
      <c r="I87" s="168"/>
      <c r="J87" s="168"/>
      <c r="K87" s="168"/>
      <c r="L87" s="168"/>
      <c r="M87" s="168"/>
      <c r="N87" s="10"/>
      <c r="Q87" s="10"/>
    </row>
    <row r="88" spans="1:17" ht="14.25">
      <c r="A88" s="6"/>
      <c r="B88" s="168"/>
      <c r="C88" s="168"/>
      <c r="D88" s="168"/>
      <c r="E88" s="168"/>
      <c r="F88" s="168"/>
      <c r="G88" s="168"/>
      <c r="H88" s="168"/>
      <c r="I88" s="168"/>
      <c r="J88" s="168"/>
      <c r="K88" s="168"/>
      <c r="L88" s="168"/>
      <c r="M88" s="168"/>
      <c r="N88" s="10"/>
      <c r="Q88" s="10"/>
    </row>
    <row r="89" spans="1:17" ht="14.25">
      <c r="A89" s="6"/>
      <c r="B89" s="183"/>
      <c r="C89" s="184" t="s">
        <v>140</v>
      </c>
      <c r="D89" s="184" t="s">
        <v>141</v>
      </c>
      <c r="E89" s="185" t="s">
        <v>142</v>
      </c>
      <c r="F89" s="96"/>
      <c r="G89" s="96"/>
      <c r="H89" s="96"/>
      <c r="I89" s="173"/>
      <c r="J89" s="168"/>
      <c r="K89" s="168"/>
      <c r="L89" s="168"/>
      <c r="M89" s="168"/>
      <c r="N89" s="10"/>
      <c r="Q89" s="10"/>
    </row>
    <row r="90" spans="1:17" ht="14.25">
      <c r="A90" s="6"/>
      <c r="B90" s="179" t="s">
        <v>143</v>
      </c>
      <c r="C90" s="186">
        <v>5</v>
      </c>
      <c r="D90" s="186">
        <v>5</v>
      </c>
      <c r="E90" s="187">
        <f>+C90-D90</f>
        <v>0</v>
      </c>
      <c r="F90" s="188"/>
      <c r="G90" s="189"/>
      <c r="H90" s="96"/>
      <c r="I90" s="178"/>
      <c r="J90" s="168"/>
      <c r="K90" s="168"/>
      <c r="L90" s="168"/>
      <c r="M90" s="168"/>
      <c r="N90" s="10"/>
      <c r="Q90" s="10"/>
    </row>
    <row r="91" spans="1:17" ht="15">
      <c r="A91" s="6"/>
      <c r="B91" s="190"/>
      <c r="C91" s="168"/>
      <c r="D91" s="168"/>
      <c r="E91" s="168"/>
      <c r="F91" s="168"/>
      <c r="G91" s="168"/>
      <c r="H91" s="168"/>
      <c r="I91" s="168"/>
      <c r="J91" s="168"/>
      <c r="K91" s="168"/>
      <c r="L91" s="168"/>
      <c r="M91" s="168"/>
      <c r="N91" s="10"/>
      <c r="Q91" s="10"/>
    </row>
    <row r="92" spans="1:17" ht="18.75">
      <c r="A92" s="6"/>
      <c r="B92" s="165" t="s">
        <v>144</v>
      </c>
      <c r="C92" s="168"/>
      <c r="D92" s="168"/>
      <c r="E92" s="168"/>
      <c r="F92" s="168"/>
      <c r="G92" s="168"/>
      <c r="H92" s="168"/>
      <c r="I92" s="168"/>
      <c r="J92" s="168"/>
      <c r="K92" s="168"/>
      <c r="L92" s="168"/>
      <c r="M92" s="168"/>
      <c r="N92" s="10"/>
      <c r="Q92" s="10"/>
    </row>
    <row r="93" spans="1:17" ht="15">
      <c r="A93" s="6"/>
      <c r="B93" s="168"/>
      <c r="C93" s="168"/>
      <c r="D93" s="168"/>
      <c r="E93" s="168"/>
      <c r="F93" s="168"/>
      <c r="G93" s="168"/>
      <c r="H93" s="168"/>
      <c r="I93" s="168"/>
      <c r="J93" s="168"/>
      <c r="K93" s="168"/>
      <c r="L93" s="168"/>
      <c r="M93" s="168"/>
      <c r="N93" s="10"/>
      <c r="Q93" s="10"/>
    </row>
    <row r="94" spans="1:17" ht="30">
      <c r="A94" s="6"/>
      <c r="B94" s="183"/>
      <c r="C94" s="184" t="s">
        <v>145</v>
      </c>
      <c r="D94" s="184" t="s">
        <v>146</v>
      </c>
      <c r="E94" s="184" t="s">
        <v>147</v>
      </c>
      <c r="F94" s="184" t="s">
        <v>148</v>
      </c>
      <c r="G94" s="191" t="s">
        <v>149</v>
      </c>
      <c r="H94" s="192"/>
      <c r="I94" s="173"/>
      <c r="J94" s="168"/>
      <c r="K94" s="168"/>
      <c r="L94" s="168"/>
      <c r="M94" s="168"/>
      <c r="N94" s="10"/>
      <c r="Q94" s="10"/>
    </row>
    <row r="95" spans="1:17" ht="15">
      <c r="A95" s="6"/>
      <c r="B95" s="179" t="s">
        <v>150</v>
      </c>
      <c r="C95" s="186">
        <v>0</v>
      </c>
      <c r="D95" s="186">
        <v>0</v>
      </c>
      <c r="E95" s="186">
        <v>0</v>
      </c>
      <c r="F95" s="193">
        <v>0</v>
      </c>
      <c r="G95" s="194">
        <v>0</v>
      </c>
      <c r="H95" s="195"/>
      <c r="I95" s="100"/>
      <c r="J95" s="168"/>
      <c r="K95" s="168"/>
      <c r="L95" s="168"/>
      <c r="M95" s="168"/>
      <c r="N95" s="10"/>
      <c r="Q95" s="10"/>
    </row>
    <row r="96" spans="1:17" ht="14.25">
      <c r="A96" s="6"/>
      <c r="B96" s="196"/>
      <c r="C96" s="168"/>
      <c r="D96" s="168"/>
      <c r="E96" s="168"/>
      <c r="F96" s="168"/>
      <c r="G96" s="168"/>
      <c r="H96" s="168"/>
      <c r="J96" s="168"/>
      <c r="K96" s="168"/>
      <c r="L96" s="168"/>
      <c r="M96" s="168"/>
      <c r="N96" s="10"/>
      <c r="Q96" s="10"/>
    </row>
    <row r="97" spans="1:17" ht="18">
      <c r="A97" s="6"/>
      <c r="B97" s="165" t="s">
        <v>151</v>
      </c>
      <c r="C97" s="168"/>
      <c r="D97" s="168"/>
      <c r="E97" s="168"/>
      <c r="F97" s="168"/>
      <c r="G97" s="168"/>
      <c r="H97" s="168"/>
      <c r="I97" s="168"/>
      <c r="J97" s="168"/>
      <c r="K97" s="168"/>
      <c r="L97" s="168"/>
      <c r="M97" s="168"/>
      <c r="N97" s="10"/>
      <c r="Q97" s="10"/>
    </row>
    <row r="98" spans="1:17" ht="14.25">
      <c r="A98" s="6"/>
      <c r="B98" s="168"/>
      <c r="C98" s="168"/>
      <c r="D98" s="168"/>
      <c r="E98" s="168"/>
      <c r="F98" s="168"/>
      <c r="G98" s="168"/>
      <c r="H98" s="168"/>
      <c r="I98" s="168"/>
      <c r="J98" s="168"/>
      <c r="K98" s="168"/>
      <c r="L98" s="168"/>
      <c r="M98" s="168"/>
      <c r="N98" s="10"/>
      <c r="Q98" s="10"/>
    </row>
    <row r="99" spans="1:30" ht="14.25">
      <c r="A99" s="6"/>
      <c r="B99" s="183"/>
      <c r="C99" s="197" t="s">
        <v>152</v>
      </c>
      <c r="D99" s="197" t="s">
        <v>153</v>
      </c>
      <c r="E99" s="198" t="s">
        <v>154</v>
      </c>
      <c r="F99" s="168"/>
      <c r="G99" s="168"/>
      <c r="H99" s="168"/>
      <c r="I99" s="168"/>
      <c r="J99" s="10"/>
      <c r="K99" s="10"/>
      <c r="L99" s="10"/>
      <c r="N99"/>
      <c r="AA99" s="5"/>
      <c r="AD99"/>
    </row>
    <row r="100" spans="1:30" ht="14.25">
      <c r="A100" s="6"/>
      <c r="B100" s="174" t="s">
        <v>155</v>
      </c>
      <c r="C100" s="175">
        <v>0</v>
      </c>
      <c r="D100" s="199"/>
      <c r="E100" s="200">
        <f>C100-D100</f>
        <v>0</v>
      </c>
      <c r="F100" s="168"/>
      <c r="G100" s="168"/>
      <c r="H100" s="168"/>
      <c r="I100" s="168"/>
      <c r="J100" s="10"/>
      <c r="K100" s="10"/>
      <c r="L100" s="10"/>
      <c r="N100"/>
      <c r="AA100" s="5"/>
      <c r="AD100"/>
    </row>
    <row r="101" spans="1:30" ht="14.25">
      <c r="A101" s="6"/>
      <c r="B101" s="179" t="s">
        <v>156</v>
      </c>
      <c r="C101" s="201">
        <v>0</v>
      </c>
      <c r="D101" s="202"/>
      <c r="E101" s="200">
        <f>C101-D101</f>
        <v>0</v>
      </c>
      <c r="F101" s="168"/>
      <c r="G101" s="168"/>
      <c r="H101" s="168"/>
      <c r="I101" s="168"/>
      <c r="J101" s="10"/>
      <c r="K101" s="10"/>
      <c r="L101" s="10"/>
      <c r="N101"/>
      <c r="AA101" s="5"/>
      <c r="AD101"/>
    </row>
    <row r="102" spans="1:17" ht="14.25">
      <c r="A102" s="6"/>
      <c r="B102" s="203"/>
      <c r="C102" s="168"/>
      <c r="D102" s="168"/>
      <c r="E102" s="168"/>
      <c r="F102" s="168"/>
      <c r="G102" s="168"/>
      <c r="H102" s="168"/>
      <c r="I102" s="168"/>
      <c r="J102" s="168"/>
      <c r="K102" s="168"/>
      <c r="L102" s="168"/>
      <c r="M102" s="168"/>
      <c r="N102" s="10"/>
      <c r="Q102" s="10"/>
    </row>
    <row r="103" spans="1:17" ht="18">
      <c r="A103" s="6"/>
      <c r="B103" s="165" t="s">
        <v>157</v>
      </c>
      <c r="C103" s="168"/>
      <c r="D103" s="168"/>
      <c r="E103" s="168"/>
      <c r="F103" s="168"/>
      <c r="G103" s="168"/>
      <c r="H103" s="168"/>
      <c r="I103" s="168"/>
      <c r="J103" s="168"/>
      <c r="K103" s="168"/>
      <c r="L103" s="168"/>
      <c r="M103" s="168"/>
      <c r="N103" s="10"/>
      <c r="Q103" s="10"/>
    </row>
    <row r="104" spans="1:17" ht="14.25">
      <c r="A104" s="6"/>
      <c r="B104" s="168"/>
      <c r="C104" s="168"/>
      <c r="D104" s="168"/>
      <c r="E104" s="168"/>
      <c r="F104" s="168"/>
      <c r="G104" s="168"/>
      <c r="H104" s="168"/>
      <c r="I104" s="96"/>
      <c r="J104" s="96"/>
      <c r="K104" s="96"/>
      <c r="L104" s="96"/>
      <c r="M104" s="96"/>
      <c r="N104" s="49"/>
      <c r="Q104" s="10"/>
    </row>
    <row r="105" spans="1:17" ht="14.25">
      <c r="A105" s="6"/>
      <c r="B105" s="204"/>
      <c r="C105" s="205" t="s">
        <v>63</v>
      </c>
      <c r="D105" s="205" t="s">
        <v>82</v>
      </c>
      <c r="E105" s="205" t="s">
        <v>83</v>
      </c>
      <c r="F105" s="205" t="s">
        <v>84</v>
      </c>
      <c r="G105" s="205" t="s">
        <v>85</v>
      </c>
      <c r="H105" s="205" t="s">
        <v>86</v>
      </c>
      <c r="I105" s="205" t="s">
        <v>87</v>
      </c>
      <c r="J105" s="205" t="s">
        <v>88</v>
      </c>
      <c r="K105" s="205" t="s">
        <v>89</v>
      </c>
      <c r="L105" s="205" t="s">
        <v>90</v>
      </c>
      <c r="M105" s="205" t="s">
        <v>91</v>
      </c>
      <c r="N105" s="206" t="s">
        <v>92</v>
      </c>
      <c r="Q105" s="10"/>
    </row>
    <row r="106" spans="1:17" ht="15" customHeight="1">
      <c r="A106" s="6"/>
      <c r="B106" s="207" t="s">
        <v>158</v>
      </c>
      <c r="C106" s="208">
        <v>1004206</v>
      </c>
      <c r="D106" s="209"/>
      <c r="E106" s="209"/>
      <c r="F106" s="209"/>
      <c r="G106" s="209"/>
      <c r="H106" s="209"/>
      <c r="I106" s="209"/>
      <c r="J106" s="209"/>
      <c r="K106" s="210"/>
      <c r="L106" s="210"/>
      <c r="M106" s="210"/>
      <c r="N106" s="210"/>
      <c r="Q106" s="10"/>
    </row>
    <row r="107" spans="1:17" ht="15" customHeight="1">
      <c r="A107" s="6"/>
      <c r="B107" s="207" t="s">
        <v>159</v>
      </c>
      <c r="C107" s="208">
        <f>1465+43581.6</f>
        <v>45046.6</v>
      </c>
      <c r="D107" s="209"/>
      <c r="E107" s="209"/>
      <c r="F107" s="209"/>
      <c r="G107" s="209"/>
      <c r="H107" s="209"/>
      <c r="I107" s="209"/>
      <c r="J107" s="209"/>
      <c r="K107" s="210"/>
      <c r="L107" s="210"/>
      <c r="M107" s="210"/>
      <c r="N107" s="210"/>
      <c r="Q107" s="10"/>
    </row>
    <row r="108" spans="1:17" ht="15" customHeight="1">
      <c r="A108" s="6"/>
      <c r="B108" s="207" t="s">
        <v>160</v>
      </c>
      <c r="C108" s="208">
        <v>593326</v>
      </c>
      <c r="D108" s="209"/>
      <c r="E108" s="209"/>
      <c r="F108" s="209"/>
      <c r="G108" s="209"/>
      <c r="H108" s="209"/>
      <c r="I108" s="209"/>
      <c r="J108" s="209"/>
      <c r="K108" s="210"/>
      <c r="L108" s="210"/>
      <c r="M108" s="210"/>
      <c r="N108" s="210"/>
      <c r="Q108" s="10"/>
    </row>
    <row r="109" spans="1:17" ht="15" customHeight="1">
      <c r="A109" s="6"/>
      <c r="B109" s="211" t="s">
        <v>161</v>
      </c>
      <c r="C109" s="212">
        <f>+C106</f>
        <v>1004206</v>
      </c>
      <c r="D109" s="213">
        <f aca="true" t="shared" si="4" ref="D109:F111">+C109+D106</f>
        <v>1004206</v>
      </c>
      <c r="E109" s="213">
        <f t="shared" si="4"/>
        <v>1004206</v>
      </c>
      <c r="F109" s="213">
        <f t="shared" si="4"/>
        <v>1004206</v>
      </c>
      <c r="G109" s="213"/>
      <c r="H109" s="213"/>
      <c r="I109" s="213"/>
      <c r="J109" s="213"/>
      <c r="K109" s="213"/>
      <c r="L109" s="213">
        <f aca="true" t="shared" si="5" ref="L109:N111">+K109+L106</f>
        <v>0</v>
      </c>
      <c r="M109" s="214">
        <f t="shared" si="5"/>
        <v>0</v>
      </c>
      <c r="N109" s="214">
        <f t="shared" si="5"/>
        <v>0</v>
      </c>
      <c r="Q109" s="10"/>
    </row>
    <row r="110" spans="1:17" ht="15" customHeight="1">
      <c r="A110" s="6"/>
      <c r="B110" s="211" t="s">
        <v>162</v>
      </c>
      <c r="C110" s="212">
        <f>C107</f>
        <v>45046.6</v>
      </c>
      <c r="D110" s="213">
        <f t="shared" si="4"/>
        <v>45046.6</v>
      </c>
      <c r="E110" s="213">
        <f t="shared" si="4"/>
        <v>45046.6</v>
      </c>
      <c r="F110" s="213">
        <f t="shared" si="4"/>
        <v>45046.6</v>
      </c>
      <c r="G110" s="213"/>
      <c r="H110" s="213"/>
      <c r="I110" s="213"/>
      <c r="J110" s="213"/>
      <c r="K110" s="213"/>
      <c r="L110" s="213">
        <f t="shared" si="5"/>
        <v>0</v>
      </c>
      <c r="M110" s="214">
        <f t="shared" si="5"/>
        <v>0</v>
      </c>
      <c r="N110" s="214">
        <f t="shared" si="5"/>
        <v>0</v>
      </c>
      <c r="Q110" s="10"/>
    </row>
    <row r="111" spans="1:17" ht="14.25">
      <c r="A111" s="6"/>
      <c r="B111" s="215" t="s">
        <v>163</v>
      </c>
      <c r="C111" s="216">
        <f>+C108</f>
        <v>593326</v>
      </c>
      <c r="D111" s="213">
        <f t="shared" si="4"/>
        <v>593326</v>
      </c>
      <c r="E111" s="213">
        <f t="shared" si="4"/>
        <v>593326</v>
      </c>
      <c r="F111" s="213">
        <f t="shared" si="4"/>
        <v>593326</v>
      </c>
      <c r="G111" s="213"/>
      <c r="H111" s="213"/>
      <c r="I111" s="213"/>
      <c r="J111" s="213"/>
      <c r="K111" s="213"/>
      <c r="L111" s="213">
        <f t="shared" si="5"/>
        <v>0</v>
      </c>
      <c r="M111" s="214">
        <f t="shared" si="5"/>
        <v>0</v>
      </c>
      <c r="N111" s="214">
        <f t="shared" si="5"/>
        <v>0</v>
      </c>
      <c r="Q111" s="10"/>
    </row>
    <row r="112" spans="1:17" ht="14.25">
      <c r="A112" s="6"/>
      <c r="B112" s="6"/>
      <c r="C112" s="168"/>
      <c r="D112" s="168"/>
      <c r="E112" s="168"/>
      <c r="F112" s="168"/>
      <c r="G112" s="168"/>
      <c r="H112" s="168"/>
      <c r="I112" s="96"/>
      <c r="J112" s="217"/>
      <c r="K112" s="218"/>
      <c r="L112" s="96"/>
      <c r="M112" s="219"/>
      <c r="N112" s="49"/>
      <c r="Q112" s="10"/>
    </row>
    <row r="113" spans="1:17" ht="14.25">
      <c r="A113" s="6"/>
      <c r="B113" s="220" t="s">
        <v>164</v>
      </c>
      <c r="C113" s="168"/>
      <c r="D113" s="168"/>
      <c r="E113" s="168"/>
      <c r="F113" s="168"/>
      <c r="G113" s="168"/>
      <c r="H113" s="168"/>
      <c r="I113" s="96"/>
      <c r="J113" s="217"/>
      <c r="K113" s="218"/>
      <c r="L113" s="96"/>
      <c r="M113" s="219"/>
      <c r="N113" s="49"/>
      <c r="Q113" s="10"/>
    </row>
    <row r="114" spans="1:17" ht="14.25">
      <c r="A114" s="6"/>
      <c r="C114" s="168"/>
      <c r="D114" s="168"/>
      <c r="E114" s="168"/>
      <c r="F114" s="168"/>
      <c r="G114" s="168"/>
      <c r="H114" s="168"/>
      <c r="I114" s="96"/>
      <c r="J114" s="217"/>
      <c r="K114" s="219"/>
      <c r="L114" s="96"/>
      <c r="M114" s="219"/>
      <c r="N114" s="49"/>
      <c r="Q114" s="10"/>
    </row>
    <row r="115" spans="1:14" ht="14.25">
      <c r="A115" s="6"/>
      <c r="B115" s="6"/>
      <c r="C115" s="6"/>
      <c r="D115" s="6"/>
      <c r="E115" s="6"/>
      <c r="F115" s="6"/>
      <c r="G115" s="6"/>
      <c r="H115" s="6"/>
      <c r="I115" s="96"/>
      <c r="J115" s="96"/>
      <c r="K115" s="96"/>
      <c r="L115" s="96"/>
      <c r="M115" s="96"/>
      <c r="N115" s="49"/>
    </row>
    <row r="116" spans="1:14" ht="18">
      <c r="A116" s="6"/>
      <c r="B116" s="165" t="s">
        <v>165</v>
      </c>
      <c r="C116" s="6"/>
      <c r="D116" s="6"/>
      <c r="E116" s="6"/>
      <c r="F116" s="6"/>
      <c r="G116" s="6"/>
      <c r="H116" s="6"/>
      <c r="I116" s="96"/>
      <c r="J116" s="96"/>
      <c r="K116" s="96"/>
      <c r="L116" s="96"/>
      <c r="M116" s="96"/>
      <c r="N116" s="49"/>
    </row>
    <row r="117" spans="1:17" ht="14.25">
      <c r="A117" s="6"/>
      <c r="B117" s="6"/>
      <c r="C117" s="96"/>
      <c r="D117" s="96"/>
      <c r="E117" s="96"/>
      <c r="F117" s="96"/>
      <c r="G117" s="168"/>
      <c r="H117" s="168"/>
      <c r="I117" s="168"/>
      <c r="J117" s="96"/>
      <c r="K117" s="168"/>
      <c r="L117" s="96"/>
      <c r="M117" s="96"/>
      <c r="N117" s="49"/>
      <c r="O117" s="10"/>
      <c r="Q117" s="49"/>
    </row>
    <row r="118" spans="1:16" ht="70.5" customHeight="1">
      <c r="A118" s="6"/>
      <c r="B118" s="221" t="s">
        <v>166</v>
      </c>
      <c r="C118" s="222" t="s">
        <v>167</v>
      </c>
      <c r="D118" s="223" t="s">
        <v>168</v>
      </c>
      <c r="E118" s="223" t="s">
        <v>169</v>
      </c>
      <c r="F118" s="223" t="s">
        <v>170</v>
      </c>
      <c r="G118" s="223" t="s">
        <v>171</v>
      </c>
      <c r="H118" s="223" t="s">
        <v>172</v>
      </c>
      <c r="I118" s="223" t="s">
        <v>173</v>
      </c>
      <c r="J118" s="223" t="s">
        <v>174</v>
      </c>
      <c r="K118" s="224" t="s">
        <v>175</v>
      </c>
      <c r="L118" s="168"/>
      <c r="M118" s="49"/>
      <c r="N118" s="49"/>
      <c r="P118" s="49"/>
    </row>
    <row r="119" spans="1:16" ht="14.25">
      <c r="A119" s="6"/>
      <c r="B119" s="549" t="s">
        <v>50</v>
      </c>
      <c r="C119" s="225" t="s">
        <v>176</v>
      </c>
      <c r="D119" s="226">
        <v>1</v>
      </c>
      <c r="E119" s="227">
        <f>IF(ISBLANK(D119),"",D119*30)</f>
        <v>30</v>
      </c>
      <c r="F119" s="228">
        <v>1</v>
      </c>
      <c r="G119" s="229">
        <f>IF(AND(E119&gt;0,F119&gt;0),(F119*E119),"")</f>
        <v>30</v>
      </c>
      <c r="H119" s="230">
        <v>203</v>
      </c>
      <c r="I119" s="231">
        <f>IF(AND(G119&gt;0,H119&gt;0),H119/G119,"")</f>
        <v>6.766666666666667</v>
      </c>
      <c r="J119" s="226">
        <v>3</v>
      </c>
      <c r="K119" s="231">
        <f>IF(AND(I119&gt;0,J119&gt;0),I119-J119,"")</f>
        <v>3.7666666666666666</v>
      </c>
      <c r="L119" s="168"/>
      <c r="M119" s="49"/>
      <c r="N119" s="49"/>
      <c r="P119" s="49"/>
    </row>
    <row r="120" spans="1:14" ht="14.25">
      <c r="A120" s="6"/>
      <c r="B120" s="549"/>
      <c r="C120" s="225" t="s">
        <v>177</v>
      </c>
      <c r="D120" s="226">
        <v>1</v>
      </c>
      <c r="E120" s="227">
        <f>IF(ISBLANK(D120),"",D120*30)</f>
        <v>30</v>
      </c>
      <c r="F120" s="228">
        <v>1</v>
      </c>
      <c r="G120" s="229">
        <f>IF(AND(E120&gt;0,F120&gt;0),(F120*E120),"")</f>
        <v>30</v>
      </c>
      <c r="H120" s="230">
        <v>288</v>
      </c>
      <c r="I120" s="231">
        <f>IF(AND(G120&gt;0,H120&gt;0),H120/G120,"")</f>
        <v>9.6</v>
      </c>
      <c r="J120" s="226">
        <v>3</v>
      </c>
      <c r="K120" s="231">
        <f>IF(AND(I120&gt;0,J120&gt;0),I120-J120,"")</f>
        <v>6.6</v>
      </c>
      <c r="L120" s="168"/>
      <c r="M120" s="49"/>
      <c r="N120" s="49"/>
    </row>
    <row r="121" spans="1:16" ht="14.25">
      <c r="A121" s="6"/>
      <c r="B121" s="549"/>
      <c r="C121" s="225" t="s">
        <v>178</v>
      </c>
      <c r="D121" s="226">
        <v>2</v>
      </c>
      <c r="E121" s="227">
        <f>IF(ISBLANK(D121),"",D121*30)</f>
        <v>60</v>
      </c>
      <c r="F121" s="228">
        <v>1</v>
      </c>
      <c r="G121" s="229">
        <f>IF(AND(E121&gt;0,F121&gt;0),(F121*E121),"")</f>
        <v>60</v>
      </c>
      <c r="H121" s="230">
        <v>370</v>
      </c>
      <c r="I121" s="231">
        <f>IF(AND(G121&gt;0,H121&gt;0),H121/G121,"")</f>
        <v>6.166666666666667</v>
      </c>
      <c r="J121" s="226">
        <v>3</v>
      </c>
      <c r="K121" s="231">
        <f>IF(AND(I121&gt;0,J121&gt;0),I121-J121,"")</f>
        <v>3.166666666666667</v>
      </c>
      <c r="L121" s="168"/>
      <c r="M121" s="49"/>
      <c r="N121" s="49"/>
      <c r="P121" s="49"/>
    </row>
    <row r="122" spans="1:16" ht="14.25">
      <c r="A122" s="6"/>
      <c r="B122" s="549"/>
      <c r="C122" s="232" t="s">
        <v>179</v>
      </c>
      <c r="D122" s="233">
        <v>1</v>
      </c>
      <c r="E122" s="227">
        <f>IF(ISBLANK(D122),"",D122*30)</f>
        <v>30</v>
      </c>
      <c r="F122" s="228">
        <v>1</v>
      </c>
      <c r="G122" s="229">
        <f>IF(AND(E122&gt;0,F122&gt;0),(F122*E122),"")</f>
        <v>30</v>
      </c>
      <c r="H122" s="234">
        <v>170</v>
      </c>
      <c r="I122" s="231">
        <f>IF(AND(G122&gt;0,H122&gt;0),H122/G122,"")</f>
        <v>5.666666666666667</v>
      </c>
      <c r="J122" s="233">
        <v>3</v>
      </c>
      <c r="K122" s="231">
        <f>IF(AND(I122&gt;0,J122&gt;0),I122-J122,"")</f>
        <v>2.666666666666667</v>
      </c>
      <c r="L122" s="168"/>
      <c r="M122" s="49"/>
      <c r="N122" s="49"/>
      <c r="P122" s="49"/>
    </row>
    <row r="123" spans="1:16" ht="14.25">
      <c r="A123" s="6"/>
      <c r="B123" s="549"/>
      <c r="C123" s="235" t="s">
        <v>180</v>
      </c>
      <c r="D123" s="236">
        <v>2</v>
      </c>
      <c r="E123" s="227">
        <f>IF(ISBLANK(D123),"",D123*30)</f>
        <v>60</v>
      </c>
      <c r="F123" s="228">
        <v>1</v>
      </c>
      <c r="G123" s="229">
        <f>IF(AND(E123&gt;0,F123&gt;0),(F123*E123),"")</f>
        <v>60</v>
      </c>
      <c r="H123" s="234">
        <v>503</v>
      </c>
      <c r="I123" s="231">
        <f>IF(AND(G123&gt;0,H123&gt;0),H123/G123,"")</f>
        <v>8.383333333333333</v>
      </c>
      <c r="J123" s="233">
        <v>3</v>
      </c>
      <c r="K123" s="231">
        <f>IF(AND(I123&gt;0,J123&gt;0),I123-J123,"")</f>
        <v>5.383333333333333</v>
      </c>
      <c r="L123" s="168"/>
      <c r="M123" s="49"/>
      <c r="N123" s="49"/>
      <c r="P123" s="49"/>
    </row>
    <row r="124" spans="1:16" ht="14.25">
      <c r="A124" s="6"/>
      <c r="B124" s="549"/>
      <c r="C124" s="235"/>
      <c r="D124" s="236"/>
      <c r="E124" s="227"/>
      <c r="F124" s="228"/>
      <c r="G124" s="229"/>
      <c r="H124" s="234"/>
      <c r="I124" s="231"/>
      <c r="J124" s="233"/>
      <c r="K124" s="231"/>
      <c r="L124" s="168"/>
      <c r="M124" s="49"/>
      <c r="N124" s="49"/>
      <c r="P124" s="49"/>
    </row>
    <row r="125" spans="1:16" ht="14.25">
      <c r="A125" s="6"/>
      <c r="B125" s="549"/>
      <c r="C125" s="235"/>
      <c r="D125" s="236"/>
      <c r="E125" s="227"/>
      <c r="F125" s="228"/>
      <c r="G125" s="229"/>
      <c r="H125" s="234"/>
      <c r="I125" s="231"/>
      <c r="J125" s="233"/>
      <c r="K125" s="231"/>
      <c r="L125" s="168"/>
      <c r="M125" s="49"/>
      <c r="N125" s="49"/>
      <c r="P125" s="49"/>
    </row>
    <row r="126" spans="1:16" ht="14.25">
      <c r="A126" s="6"/>
      <c r="B126" s="549"/>
      <c r="C126" s="237" t="s">
        <v>181</v>
      </c>
      <c r="D126" s="238"/>
      <c r="E126" s="227">
        <f>IF(ISBLANK(D126),"",D126*30)</f>
      </c>
      <c r="F126" s="228"/>
      <c r="G126" s="229">
        <f>IF(AND(E126&gt;0,F126&gt;0),(F126*E126),"")</f>
      </c>
      <c r="H126" s="239"/>
      <c r="I126" s="231">
        <f>IF(AND(G126&gt;0,H126&gt;0),H126/G126,"")</f>
      </c>
      <c r="J126" s="238"/>
      <c r="K126" s="231">
        <f>IF(AND(I126&gt;0,J126&gt;0),I126-J126,"")</f>
      </c>
      <c r="L126" s="168"/>
      <c r="M126" s="49"/>
      <c r="N126" s="49"/>
      <c r="P126" s="49"/>
    </row>
    <row r="127" spans="1:17" ht="14.25">
      <c r="A127" s="6"/>
      <c r="B127" s="240"/>
      <c r="C127" s="6"/>
      <c r="D127" s="241"/>
      <c r="E127" s="6"/>
      <c r="F127" s="6"/>
      <c r="G127" s="168"/>
      <c r="H127" s="168"/>
      <c r="I127" s="168"/>
      <c r="J127" s="6"/>
      <c r="K127" s="6"/>
      <c r="L127" s="168"/>
      <c r="M127" s="168"/>
      <c r="N127" s="49"/>
      <c r="O127" s="10"/>
      <c r="Q127" s="49"/>
    </row>
    <row r="128" spans="1:13" ht="14.25">
      <c r="A128" s="6"/>
      <c r="B128" s="6"/>
      <c r="C128" s="6"/>
      <c r="D128" s="6"/>
      <c r="E128" s="6"/>
      <c r="F128" s="6"/>
      <c r="G128" s="6"/>
      <c r="H128" s="6"/>
      <c r="I128" s="168"/>
      <c r="J128" s="166"/>
      <c r="K128" s="166"/>
      <c r="L128" s="6"/>
      <c r="M128" s="6"/>
    </row>
    <row r="129" spans="1:15" ht="18">
      <c r="A129" s="6"/>
      <c r="B129" s="242" t="s">
        <v>182</v>
      </c>
      <c r="C129" s="243"/>
      <c r="D129" s="243"/>
      <c r="E129" s="244"/>
      <c r="F129" s="244"/>
      <c r="G129" s="244"/>
      <c r="H129" s="245"/>
      <c r="I129" s="246"/>
      <c r="J129" s="247"/>
      <c r="K129" s="248" t="s">
        <v>183</v>
      </c>
      <c r="L129" s="244"/>
      <c r="M129" s="249"/>
      <c r="N129" s="250"/>
      <c r="O129" s="5"/>
    </row>
    <row r="130" spans="1:15" ht="14.25">
      <c r="A130" s="6"/>
      <c r="B130" s="6"/>
      <c r="C130" s="6"/>
      <c r="D130" s="6"/>
      <c r="E130" s="6"/>
      <c r="F130" s="6"/>
      <c r="G130" s="6"/>
      <c r="H130" s="6"/>
      <c r="I130" s="6"/>
      <c r="J130" s="6"/>
      <c r="K130" s="6"/>
      <c r="L130" s="6"/>
      <c r="M130" s="6"/>
      <c r="N130"/>
      <c r="O130" s="5"/>
    </row>
    <row r="131" spans="1:17" ht="26.25">
      <c r="A131" s="6"/>
      <c r="B131" s="550" t="s">
        <v>184</v>
      </c>
      <c r="C131" s="550"/>
      <c r="D131" s="550"/>
      <c r="E131" s="251" t="s">
        <v>185</v>
      </c>
      <c r="F131" s="252" t="s">
        <v>186</v>
      </c>
      <c r="G131" s="253"/>
      <c r="H131" s="254" t="s">
        <v>63</v>
      </c>
      <c r="I131" s="254" t="s">
        <v>82</v>
      </c>
      <c r="J131" s="254" t="s">
        <v>83</v>
      </c>
      <c r="K131" s="254" t="s">
        <v>84</v>
      </c>
      <c r="L131" s="254" t="s">
        <v>85</v>
      </c>
      <c r="M131" s="254" t="s">
        <v>86</v>
      </c>
      <c r="N131" s="254" t="s">
        <v>87</v>
      </c>
      <c r="O131" s="254" t="s">
        <v>88</v>
      </c>
      <c r="P131" s="254" t="s">
        <v>89</v>
      </c>
      <c r="Q131" s="254" t="s">
        <v>90</v>
      </c>
    </row>
    <row r="132" spans="1:17" ht="14.25">
      <c r="A132" s="6"/>
      <c r="B132" s="255"/>
      <c r="C132" s="256"/>
      <c r="D132" s="256"/>
      <c r="E132" s="257"/>
      <c r="F132" s="258"/>
      <c r="G132" s="259"/>
      <c r="H132" s="260"/>
      <c r="I132" s="260"/>
      <c r="J132" s="260"/>
      <c r="K132" s="260"/>
      <c r="L132" s="260"/>
      <c r="M132" s="260"/>
      <c r="N132" s="260"/>
      <c r="O132" s="260"/>
      <c r="P132" s="260"/>
      <c r="Q132" s="261"/>
    </row>
    <row r="133" spans="1:17" ht="15" customHeight="1">
      <c r="A133" s="551" t="s">
        <v>187</v>
      </c>
      <c r="B133" s="552" t="s">
        <v>188</v>
      </c>
      <c r="C133" s="552"/>
      <c r="D133" s="552"/>
      <c r="E133" s="553">
        <v>1.2</v>
      </c>
      <c r="F133" s="555" t="s">
        <v>189</v>
      </c>
      <c r="G133" s="262" t="s">
        <v>190</v>
      </c>
      <c r="H133" s="263">
        <v>2322</v>
      </c>
      <c r="I133" s="263"/>
      <c r="J133" s="263"/>
      <c r="K133" s="264"/>
      <c r="L133" s="265"/>
      <c r="M133" s="266"/>
      <c r="N133" s="267"/>
      <c r="O133" s="267"/>
      <c r="P133" s="268"/>
      <c r="Q133" s="268"/>
    </row>
    <row r="134" spans="1:17" ht="14.25">
      <c r="A134" s="551"/>
      <c r="B134" s="552"/>
      <c r="C134" s="552"/>
      <c r="D134" s="552"/>
      <c r="E134" s="553"/>
      <c r="F134" s="555"/>
      <c r="G134" s="262" t="s">
        <v>191</v>
      </c>
      <c r="H134" s="263">
        <v>3030</v>
      </c>
      <c r="I134" s="263"/>
      <c r="J134" s="263"/>
      <c r="K134" s="264"/>
      <c r="L134" s="263"/>
      <c r="M134" s="266"/>
      <c r="N134" s="267"/>
      <c r="O134" s="267"/>
      <c r="P134" s="268"/>
      <c r="Q134" s="268"/>
    </row>
    <row r="135" spans="1:17" ht="15" customHeight="1">
      <c r="A135" s="551"/>
      <c r="B135" s="556" t="s">
        <v>192</v>
      </c>
      <c r="C135" s="556"/>
      <c r="D135" s="556"/>
      <c r="E135" s="553">
        <v>2.1</v>
      </c>
      <c r="F135" s="555" t="s">
        <v>189</v>
      </c>
      <c r="G135" s="269" t="s">
        <v>190</v>
      </c>
      <c r="H135" s="270">
        <v>0.9</v>
      </c>
      <c r="I135" s="263"/>
      <c r="J135" s="263"/>
      <c r="K135" s="264"/>
      <c r="L135" s="263"/>
      <c r="M135" s="266"/>
      <c r="N135" s="266"/>
      <c r="O135" s="266"/>
      <c r="P135" s="271"/>
      <c r="Q135" s="271"/>
    </row>
    <row r="136" spans="1:17" ht="14.25">
      <c r="A136" s="551"/>
      <c r="B136" s="556"/>
      <c r="C136" s="556"/>
      <c r="D136" s="556"/>
      <c r="E136" s="553"/>
      <c r="F136" s="555"/>
      <c r="G136" s="269" t="s">
        <v>191</v>
      </c>
      <c r="H136" s="270">
        <v>0.94</v>
      </c>
      <c r="I136" s="263"/>
      <c r="J136" s="263"/>
      <c r="K136" s="264"/>
      <c r="L136" s="263"/>
      <c r="M136" s="266"/>
      <c r="N136" s="266"/>
      <c r="O136" s="266"/>
      <c r="P136" s="271"/>
      <c r="Q136" s="271"/>
    </row>
    <row r="137" spans="1:17" ht="15" customHeight="1">
      <c r="A137" s="551"/>
      <c r="B137" s="554" t="s">
        <v>193</v>
      </c>
      <c r="C137" s="554"/>
      <c r="D137" s="554"/>
      <c r="E137" s="553">
        <v>2.2</v>
      </c>
      <c r="F137" s="555" t="s">
        <v>189</v>
      </c>
      <c r="G137" s="262" t="s">
        <v>190</v>
      </c>
      <c r="H137" s="272">
        <v>0.7</v>
      </c>
      <c r="I137" s="263"/>
      <c r="J137" s="263"/>
      <c r="K137" s="264"/>
      <c r="L137" s="263"/>
      <c r="M137" s="266"/>
      <c r="N137" s="267"/>
      <c r="O137" s="267"/>
      <c r="P137" s="268"/>
      <c r="Q137" s="268"/>
    </row>
    <row r="138" spans="1:17" ht="14.25">
      <c r="A138" s="551"/>
      <c r="B138" s="554"/>
      <c r="C138" s="554"/>
      <c r="D138" s="554"/>
      <c r="E138" s="553"/>
      <c r="F138" s="555"/>
      <c r="G138" s="262" t="s">
        <v>191</v>
      </c>
      <c r="H138" s="272">
        <v>0.233</v>
      </c>
      <c r="I138" s="263"/>
      <c r="J138" s="263"/>
      <c r="K138" s="264"/>
      <c r="L138" s="263"/>
      <c r="M138" s="273"/>
      <c r="N138" s="267"/>
      <c r="O138" s="267"/>
      <c r="P138" s="268"/>
      <c r="Q138" s="268"/>
    </row>
    <row r="139" spans="1:17" ht="15" customHeight="1">
      <c r="A139" s="6"/>
      <c r="B139" s="552" t="s">
        <v>194</v>
      </c>
      <c r="C139" s="552"/>
      <c r="D139" s="552"/>
      <c r="E139" s="553">
        <v>1.1</v>
      </c>
      <c r="F139" s="555" t="s">
        <v>189</v>
      </c>
      <c r="G139" s="269" t="s">
        <v>190</v>
      </c>
      <c r="H139" s="270">
        <v>1</v>
      </c>
      <c r="I139" s="263"/>
      <c r="J139" s="263"/>
      <c r="K139" s="264"/>
      <c r="L139" s="263"/>
      <c r="M139" s="266"/>
      <c r="N139" s="267"/>
      <c r="O139" s="267"/>
      <c r="P139" s="271"/>
      <c r="Q139" s="271"/>
    </row>
    <row r="140" spans="1:17" ht="14.25">
      <c r="A140" s="6"/>
      <c r="B140" s="552"/>
      <c r="C140" s="552"/>
      <c r="D140" s="552"/>
      <c r="E140" s="553"/>
      <c r="F140" s="555"/>
      <c r="G140" s="269" t="s">
        <v>191</v>
      </c>
      <c r="H140" s="272">
        <v>0.7143</v>
      </c>
      <c r="I140" s="263"/>
      <c r="J140" s="263"/>
      <c r="K140" s="264"/>
      <c r="L140" s="263"/>
      <c r="M140" s="273"/>
      <c r="N140" s="267"/>
      <c r="O140" s="267"/>
      <c r="P140" s="271"/>
      <c r="Q140" s="271"/>
    </row>
    <row r="141" spans="1:17" ht="15" customHeight="1">
      <c r="A141" s="6"/>
      <c r="B141" s="556"/>
      <c r="C141" s="556"/>
      <c r="D141" s="556"/>
      <c r="E141" s="553">
        <v>1.4</v>
      </c>
      <c r="F141" s="555" t="s">
        <v>189</v>
      </c>
      <c r="G141" s="269" t="s">
        <v>190</v>
      </c>
      <c r="H141" s="274"/>
      <c r="I141" s="263"/>
      <c r="J141" s="263"/>
      <c r="K141" s="264"/>
      <c r="L141" s="263"/>
      <c r="M141" s="266"/>
      <c r="N141" s="266"/>
      <c r="O141" s="266"/>
      <c r="P141" s="275"/>
      <c r="Q141" s="275"/>
    </row>
    <row r="142" spans="1:17" ht="14.25">
      <c r="A142" s="6"/>
      <c r="B142" s="556"/>
      <c r="C142" s="556"/>
      <c r="D142" s="556"/>
      <c r="E142" s="553"/>
      <c r="F142" s="555"/>
      <c r="G142" s="269" t="s">
        <v>191</v>
      </c>
      <c r="H142" s="276"/>
      <c r="I142" s="263"/>
      <c r="J142" s="263"/>
      <c r="K142" s="264"/>
      <c r="L142" s="263"/>
      <c r="M142" s="266"/>
      <c r="N142" s="266"/>
      <c r="O142" s="266"/>
      <c r="P142" s="275"/>
      <c r="Q142" s="275"/>
    </row>
    <row r="143" spans="1:17" ht="15" customHeight="1">
      <c r="A143" s="6"/>
      <c r="B143" s="552"/>
      <c r="C143" s="552"/>
      <c r="D143" s="552"/>
      <c r="E143" s="553">
        <v>1.3</v>
      </c>
      <c r="F143" s="555" t="s">
        <v>189</v>
      </c>
      <c r="G143" s="262" t="s">
        <v>190</v>
      </c>
      <c r="H143" s="277"/>
      <c r="I143" s="263"/>
      <c r="J143" s="263"/>
      <c r="K143" s="264"/>
      <c r="L143" s="263"/>
      <c r="M143" s="266"/>
      <c r="N143" s="267"/>
      <c r="O143" s="267"/>
      <c r="P143" s="268"/>
      <c r="Q143" s="268"/>
    </row>
    <row r="144" spans="1:17" ht="14.25">
      <c r="A144" s="6"/>
      <c r="B144" s="552"/>
      <c r="C144" s="552"/>
      <c r="D144" s="552"/>
      <c r="E144" s="553"/>
      <c r="F144" s="555"/>
      <c r="G144" s="262" t="s">
        <v>191</v>
      </c>
      <c r="H144" s="278"/>
      <c r="I144" s="263"/>
      <c r="J144" s="263"/>
      <c r="K144" s="264"/>
      <c r="L144" s="263"/>
      <c r="M144" s="273"/>
      <c r="N144" s="267"/>
      <c r="O144" s="267"/>
      <c r="P144" s="268"/>
      <c r="Q144" s="268"/>
    </row>
    <row r="145" spans="1:17" ht="14.25" customHeight="1">
      <c r="A145" s="6"/>
      <c r="B145" s="552"/>
      <c r="C145" s="552"/>
      <c r="D145" s="552"/>
      <c r="E145" s="553">
        <v>1.5</v>
      </c>
      <c r="F145" s="555" t="s">
        <v>189</v>
      </c>
      <c r="G145" s="262" t="s">
        <v>190</v>
      </c>
      <c r="H145" s="263"/>
      <c r="I145" s="263"/>
      <c r="J145" s="263"/>
      <c r="K145" s="264"/>
      <c r="L145" s="263"/>
      <c r="M145" s="266"/>
      <c r="N145" s="266"/>
      <c r="O145" s="266"/>
      <c r="P145" s="268"/>
      <c r="Q145" s="268"/>
    </row>
    <row r="146" spans="1:17" ht="14.25">
      <c r="A146" s="6"/>
      <c r="B146" s="552"/>
      <c r="C146" s="552"/>
      <c r="D146" s="552"/>
      <c r="E146" s="553"/>
      <c r="F146" s="555"/>
      <c r="G146" s="262" t="s">
        <v>191</v>
      </c>
      <c r="H146" s="263"/>
      <c r="I146" s="263"/>
      <c r="J146" s="263"/>
      <c r="K146" s="264"/>
      <c r="L146" s="263"/>
      <c r="M146" s="266"/>
      <c r="N146" s="266"/>
      <c r="O146" s="266"/>
      <c r="P146" s="268"/>
      <c r="Q146" s="268"/>
    </row>
    <row r="147" spans="1:17" ht="14.25" customHeight="1">
      <c r="A147" s="6"/>
      <c r="B147" s="556"/>
      <c r="C147" s="556"/>
      <c r="D147" s="556"/>
      <c r="E147" s="553">
        <v>1.6</v>
      </c>
      <c r="F147" s="555" t="s">
        <v>189</v>
      </c>
      <c r="G147" s="269" t="s">
        <v>190</v>
      </c>
      <c r="H147" s="263"/>
      <c r="I147" s="263"/>
      <c r="J147" s="263"/>
      <c r="K147" s="264"/>
      <c r="L147" s="263"/>
      <c r="M147" s="266"/>
      <c r="N147" s="267"/>
      <c r="O147" s="267"/>
      <c r="P147" s="275"/>
      <c r="Q147" s="275"/>
    </row>
    <row r="148" spans="1:17" ht="14.25">
      <c r="A148" s="6"/>
      <c r="B148" s="556"/>
      <c r="C148" s="556"/>
      <c r="D148" s="556"/>
      <c r="E148" s="553"/>
      <c r="F148" s="555"/>
      <c r="G148" s="269" t="s">
        <v>191</v>
      </c>
      <c r="H148" s="263"/>
      <c r="I148" s="263"/>
      <c r="J148" s="263"/>
      <c r="K148" s="264"/>
      <c r="L148" s="263"/>
      <c r="M148" s="273"/>
      <c r="N148" s="267"/>
      <c r="O148" s="267"/>
      <c r="P148" s="275"/>
      <c r="Q148" s="275"/>
    </row>
    <row r="149" spans="1:17" ht="14.25">
      <c r="A149" s="6"/>
      <c r="B149" s="240"/>
      <c r="C149" s="6"/>
      <c r="D149" s="6"/>
      <c r="E149" s="6"/>
      <c r="F149" s="6"/>
      <c r="G149" s="168"/>
      <c r="H149" s="6"/>
      <c r="I149" s="6"/>
      <c r="J149" s="6"/>
      <c r="K149" s="6"/>
      <c r="L149" s="6"/>
      <c r="M149" s="6"/>
      <c r="N149" s="6"/>
      <c r="P149" s="5"/>
      <c r="Q149" s="5"/>
    </row>
    <row r="150" spans="1:17" ht="14.25">
      <c r="A150" s="6"/>
      <c r="B150" s="240"/>
      <c r="C150" s="6"/>
      <c r="D150" s="6"/>
      <c r="E150" s="6"/>
      <c r="F150" s="6"/>
      <c r="G150" s="168"/>
      <c r="H150" s="6"/>
      <c r="I150" s="6"/>
      <c r="J150" s="6"/>
      <c r="K150" s="6"/>
      <c r="L150" s="6"/>
      <c r="M150" s="6"/>
      <c r="N150" s="6"/>
      <c r="P150" s="5"/>
      <c r="Q150" s="5"/>
    </row>
    <row r="151" spans="1:17" ht="26.25">
      <c r="A151" s="6"/>
      <c r="B151" s="279" t="s">
        <v>195</v>
      </c>
      <c r="C151" s="6"/>
      <c r="D151" s="6"/>
      <c r="E151" s="280" t="s">
        <v>185</v>
      </c>
      <c r="F151" s="281" t="s">
        <v>186</v>
      </c>
      <c r="G151" s="253"/>
      <c r="H151" s="254" t="str">
        <f aca="true" t="shared" si="6" ref="H151:N151">C30</f>
        <v>P1</v>
      </c>
      <c r="I151" s="254" t="str">
        <f t="shared" si="6"/>
        <v>P2</v>
      </c>
      <c r="J151" s="254" t="str">
        <f t="shared" si="6"/>
        <v>P3</v>
      </c>
      <c r="K151" s="254" t="str">
        <f t="shared" si="6"/>
        <v>P4</v>
      </c>
      <c r="L151" s="254" t="str">
        <f t="shared" si="6"/>
        <v>P5</v>
      </c>
      <c r="M151" s="254" t="str">
        <f t="shared" si="6"/>
        <v>P6</v>
      </c>
      <c r="N151" s="254" t="str">
        <f t="shared" si="6"/>
        <v>P7</v>
      </c>
      <c r="O151" s="254" t="str">
        <f>L30</f>
        <v>P10</v>
      </c>
      <c r="P151" s="254" t="str">
        <f>M30</f>
        <v>P11</v>
      </c>
      <c r="Q151" s="254" t="str">
        <f>N30</f>
        <v>P12</v>
      </c>
    </row>
    <row r="152" spans="1:17" ht="14.25" customHeight="1">
      <c r="A152" s="6"/>
      <c r="B152" s="560" t="str">
        <f>IF(ISBLANK(B133),"",(B133))</f>
        <v>DOTS-1a: Número de casos notificados de todas las formas de tuberculosis (confirmados bacteriológicamente y con diagnóstico clínico, casos nuevos y recaídas)</v>
      </c>
      <c r="C152" s="560"/>
      <c r="D152" s="560"/>
      <c r="E152" s="558">
        <f>IF(ISBLANK(E133),"",(E133))</f>
        <v>1.2</v>
      </c>
      <c r="F152" s="559" t="str">
        <f>IF(ISBLANK(F133),"",(F133))</f>
        <v>Yes</v>
      </c>
      <c r="G152" s="282" t="s">
        <v>190</v>
      </c>
      <c r="H152" s="283">
        <f aca="true" t="shared" si="7" ref="H152:H157">H133</f>
        <v>2322</v>
      </c>
      <c r="I152" s="283">
        <f aca="true" t="shared" si="8" ref="I152:I157">+I133</f>
        <v>0</v>
      </c>
      <c r="J152" s="283">
        <f>J139</f>
        <v>0</v>
      </c>
      <c r="K152" s="283">
        <f aca="true" t="shared" si="9" ref="K152:K157">+K133</f>
        <v>0</v>
      </c>
      <c r="L152" s="283">
        <f>L139</f>
        <v>0</v>
      </c>
      <c r="M152" s="283">
        <f aca="true" t="shared" si="10" ref="M152:M157">+M133</f>
        <v>0</v>
      </c>
      <c r="N152" s="284">
        <f aca="true" t="shared" si="11" ref="N152:N157">N133</f>
        <v>0</v>
      </c>
      <c r="O152" s="284">
        <f aca="true" t="shared" si="12" ref="O152:O157">O133</f>
        <v>0</v>
      </c>
      <c r="P152" s="284">
        <f aca="true" t="shared" si="13" ref="P152:P157">P133</f>
        <v>0</v>
      </c>
      <c r="Q152" s="284">
        <f aca="true" t="shared" si="14" ref="Q152:Q157">Q133</f>
        <v>0</v>
      </c>
    </row>
    <row r="153" spans="1:17" ht="14.25">
      <c r="A153" s="6"/>
      <c r="B153" s="560"/>
      <c r="C153" s="560"/>
      <c r="D153" s="560"/>
      <c r="E153" s="558"/>
      <c r="F153" s="559"/>
      <c r="G153" s="285" t="s">
        <v>191</v>
      </c>
      <c r="H153" s="283">
        <f t="shared" si="7"/>
        <v>3030</v>
      </c>
      <c r="I153" s="283">
        <f t="shared" si="8"/>
        <v>0</v>
      </c>
      <c r="J153" s="283">
        <f>J140</f>
        <v>0</v>
      </c>
      <c r="K153" s="283">
        <f t="shared" si="9"/>
        <v>0</v>
      </c>
      <c r="L153" s="283">
        <f>L140</f>
        <v>0</v>
      </c>
      <c r="M153" s="283">
        <f t="shared" si="10"/>
        <v>0</v>
      </c>
      <c r="N153" s="284">
        <f t="shared" si="11"/>
        <v>0</v>
      </c>
      <c r="O153" s="284">
        <f t="shared" si="12"/>
        <v>0</v>
      </c>
      <c r="P153" s="284">
        <f t="shared" si="13"/>
        <v>0</v>
      </c>
      <c r="Q153" s="284">
        <f t="shared" si="14"/>
        <v>0</v>
      </c>
    </row>
    <row r="154" spans="1:17" ht="14.25">
      <c r="A154" s="6"/>
      <c r="B154" s="561" t="str">
        <f>IF(ISBLANK(B135),"",(B135))</f>
        <v>DOTS-2b: Porcentaje de casos de tuberculosis confirmados bacteriológicamente que se han tratado con éxito (curados y con tratamiento completado) entre los casos de tuberculosis </v>
      </c>
      <c r="C154" s="561"/>
      <c r="D154" s="561"/>
      <c r="E154" s="562">
        <f>IF(ISBLANK(E135),"",(E135))</f>
        <v>2.1</v>
      </c>
      <c r="F154" s="563" t="str">
        <f>IF(ISBLANK(F135),"",(F135))</f>
        <v>Yes</v>
      </c>
      <c r="G154" s="286" t="s">
        <v>190</v>
      </c>
      <c r="H154" s="283">
        <f t="shared" si="7"/>
        <v>0.9</v>
      </c>
      <c r="I154" s="283">
        <f t="shared" si="8"/>
        <v>0</v>
      </c>
      <c r="J154" s="283">
        <f>J143</f>
        <v>0</v>
      </c>
      <c r="K154" s="283">
        <f t="shared" si="9"/>
        <v>0</v>
      </c>
      <c r="L154" s="287">
        <f>L143</f>
        <v>0</v>
      </c>
      <c r="M154" s="283">
        <f t="shared" si="10"/>
        <v>0</v>
      </c>
      <c r="N154" s="288">
        <f t="shared" si="11"/>
        <v>0</v>
      </c>
      <c r="O154" s="288">
        <f t="shared" si="12"/>
        <v>0</v>
      </c>
      <c r="P154" s="288">
        <f t="shared" si="13"/>
        <v>0</v>
      </c>
      <c r="Q154" s="288">
        <f t="shared" si="14"/>
        <v>0</v>
      </c>
    </row>
    <row r="155" spans="1:17" ht="14.25" customHeight="1">
      <c r="A155" s="6"/>
      <c r="B155" s="561"/>
      <c r="C155" s="561"/>
      <c r="D155" s="561"/>
      <c r="E155" s="562"/>
      <c r="F155" s="563"/>
      <c r="G155" s="286" t="s">
        <v>191</v>
      </c>
      <c r="H155" s="283">
        <f t="shared" si="7"/>
        <v>0.94</v>
      </c>
      <c r="I155" s="283">
        <f t="shared" si="8"/>
        <v>0</v>
      </c>
      <c r="J155" s="283">
        <f>J144</f>
        <v>0</v>
      </c>
      <c r="K155" s="283">
        <f t="shared" si="9"/>
        <v>0</v>
      </c>
      <c r="L155" s="287">
        <f>L144</f>
        <v>0</v>
      </c>
      <c r="M155" s="283">
        <f t="shared" si="10"/>
        <v>0</v>
      </c>
      <c r="N155" s="288">
        <f t="shared" si="11"/>
        <v>0</v>
      </c>
      <c r="O155" s="288">
        <f t="shared" si="12"/>
        <v>0</v>
      </c>
      <c r="P155" s="288">
        <f t="shared" si="13"/>
        <v>0</v>
      </c>
      <c r="Q155" s="288">
        <f t="shared" si="14"/>
        <v>0</v>
      </c>
    </row>
    <row r="156" spans="1:17" ht="14.25" customHeight="1">
      <c r="A156" s="6"/>
      <c r="B156" s="557" t="str">
        <f>IF(ISBLANK(B137),"",(B137))</f>
        <v>MDR TB-other1: Número y porcentaje de pacientes sospechosos de tuberculosis resistente a los fármacos (RR-TB y / o MDR-TB) que se sometieron a pruebas de sensibilidad </v>
      </c>
      <c r="C156" s="557"/>
      <c r="D156" s="557"/>
      <c r="E156" s="558">
        <f>IF(ISBLANK(E137),"",(E137))</f>
        <v>2.2</v>
      </c>
      <c r="F156" s="559" t="str">
        <f>IF(ISBLANK(F137),"",(F137))</f>
        <v>Yes</v>
      </c>
      <c r="G156" s="285" t="s">
        <v>190</v>
      </c>
      <c r="H156" s="283">
        <f t="shared" si="7"/>
        <v>0.7</v>
      </c>
      <c r="I156" s="283">
        <f t="shared" si="8"/>
        <v>0</v>
      </c>
      <c r="J156" s="283">
        <f>J141</f>
        <v>0</v>
      </c>
      <c r="K156" s="283">
        <f t="shared" si="9"/>
        <v>0</v>
      </c>
      <c r="L156" s="283">
        <f>L141</f>
        <v>0</v>
      </c>
      <c r="M156" s="283">
        <f t="shared" si="10"/>
        <v>0</v>
      </c>
      <c r="N156" s="284">
        <f t="shared" si="11"/>
        <v>0</v>
      </c>
      <c r="O156" s="284">
        <f t="shared" si="12"/>
        <v>0</v>
      </c>
      <c r="P156" s="284">
        <f t="shared" si="13"/>
        <v>0</v>
      </c>
      <c r="Q156" s="284">
        <f t="shared" si="14"/>
        <v>0</v>
      </c>
    </row>
    <row r="157" spans="1:17" ht="15" customHeight="1">
      <c r="A157" s="6"/>
      <c r="B157" s="557"/>
      <c r="C157" s="557"/>
      <c r="D157" s="557"/>
      <c r="E157" s="558"/>
      <c r="F157" s="559"/>
      <c r="G157" s="289" t="s">
        <v>191</v>
      </c>
      <c r="H157" s="290">
        <f t="shared" si="7"/>
        <v>0.233</v>
      </c>
      <c r="I157" s="283">
        <f t="shared" si="8"/>
        <v>0</v>
      </c>
      <c r="J157" s="290">
        <f>J142</f>
        <v>0</v>
      </c>
      <c r="K157" s="283">
        <f t="shared" si="9"/>
        <v>0</v>
      </c>
      <c r="L157" s="290">
        <f>L142</f>
        <v>0</v>
      </c>
      <c r="M157" s="283">
        <f t="shared" si="10"/>
        <v>0</v>
      </c>
      <c r="N157" s="284">
        <f t="shared" si="11"/>
        <v>0</v>
      </c>
      <c r="O157" s="284">
        <f t="shared" si="12"/>
        <v>0</v>
      </c>
      <c r="P157" s="284">
        <f t="shared" si="13"/>
        <v>0</v>
      </c>
      <c r="Q157" s="284">
        <f t="shared" si="14"/>
        <v>0</v>
      </c>
    </row>
  </sheetData>
  <sheetProtection selectLockedCells="1" selectUnlockedCells="1"/>
  <mergeCells count="66">
    <mergeCell ref="B156:D157"/>
    <mergeCell ref="E156:E157"/>
    <mergeCell ref="F156:F157"/>
    <mergeCell ref="B152:D153"/>
    <mergeCell ref="E152:E153"/>
    <mergeCell ref="F152:F153"/>
    <mergeCell ref="B154:D155"/>
    <mergeCell ref="E154:E155"/>
    <mergeCell ref="F154:F155"/>
    <mergeCell ref="B145:D146"/>
    <mergeCell ref="E145:E146"/>
    <mergeCell ref="F145:F146"/>
    <mergeCell ref="B147:D148"/>
    <mergeCell ref="E147:E148"/>
    <mergeCell ref="F147:F148"/>
    <mergeCell ref="B141:D142"/>
    <mergeCell ref="E141:E142"/>
    <mergeCell ref="F141:F142"/>
    <mergeCell ref="B143:D144"/>
    <mergeCell ref="E143:E144"/>
    <mergeCell ref="F143:F144"/>
    <mergeCell ref="F133:F134"/>
    <mergeCell ref="B135:D136"/>
    <mergeCell ref="E135:E136"/>
    <mergeCell ref="F135:F136"/>
    <mergeCell ref="F137:F138"/>
    <mergeCell ref="B139:D140"/>
    <mergeCell ref="E139:E140"/>
    <mergeCell ref="F139:F140"/>
    <mergeCell ref="B84:C84"/>
    <mergeCell ref="B119:B126"/>
    <mergeCell ref="B131:D131"/>
    <mergeCell ref="A133:A138"/>
    <mergeCell ref="B133:D134"/>
    <mergeCell ref="E133:E134"/>
    <mergeCell ref="B137:D138"/>
    <mergeCell ref="E137:E138"/>
    <mergeCell ref="B26:C26"/>
    <mergeCell ref="B29:N29"/>
    <mergeCell ref="F49:I49"/>
    <mergeCell ref="B71:D71"/>
    <mergeCell ref="B82:C82"/>
    <mergeCell ref="B83:C83"/>
    <mergeCell ref="B14:J14"/>
    <mergeCell ref="H16:I16"/>
    <mergeCell ref="B18:C18"/>
    <mergeCell ref="D18:F18"/>
    <mergeCell ref="B21:J21"/>
    <mergeCell ref="D24:E24"/>
    <mergeCell ref="G24:H24"/>
    <mergeCell ref="I24:J24"/>
    <mergeCell ref="C8:D8"/>
    <mergeCell ref="I8:J8"/>
    <mergeCell ref="C10:D10"/>
    <mergeCell ref="E10:F10"/>
    <mergeCell ref="G10:J10"/>
    <mergeCell ref="C12:D12"/>
    <mergeCell ref="E12:F12"/>
    <mergeCell ref="G12:J12"/>
    <mergeCell ref="B2:J2"/>
    <mergeCell ref="C4:D4"/>
    <mergeCell ref="E4:F4"/>
    <mergeCell ref="G4:J4"/>
    <mergeCell ref="C6:D6"/>
    <mergeCell ref="E6:F6"/>
    <mergeCell ref="I6:J6"/>
  </mergeCells>
  <conditionalFormatting sqref="C30:N30 C105:N105">
    <cfRule type="cellIs" priority="3" dxfId="37" operator="equal" stopIfTrue="1">
      <formula>$C$16</formula>
    </cfRule>
  </conditionalFormatting>
  <conditionalFormatting sqref="C12:D12">
    <cfRule type="cellIs" priority="4" dxfId="38" operator="equal" stopIfTrue="1">
      <formula>"C"</formula>
    </cfRule>
    <cfRule type="cellIs" priority="5" dxfId="39" operator="equal" stopIfTrue="1">
      <formula>"B2"</formula>
    </cfRule>
    <cfRule type="cellIs" priority="6" dxfId="40" operator="equal" stopIfTrue="1">
      <formula>"B1"</formula>
    </cfRule>
  </conditionalFormatting>
  <conditionalFormatting sqref="H151:Q151 H131:Q132">
    <cfRule type="cellIs" priority="7" dxfId="41" operator="equal" stopIfTrue="1">
      <formula>$C$16</formula>
    </cfRule>
  </conditionalFormatting>
  <conditionalFormatting sqref="F49:I49">
    <cfRule type="expression" priority="8" dxfId="42" stopIfTrue="1">
      <formula>LEFT($F$49,2)="OK"</formula>
    </cfRule>
  </conditionalFormatting>
  <dataValidations count="9">
    <dataValidation type="list" allowBlank="1" showErrorMessage="1" sqref="G6 B119">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9:C126">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50"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C45" sqref="C45"/>
    </sheetView>
  </sheetViews>
  <sheetFormatPr defaultColWidth="11.421875" defaultRowHeight="15"/>
  <cols>
    <col min="1" max="1" width="21.140625" style="6" customWidth="1"/>
    <col min="2" max="2" width="12.421875" style="6" customWidth="1"/>
    <col min="3" max="3" width="20.421875" style="6" customWidth="1"/>
    <col min="4" max="4" width="15.421875" style="6" customWidth="1"/>
    <col min="5" max="5" width="11.57421875" style="6" customWidth="1"/>
    <col min="6" max="6" width="18.574218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57421875" style="6" customWidth="1"/>
    <col min="14" max="14" width="8.421875" style="6" customWidth="1"/>
    <col min="15" max="15" width="7.140625" style="6" customWidth="1"/>
    <col min="16" max="16384" width="11.421875" style="6" customWidth="1"/>
  </cols>
  <sheetData>
    <row r="1" spans="1:10" ht="21" customHeight="1">
      <c r="A1" s="168"/>
      <c r="B1" s="168"/>
      <c r="C1" s="168"/>
      <c r="D1" s="168"/>
      <c r="E1" s="168"/>
      <c r="F1" s="168"/>
      <c r="G1" s="40"/>
      <c r="H1" s="168"/>
      <c r="I1" s="168"/>
      <c r="J1" s="168"/>
    </row>
    <row r="2" ht="25.5" customHeight="1"/>
    <row r="3" spans="2:20" ht="36">
      <c r="B3" s="564" t="str">
        <f>+"Tablero de mando: "&amp;" "&amp;+'Introducción de datos'!C4&amp;" - "&amp;+'Introducción de datos'!G6</f>
        <v>Tablero de mando:  El Salvador - TB</v>
      </c>
      <c r="C3" s="564"/>
      <c r="D3" s="564"/>
      <c r="E3" s="564"/>
      <c r="F3" s="564"/>
      <c r="G3" s="564"/>
      <c r="H3" s="564"/>
      <c r="I3" s="564"/>
      <c r="J3" s="564"/>
      <c r="K3" s="291"/>
      <c r="L3" s="291"/>
      <c r="M3" s="291"/>
      <c r="N3" s="292"/>
      <c r="O3" s="292"/>
      <c r="P3" s="292"/>
      <c r="Q3" s="292"/>
      <c r="R3" s="292"/>
      <c r="S3" s="292"/>
      <c r="T3" s="292"/>
    </row>
    <row r="4" spans="12:20" ht="15" customHeight="1">
      <c r="L4" s="292"/>
      <c r="M4" s="292"/>
      <c r="N4" s="292"/>
      <c r="O4" s="292"/>
      <c r="P4" s="292"/>
      <c r="Q4" s="292"/>
      <c r="R4" s="292"/>
      <c r="S4" s="292"/>
      <c r="T4" s="292"/>
    </row>
    <row r="5" spans="12:20" ht="14.25">
      <c r="L5" s="292"/>
      <c r="M5" s="292"/>
      <c r="N5" s="292"/>
      <c r="O5" s="292"/>
      <c r="P5" s="292"/>
      <c r="Q5" s="292"/>
      <c r="R5" s="292"/>
      <c r="S5" s="292"/>
      <c r="T5" s="292"/>
    </row>
    <row r="6" spans="1:21" ht="32.25" customHeight="1">
      <c r="A6" s="293" t="s">
        <v>43</v>
      </c>
      <c r="B6" s="565" t="str">
        <f>+'Introducción de datos'!C4</f>
        <v>El Salvador</v>
      </c>
      <c r="C6" s="565"/>
      <c r="D6" s="566" t="s">
        <v>45</v>
      </c>
      <c r="E6" s="566"/>
      <c r="F6" s="567" t="str">
        <f>+'Introducción de datos'!G4</f>
        <v>Financiamiento al PENM TB 2016 - 2020</v>
      </c>
      <c r="G6" s="567"/>
      <c r="H6" s="567"/>
      <c r="I6" s="567"/>
      <c r="J6" s="567"/>
      <c r="K6" s="294"/>
      <c r="L6" s="295"/>
      <c r="M6" s="294"/>
      <c r="N6" s="294"/>
      <c r="O6" s="294"/>
      <c r="P6" s="296"/>
      <c r="Q6" s="297"/>
      <c r="R6" s="297"/>
      <c r="S6" s="297"/>
      <c r="T6" s="297"/>
      <c r="U6" s="297"/>
    </row>
    <row r="7" spans="2:21" ht="8.25" customHeight="1">
      <c r="B7" s="298"/>
      <c r="C7" s="299"/>
      <c r="D7" s="299"/>
      <c r="E7" s="300"/>
      <c r="F7" s="300"/>
      <c r="G7" s="301"/>
      <c r="H7" s="301"/>
      <c r="K7" s="294"/>
      <c r="L7" s="294"/>
      <c r="M7" s="294"/>
      <c r="N7" s="294"/>
      <c r="O7" s="294"/>
      <c r="P7" s="296"/>
      <c r="Q7" s="297"/>
      <c r="R7" s="297"/>
      <c r="S7" s="297"/>
      <c r="T7" s="297"/>
      <c r="U7" s="297"/>
    </row>
    <row r="8" spans="3:21" ht="3.75" customHeight="1">
      <c r="C8" s="302"/>
      <c r="D8" s="302"/>
      <c r="E8" s="302"/>
      <c r="F8" s="302"/>
      <c r="G8" s="302"/>
      <c r="H8" s="302"/>
      <c r="I8" s="302"/>
      <c r="J8" s="302"/>
      <c r="K8" s="294"/>
      <c r="L8" s="294"/>
      <c r="M8" s="294"/>
      <c r="N8" s="294"/>
      <c r="O8" s="303"/>
      <c r="P8" s="296"/>
      <c r="Q8" s="303"/>
      <c r="R8" s="304"/>
      <c r="S8" s="297"/>
      <c r="T8" s="297"/>
      <c r="U8" s="297"/>
    </row>
    <row r="9" spans="1:24" ht="25.5" customHeight="1">
      <c r="A9" s="305" t="s">
        <v>49</v>
      </c>
      <c r="B9" s="306" t="str">
        <f>+'Introducción de datos'!G6</f>
        <v>TB</v>
      </c>
      <c r="C9" s="307" t="s">
        <v>47</v>
      </c>
      <c r="D9" s="308" t="str">
        <f>+'Introducción de datos'!C6</f>
        <v>SLV-T-MOH (880)</v>
      </c>
      <c r="E9" s="568" t="s">
        <v>196</v>
      </c>
      <c r="F9" s="568"/>
      <c r="G9" s="309">
        <f>+'Introducción de datos'!C10</f>
        <v>42370</v>
      </c>
      <c r="H9" s="305" t="s">
        <v>197</v>
      </c>
      <c r="I9" s="569">
        <f>+'Introducción de datos'!I6</f>
        <v>9950916</v>
      </c>
      <c r="J9" s="569"/>
      <c r="K9" s="294"/>
      <c r="L9" s="294"/>
      <c r="M9" s="294"/>
      <c r="N9" s="294"/>
      <c r="O9" s="303"/>
      <c r="P9" s="296"/>
      <c r="Q9" s="303"/>
      <c r="R9" s="304"/>
      <c r="S9" s="297"/>
      <c r="T9" s="310"/>
      <c r="U9" s="310"/>
      <c r="V9" s="302"/>
      <c r="W9" s="302"/>
      <c r="X9" s="302"/>
    </row>
    <row r="10" spans="1:21" ht="25.5" customHeight="1">
      <c r="A10" s="305" t="s">
        <v>198</v>
      </c>
      <c r="B10" s="311">
        <f>IF(ISBLANK('Introducción de datos'!G8),"",'Introducción de datos'!G8)</f>
      </c>
      <c r="C10" s="307" t="s">
        <v>199</v>
      </c>
      <c r="D10" s="312">
        <f>+'Introducción de datos'!I8</f>
        <v>0</v>
      </c>
      <c r="E10" s="568" t="s">
        <v>200</v>
      </c>
      <c r="F10" s="568"/>
      <c r="G10" s="570" t="str">
        <f>+'Introducción de datos'!C8</f>
        <v>Ministerio de Salud </v>
      </c>
      <c r="H10" s="570"/>
      <c r="I10" s="570"/>
      <c r="J10" s="570"/>
      <c r="K10" s="314"/>
      <c r="L10" s="314"/>
      <c r="M10" s="294"/>
      <c r="N10" s="314"/>
      <c r="O10" s="303"/>
      <c r="P10" s="296"/>
      <c r="Q10" s="310"/>
      <c r="R10" s="304"/>
      <c r="S10" s="297"/>
      <c r="T10" s="310"/>
      <c r="U10" s="310"/>
    </row>
    <row r="11" spans="1:21" ht="25.5" customHeight="1">
      <c r="A11" s="305" t="s">
        <v>201</v>
      </c>
      <c r="B11" s="313" t="str">
        <f>+'Introducción de datos'!C16</f>
        <v>P1</v>
      </c>
      <c r="C11" s="307" t="s">
        <v>202</v>
      </c>
      <c r="D11" s="315">
        <f>+'Introducción de datos'!E16</f>
        <v>42370</v>
      </c>
      <c r="E11" s="568" t="s">
        <v>203</v>
      </c>
      <c r="F11" s="568"/>
      <c r="G11" s="315" t="str">
        <f>+'Introducción de datos'!G16</f>
        <v>31 de dic 2016</v>
      </c>
      <c r="H11" s="305" t="s">
        <v>204</v>
      </c>
      <c r="I11" s="572" t="str">
        <f>+'Introducción de datos'!C12</f>
        <v>A2</v>
      </c>
      <c r="J11" s="572"/>
      <c r="K11" s="316"/>
      <c r="L11" s="314"/>
      <c r="M11" s="294"/>
      <c r="N11" s="314"/>
      <c r="O11" s="314"/>
      <c r="P11" s="296"/>
      <c r="Q11" s="310"/>
      <c r="R11" s="304"/>
      <c r="S11" s="297"/>
      <c r="T11" s="317"/>
      <c r="U11" s="310"/>
    </row>
    <row r="12" spans="1:24" ht="25.5" customHeight="1">
      <c r="A12" s="305" t="s">
        <v>55</v>
      </c>
      <c r="B12" s="570" t="str">
        <f>+'Introducción de datos'!G10</f>
        <v>Grupo Jacobs</v>
      </c>
      <c r="C12" s="570"/>
      <c r="D12" s="570"/>
      <c r="E12" s="568" t="s">
        <v>59</v>
      </c>
      <c r="F12" s="568"/>
      <c r="G12" s="570" t="str">
        <f>+'Introducción de datos'!G12</f>
        <v>Serena Buccini</v>
      </c>
      <c r="H12" s="570"/>
      <c r="I12" s="570"/>
      <c r="J12" s="570"/>
      <c r="K12" s="314"/>
      <c r="L12" s="314"/>
      <c r="M12" s="294"/>
      <c r="N12" s="314"/>
      <c r="O12" s="297"/>
      <c r="P12" s="296"/>
      <c r="Q12" s="310"/>
      <c r="R12" s="304"/>
      <c r="S12" s="297"/>
      <c r="T12" s="310"/>
      <c r="U12" s="318"/>
      <c r="V12" s="310"/>
      <c r="W12" s="317"/>
      <c r="X12" s="310"/>
    </row>
    <row r="13" spans="1:21" ht="25.5" customHeight="1">
      <c r="A13" s="305" t="s">
        <v>69</v>
      </c>
      <c r="B13" s="570" t="str">
        <f>+'Introducción de datos'!D18</f>
        <v>UCP/UFE/MINSAL.</v>
      </c>
      <c r="C13" s="570"/>
      <c r="D13" s="570"/>
      <c r="E13" s="568" t="s">
        <v>205</v>
      </c>
      <c r="F13" s="568"/>
      <c r="G13" s="571" t="str">
        <f>+'Introducción de datos'!J16</f>
        <v>2 de mayo de 17</v>
      </c>
      <c r="H13" s="571"/>
      <c r="I13" s="571"/>
      <c r="J13" s="571"/>
      <c r="K13" s="297"/>
      <c r="L13" s="319"/>
      <c r="M13" s="319"/>
      <c r="N13" s="319"/>
      <c r="O13" s="297"/>
      <c r="P13" s="319"/>
      <c r="Q13" s="319"/>
      <c r="R13" s="304"/>
      <c r="S13" s="297"/>
      <c r="T13" s="319"/>
      <c r="U13" s="320"/>
    </row>
  </sheetData>
  <sheetProtection selectLockedCells="1" selectUnlockedCells="1"/>
  <mergeCells count="16">
    <mergeCell ref="E10:F10"/>
    <mergeCell ref="G10:J10"/>
    <mergeCell ref="B13:D13"/>
    <mergeCell ref="E13:F13"/>
    <mergeCell ref="G13:J13"/>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S33"/>
  <sheetViews>
    <sheetView showGridLines="0" tabSelected="1" zoomScale="120" zoomScaleNormal="120" zoomScalePageLayoutView="0" workbookViewId="0" topLeftCell="A1">
      <selection activeCell="I32" sqref="I32"/>
    </sheetView>
  </sheetViews>
  <sheetFormatPr defaultColWidth="11.421875" defaultRowHeight="15"/>
  <cols>
    <col min="1" max="1" width="3.421875" style="0" customWidth="1"/>
    <col min="2" max="2" width="11.42187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57421875" style="0" customWidth="1"/>
  </cols>
  <sheetData>
    <row r="1" spans="2:11" ht="30.75" customHeight="1">
      <c r="B1" s="6"/>
      <c r="C1" s="6"/>
      <c r="D1" s="6"/>
      <c r="E1" s="6"/>
      <c r="F1" s="6"/>
      <c r="G1" s="6"/>
      <c r="H1" s="6"/>
      <c r="I1" s="6"/>
      <c r="J1" s="6"/>
      <c r="K1" s="6"/>
    </row>
    <row r="2" spans="2:15" ht="27.75" customHeight="1">
      <c r="B2" s="527" t="str">
        <f>+"Cuadro de mando:  "&amp;"  "&amp;+'Introducción de datos'!C4&amp;" - "&amp;'Introducción de datos'!G6</f>
        <v>Cuadro de mando:    El Salvador - TB</v>
      </c>
      <c r="C2" s="527"/>
      <c r="D2" s="527"/>
      <c r="E2" s="527"/>
      <c r="F2" s="527"/>
      <c r="G2" s="527"/>
      <c r="H2" s="527"/>
      <c r="I2" s="527"/>
      <c r="J2" s="527"/>
      <c r="K2" s="527"/>
      <c r="L2" s="321"/>
      <c r="M2" s="321"/>
      <c r="N2" s="321"/>
      <c r="O2" s="321"/>
    </row>
    <row r="3" spans="2:12" ht="14.25">
      <c r="B3" s="322">
        <f>+'Introducción de datos'!G8</f>
        <v>0</v>
      </c>
      <c r="C3" s="573">
        <f>+'Introducción de datos'!I8</f>
        <v>0</v>
      </c>
      <c r="D3" s="573"/>
      <c r="E3" s="574"/>
      <c r="F3" s="574"/>
      <c r="G3" s="574"/>
      <c r="H3" s="574"/>
      <c r="I3" s="575" t="str">
        <f>+'Introducción de datos'!B16</f>
        <v>Periodo:</v>
      </c>
      <c r="J3" s="575"/>
      <c r="K3" s="324" t="str">
        <f>+'Introducción de datos'!C16</f>
        <v>P1</v>
      </c>
      <c r="L3" s="325"/>
    </row>
    <row r="4" spans="2:11" ht="14.25">
      <c r="B4" s="322" t="str">
        <f>+'Introducción de datos'!B12</f>
        <v>Ultima calificación:</v>
      </c>
      <c r="C4" s="576" t="str">
        <f>+'Introducción de datos'!C12</f>
        <v>A2</v>
      </c>
      <c r="D4" s="576"/>
      <c r="E4" s="574" t="str">
        <f>+'Introducción de datos'!C8</f>
        <v>Ministerio de Salud </v>
      </c>
      <c r="F4" s="574"/>
      <c r="G4" s="574"/>
      <c r="H4" s="574"/>
      <c r="I4" s="575" t="str">
        <f>+'Introducción de datos'!D16</f>
        <v>Desde:</v>
      </c>
      <c r="J4" s="575"/>
      <c r="K4" s="326">
        <f>+'Introducción de datos'!E16</f>
        <v>42370</v>
      </c>
    </row>
    <row r="5" spans="2:11" ht="18.75" customHeight="1">
      <c r="B5" s="322"/>
      <c r="C5" s="322"/>
      <c r="D5" s="577" t="str">
        <f>+'Introducción de datos'!G4</f>
        <v>Financiamiento al PENM TB 2016 - 2020</v>
      </c>
      <c r="E5" s="577"/>
      <c r="F5" s="577"/>
      <c r="G5" s="577"/>
      <c r="H5" s="577"/>
      <c r="I5" s="577"/>
      <c r="J5" s="322" t="str">
        <f>+'Introducción de datos'!F16</f>
        <v>Hasta:</v>
      </c>
      <c r="K5" s="326" t="str">
        <f>+'Introducción de datos'!G16</f>
        <v>31 de dic 2016</v>
      </c>
    </row>
    <row r="6" spans="2:11" ht="18">
      <c r="B6" s="327"/>
      <c r="C6" s="322"/>
      <c r="D6" s="328"/>
      <c r="E6" s="578" t="s">
        <v>206</v>
      </c>
      <c r="F6" s="578"/>
      <c r="G6" s="578"/>
      <c r="H6" s="578"/>
      <c r="I6" s="6"/>
      <c r="J6" s="6"/>
      <c r="K6" s="6"/>
    </row>
    <row r="7" spans="2:11" ht="10.5" customHeight="1">
      <c r="B7" s="329"/>
      <c r="C7" s="323"/>
      <c r="D7" s="328"/>
      <c r="E7" s="330"/>
      <c r="F7" s="330"/>
      <c r="G7" s="331"/>
      <c r="H7" s="331"/>
      <c r="I7" s="332"/>
      <c r="J7" s="332"/>
      <c r="K7" s="333"/>
    </row>
    <row r="8" spans="2:14" ht="14.25">
      <c r="B8" s="334" t="str">
        <f>+'Introducción de datos'!B27&amp;" - en ("&amp;'Introducción de datos'!D26&amp;")         "&amp;+I3&amp;" "&amp;+K3</f>
        <v>F1: Presupuesto y desembolsos del Fondo Mundial - en ($)         Periodo: P1</v>
      </c>
      <c r="C8" s="335"/>
      <c r="D8" s="168"/>
      <c r="E8" s="168"/>
      <c r="F8" s="168"/>
      <c r="H8" s="334" t="str">
        <f>+'Introducción de datos'!B51&amp;" - en ("&amp;'Introducción de datos'!D26&amp;")         "&amp;+I3&amp;" "&amp;+K3</f>
        <v>F3: Desembolsos y gastos - en ($)         Periodo: P1</v>
      </c>
      <c r="I8" s="6"/>
      <c r="J8" s="6"/>
      <c r="K8" s="6"/>
      <c r="N8" s="334" t="str">
        <f>+'Introducción de datos'!B58&amp;" - en ("&amp;'Introducción de datos'!D26&amp;")         "&amp;+I3&amp;" "&amp;+K3</f>
        <v>F3a: Detalles Desembolsos y gastos - en ($)         Periodo: P1</v>
      </c>
    </row>
    <row r="9" spans="2:19" ht="81" customHeight="1">
      <c r="B9" s="336" t="s">
        <v>207</v>
      </c>
      <c r="C9" s="579" t="s">
        <v>365</v>
      </c>
      <c r="D9" s="579"/>
      <c r="E9" s="579"/>
      <c r="F9" s="579"/>
      <c r="H9" s="337" t="s">
        <v>207</v>
      </c>
      <c r="I9" s="580" t="s">
        <v>366</v>
      </c>
      <c r="J9" s="580"/>
      <c r="K9" s="580"/>
      <c r="L9" s="580"/>
      <c r="M9" s="580"/>
      <c r="N9" s="338" t="s">
        <v>207</v>
      </c>
      <c r="O9" s="581" t="s">
        <v>367</v>
      </c>
      <c r="P9" s="581"/>
      <c r="Q9" s="581"/>
      <c r="R9" s="581"/>
      <c r="S9" s="581"/>
    </row>
    <row r="10" spans="2:11" ht="14.25">
      <c r="B10" s="168"/>
      <c r="C10" s="168"/>
      <c r="D10" s="168"/>
      <c r="E10" s="168"/>
      <c r="F10" s="168"/>
      <c r="G10" s="6"/>
      <c r="H10" s="6"/>
      <c r="I10" s="6"/>
      <c r="J10" s="6"/>
      <c r="K10" s="6"/>
    </row>
    <row r="11" spans="2:11" ht="14.25">
      <c r="B11" s="168"/>
      <c r="C11" s="168"/>
      <c r="D11" s="168"/>
      <c r="E11" s="168"/>
      <c r="F11" s="168"/>
      <c r="G11" s="6"/>
      <c r="H11" s="6"/>
      <c r="I11" s="6"/>
      <c r="J11" s="6"/>
      <c r="K11" s="6"/>
    </row>
    <row r="12" spans="2:11" ht="14.25">
      <c r="B12" s="168"/>
      <c r="C12" s="168"/>
      <c r="D12" s="168"/>
      <c r="E12" s="168"/>
      <c r="F12" s="168"/>
      <c r="G12" s="6"/>
      <c r="H12" s="6"/>
      <c r="I12" s="6"/>
      <c r="J12" s="6"/>
      <c r="K12" s="6"/>
    </row>
    <row r="13" spans="2:11" ht="14.25">
      <c r="B13" s="168"/>
      <c r="C13" s="168"/>
      <c r="D13" s="168"/>
      <c r="E13" s="168"/>
      <c r="F13" s="168"/>
      <c r="G13" s="6"/>
      <c r="H13" s="6"/>
      <c r="I13" s="6"/>
      <c r="J13" s="6"/>
      <c r="K13" s="6"/>
    </row>
    <row r="14" spans="2:11" ht="14.25">
      <c r="B14" s="168"/>
      <c r="C14" s="168"/>
      <c r="D14" s="168"/>
      <c r="E14" s="168"/>
      <c r="F14" s="168"/>
      <c r="G14" s="6"/>
      <c r="H14" s="6"/>
      <c r="I14" s="6"/>
      <c r="J14" s="6"/>
      <c r="K14" s="6"/>
    </row>
    <row r="15" spans="2:13" ht="14.25">
      <c r="B15" s="168"/>
      <c r="C15" s="168"/>
      <c r="D15" s="168"/>
      <c r="E15" s="168"/>
      <c r="F15" s="168"/>
      <c r="G15" s="6"/>
      <c r="H15" s="6"/>
      <c r="I15" s="6"/>
      <c r="J15" s="6"/>
      <c r="K15" s="6"/>
      <c r="M15" s="339" t="s">
        <v>208</v>
      </c>
    </row>
    <row r="16" spans="2:13" ht="14.25">
      <c r="B16" s="168"/>
      <c r="C16" s="168"/>
      <c r="D16" s="168"/>
      <c r="E16" s="168"/>
      <c r="F16" s="168"/>
      <c r="G16" s="6"/>
      <c r="H16" s="6"/>
      <c r="I16" s="6"/>
      <c r="J16" s="6"/>
      <c r="K16" s="6"/>
      <c r="M16" s="339" t="s">
        <v>209</v>
      </c>
    </row>
    <row r="17" spans="2:11" ht="14.25">
      <c r="B17" s="168"/>
      <c r="C17" s="168"/>
      <c r="D17" s="168"/>
      <c r="E17" s="168"/>
      <c r="F17" s="168"/>
      <c r="G17" s="6"/>
      <c r="H17" s="6"/>
      <c r="I17" s="6"/>
      <c r="J17" s="6"/>
      <c r="K17" s="6"/>
    </row>
    <row r="18" spans="2:11" ht="14.25">
      <c r="B18" s="168"/>
      <c r="C18" s="168"/>
      <c r="D18" s="168"/>
      <c r="E18" s="168"/>
      <c r="F18" s="168"/>
      <c r="G18" s="6"/>
      <c r="H18" s="6"/>
      <c r="I18" s="6"/>
      <c r="J18" s="6"/>
      <c r="K18" s="6"/>
    </row>
    <row r="19" spans="2:11" ht="14.25">
      <c r="B19" s="168"/>
      <c r="C19" s="168"/>
      <c r="D19" s="168"/>
      <c r="E19" s="168"/>
      <c r="F19" s="168"/>
      <c r="G19" s="6"/>
      <c r="H19" s="6"/>
      <c r="I19" s="6"/>
      <c r="J19" s="6"/>
      <c r="K19" s="6"/>
    </row>
    <row r="20" spans="2:11" ht="14.25">
      <c r="B20" s="168"/>
      <c r="C20" s="168"/>
      <c r="D20" s="168"/>
      <c r="E20" s="168"/>
      <c r="F20" s="168"/>
      <c r="G20" s="6"/>
      <c r="H20" s="6"/>
      <c r="I20" s="6"/>
      <c r="J20" s="6"/>
      <c r="K20" s="6"/>
    </row>
    <row r="21" spans="1:11" ht="24" customHeight="1">
      <c r="A21" s="10"/>
      <c r="B21" s="10"/>
      <c r="C21" s="10"/>
      <c r="D21" s="10"/>
      <c r="E21" s="10"/>
      <c r="F21" s="10"/>
      <c r="G21" s="10"/>
      <c r="H21" s="10"/>
      <c r="I21" s="10"/>
      <c r="J21" s="10"/>
      <c r="K21" s="10"/>
    </row>
    <row r="22" spans="2:11" ht="23.25" customHeight="1">
      <c r="B22" s="340" t="str">
        <f>+'Introducción de datos'!B36&amp;" - en ("&amp;'Introducción de datos'!D26&amp;")  "&amp;+I3&amp;" "&amp;+K3</f>
        <v>F2: Presupuesto y gastos reales por estrategias de la subvención anual - en ($)  Periodo: P1</v>
      </c>
      <c r="C22" s="168"/>
      <c r="D22" s="168"/>
      <c r="E22" s="168"/>
      <c r="F22" s="168"/>
      <c r="H22" s="340" t="str">
        <f>+'Introducción de datos'!B69&amp;"   "&amp;+I3&amp;" "&amp;+K3</f>
        <v>F4: Último ciclo de información y desembolso del RP   Periodo: P1</v>
      </c>
      <c r="J22" s="6"/>
      <c r="K22" s="6"/>
    </row>
    <row r="23" spans="2:11" ht="46.5" customHeight="1">
      <c r="B23" s="337" t="s">
        <v>210</v>
      </c>
      <c r="C23" s="579" t="s">
        <v>211</v>
      </c>
      <c r="D23" s="579"/>
      <c r="E23" s="579"/>
      <c r="F23" s="579"/>
      <c r="G23" s="341"/>
      <c r="H23" s="337" t="s">
        <v>207</v>
      </c>
      <c r="I23" s="579" t="s">
        <v>212</v>
      </c>
      <c r="J23" s="579"/>
      <c r="K23" s="579"/>
    </row>
    <row r="24" spans="2:11" ht="15.75" customHeight="1">
      <c r="B24" s="342"/>
      <c r="C24" s="342"/>
      <c r="D24" s="342"/>
      <c r="E24" s="342"/>
      <c r="F24" s="342"/>
      <c r="G24" s="342"/>
      <c r="H24" s="343"/>
      <c r="I24" s="343"/>
      <c r="J24" s="342"/>
      <c r="K24" s="342"/>
    </row>
    <row r="25" spans="2:11" ht="29.25" customHeight="1">
      <c r="B25" s="6"/>
      <c r="C25" s="6"/>
      <c r="D25" s="6"/>
      <c r="E25" s="6"/>
      <c r="F25" s="6"/>
      <c r="G25" s="344"/>
      <c r="H25" s="584" t="s">
        <v>213</v>
      </c>
      <c r="I25" s="584"/>
      <c r="J25" s="584"/>
      <c r="K25" s="584"/>
    </row>
    <row r="26" spans="2:11" ht="14.25">
      <c r="B26" s="6"/>
      <c r="C26" s="6"/>
      <c r="D26" s="6"/>
      <c r="E26" s="6"/>
      <c r="F26" s="6"/>
      <c r="G26" s="44"/>
      <c r="H26" s="585"/>
      <c r="I26" s="585"/>
      <c r="J26" s="345" t="s">
        <v>125</v>
      </c>
      <c r="K26" s="346" t="s">
        <v>126</v>
      </c>
    </row>
    <row r="27" spans="2:11" ht="29.25" customHeight="1">
      <c r="B27" s="6"/>
      <c r="C27" s="6"/>
      <c r="D27" s="6"/>
      <c r="E27" s="6"/>
      <c r="F27" s="6"/>
      <c r="G27" s="347"/>
      <c r="H27" s="582" t="str">
        <f>'Introducción de datos'!B73</f>
        <v>Días tardados en presentar el informe de progreso actualizado y solicitud de desembolso al ALF</v>
      </c>
      <c r="I27" s="582"/>
      <c r="J27" s="348">
        <f>+'Introducción de datos'!C73</f>
        <v>45</v>
      </c>
      <c r="K27" s="349">
        <f>+'Introducción de datos'!D73</f>
        <v>45</v>
      </c>
    </row>
    <row r="28" spans="2:11" ht="21" customHeight="1">
      <c r="B28" s="6"/>
      <c r="C28" s="6"/>
      <c r="D28" s="6"/>
      <c r="E28" s="6"/>
      <c r="F28" s="6"/>
      <c r="G28" s="347"/>
      <c r="H28" s="582" t="str">
        <f>'Introducción de datos'!B74</f>
        <v>Días que el desembolso ha tardado en llegar al RP</v>
      </c>
      <c r="I28" s="582"/>
      <c r="J28" s="348">
        <f>+'Introducción de datos'!C74</f>
        <v>45</v>
      </c>
      <c r="K28" s="350">
        <f>+'Introducción de datos'!D74</f>
        <v>27</v>
      </c>
    </row>
    <row r="29" spans="2:11" ht="21" customHeight="1">
      <c r="B29" s="6"/>
      <c r="C29" s="6"/>
      <c r="D29" s="6"/>
      <c r="E29" s="6"/>
      <c r="F29" s="6"/>
      <c r="G29" s="347"/>
      <c r="H29" s="583" t="str">
        <f>'Introducción de datos'!B75</f>
        <v>Días que el desembolso ha tardado en llegar a los agentes de compra</v>
      </c>
      <c r="I29" s="583"/>
      <c r="J29" s="351">
        <f>+'Introducción de datos'!C75</f>
        <v>0</v>
      </c>
      <c r="K29" s="350">
        <f>+'Introducción de datos'!D75</f>
        <v>0</v>
      </c>
    </row>
    <row r="30" spans="2:11" ht="14.25">
      <c r="B30" s="6"/>
      <c r="C30" s="6"/>
      <c r="D30" s="6"/>
      <c r="E30" s="6"/>
      <c r="F30" s="6"/>
      <c r="G30" s="6"/>
      <c r="H30" s="6"/>
      <c r="I30" s="6"/>
      <c r="J30" s="6"/>
      <c r="K30" s="6"/>
    </row>
    <row r="31" spans="2:11" ht="14.25">
      <c r="B31" s="6"/>
      <c r="C31" s="96"/>
      <c r="D31" s="352"/>
      <c r="E31" s="6"/>
      <c r="F31" s="6"/>
      <c r="G31" s="6"/>
      <c r="H31" s="6"/>
      <c r="I31" s="6"/>
      <c r="J31" s="6"/>
      <c r="K31" s="6"/>
    </row>
    <row r="32" spans="2:11" ht="14.25">
      <c r="B32" s="6"/>
      <c r="C32" s="314" t="s">
        <v>93</v>
      </c>
      <c r="D32" s="352"/>
      <c r="E32" s="6"/>
      <c r="F32" s="6"/>
      <c r="G32" s="6"/>
      <c r="H32" s="6"/>
      <c r="I32" s="6"/>
      <c r="J32" s="6"/>
      <c r="K32" s="6"/>
    </row>
    <row r="33" ht="14.25">
      <c r="C33" s="339" t="s">
        <v>163</v>
      </c>
    </row>
  </sheetData>
  <sheetProtection selectLockedCells="1" selectUnlockedCells="1"/>
  <mergeCells count="19">
    <mergeCell ref="H28:I28"/>
    <mergeCell ref="H29:I29"/>
    <mergeCell ref="C23:F23"/>
    <mergeCell ref="I23:K23"/>
    <mergeCell ref="H25:K25"/>
    <mergeCell ref="H26:I26"/>
    <mergeCell ref="D5:I5"/>
    <mergeCell ref="E6:H6"/>
    <mergeCell ref="C9:F9"/>
    <mergeCell ref="I9:M9"/>
    <mergeCell ref="O9:S9"/>
    <mergeCell ref="H27:I27"/>
    <mergeCell ref="B2:K2"/>
    <mergeCell ref="C3:D3"/>
    <mergeCell ref="E3:H3"/>
    <mergeCell ref="I3:J3"/>
    <mergeCell ref="C4:D4"/>
    <mergeCell ref="E4:H4"/>
    <mergeCell ref="I4:J4"/>
  </mergeCells>
  <conditionalFormatting sqref="K27:K29">
    <cfRule type="cellIs" priority="3" dxfId="44" operator="equal"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6"/>
  <sheetViews>
    <sheetView showGridLines="0" zoomScalePageLayoutView="0" workbookViewId="0" topLeftCell="A22">
      <selection activeCell="P29" sqref="P29"/>
    </sheetView>
  </sheetViews>
  <sheetFormatPr defaultColWidth="11.421875" defaultRowHeight="15"/>
  <cols>
    <col min="1" max="1" width="3.421875" style="0" customWidth="1"/>
    <col min="2" max="2" width="14.421875" style="0" customWidth="1"/>
    <col min="3" max="3" width="12.421875" style="0" customWidth="1"/>
    <col min="4" max="4" width="13.140625" style="0" customWidth="1"/>
    <col min="5" max="5" width="11.421875" style="0" customWidth="1"/>
    <col min="6" max="6" width="11.8515625" style="0" customWidth="1"/>
    <col min="7" max="7" width="18.57421875" style="0" customWidth="1"/>
    <col min="8" max="8" width="11.421875" style="0" customWidth="1"/>
    <col min="9" max="9" width="14.421875" style="0" customWidth="1"/>
    <col min="10" max="10" width="15.140625" style="0" customWidth="1"/>
    <col min="11" max="11" width="15.421875" style="0" customWidth="1"/>
    <col min="12" max="12" width="15.57421875" style="0" customWidth="1"/>
  </cols>
  <sheetData>
    <row r="1" spans="3:5" ht="28.5" customHeight="1">
      <c r="C1" s="353"/>
      <c r="E1" s="353"/>
    </row>
    <row r="2" spans="2:16" ht="27.75" customHeight="1">
      <c r="B2" s="586" t="str">
        <f>+"Cuadro de mando:  "&amp;"  "&amp;+'Introducción de datos'!C4&amp;" - "&amp;'Introducción de datos'!G6</f>
        <v>Cuadro de mando:    El Salvador - TB</v>
      </c>
      <c r="C2" s="586"/>
      <c r="D2" s="586"/>
      <c r="E2" s="586"/>
      <c r="F2" s="586"/>
      <c r="G2" s="586"/>
      <c r="H2" s="586"/>
      <c r="I2" s="586"/>
      <c r="J2" s="586"/>
      <c r="K2" s="586"/>
      <c r="L2" s="586"/>
      <c r="M2" s="354"/>
      <c r="N2" s="354"/>
      <c r="O2" s="354"/>
      <c r="P2" s="354"/>
    </row>
    <row r="3" spans="2:12" ht="14.25">
      <c r="B3" s="355">
        <f>+'Introducción de datos'!G8</f>
        <v>0</v>
      </c>
      <c r="C3" s="587">
        <f>+'Introducción de datos'!I8</f>
        <v>0</v>
      </c>
      <c r="D3" s="587"/>
      <c r="E3" s="588"/>
      <c r="F3" s="588"/>
      <c r="G3" s="588"/>
      <c r="H3" s="588"/>
      <c r="I3" s="588"/>
      <c r="J3" s="589" t="str">
        <f>+'Introducción de datos'!B16</f>
        <v>Periodo:</v>
      </c>
      <c r="K3" s="589"/>
      <c r="L3" s="324" t="str">
        <f>+'Introducción de datos'!C16</f>
        <v>P1</v>
      </c>
    </row>
    <row r="4" spans="2:12" ht="14.25">
      <c r="B4" s="355" t="str">
        <f>+'Introducción de datos'!B12</f>
        <v>Ultima calificación:</v>
      </c>
      <c r="C4" s="576" t="str">
        <f>+'Introducción de datos'!C12</f>
        <v>A2</v>
      </c>
      <c r="D4" s="576"/>
      <c r="E4" s="588" t="str">
        <f>+'Introducción de datos'!C8</f>
        <v>Ministerio de Salud </v>
      </c>
      <c r="F4" s="588"/>
      <c r="G4" s="588"/>
      <c r="H4" s="588"/>
      <c r="I4" s="588"/>
      <c r="J4" s="589" t="str">
        <f>+'Introducción de datos'!D16</f>
        <v>Desde:</v>
      </c>
      <c r="K4" s="589"/>
      <c r="L4" s="326">
        <f>+'Introducción de datos'!E16</f>
        <v>42370</v>
      </c>
    </row>
    <row r="5" spans="2:12" ht="18.75" customHeight="1">
      <c r="B5" s="355"/>
      <c r="C5" s="355"/>
      <c r="D5" s="588" t="str">
        <f>+'Introducción de datos'!G4</f>
        <v>Financiamiento al PENM TB 2016 - 2020</v>
      </c>
      <c r="E5" s="588"/>
      <c r="F5" s="588"/>
      <c r="G5" s="588"/>
      <c r="H5" s="588"/>
      <c r="I5" s="588"/>
      <c r="J5" s="588"/>
      <c r="K5" s="355" t="str">
        <f>+'Introducción de datos'!F16</f>
        <v>Hasta:</v>
      </c>
      <c r="L5" s="326" t="str">
        <f>+'Introducción de datos'!G16</f>
        <v>31 de dic 2016</v>
      </c>
    </row>
    <row r="6" spans="2:9" ht="18">
      <c r="B6" s="356"/>
      <c r="C6" s="355"/>
      <c r="D6" s="328"/>
      <c r="E6" s="590" t="s">
        <v>16</v>
      </c>
      <c r="F6" s="590"/>
      <c r="G6" s="590"/>
      <c r="H6" s="590"/>
      <c r="I6" s="590"/>
    </row>
    <row r="7" spans="2:8" ht="14.25">
      <c r="B7" s="357" t="str">
        <f>+'Introducción de datos'!B80&amp;"     "&amp;+J3&amp;" "&amp;+L3</f>
        <v>M1: Estado de las condiciones precedentes y acciones con fecha límite     Periodo: P1</v>
      </c>
      <c r="C7" s="358"/>
      <c r="H7" s="357" t="str">
        <f>+'Introducción de datos'!B87&amp;"         "&amp;+J3&amp;"  "&amp;+L3</f>
        <v>M2: Estado de los principales puestos directivos del RP         Periodo:  P1</v>
      </c>
    </row>
    <row r="8" spans="2:12" ht="14.25" customHeight="1">
      <c r="B8" s="359" t="s">
        <v>207</v>
      </c>
      <c r="C8" s="591" t="s">
        <v>214</v>
      </c>
      <c r="D8" s="591"/>
      <c r="E8" s="591"/>
      <c r="F8" s="591"/>
      <c r="G8" s="360"/>
      <c r="H8" s="359" t="s">
        <v>207</v>
      </c>
      <c r="I8" s="592" t="s">
        <v>215</v>
      </c>
      <c r="J8" s="592"/>
      <c r="K8" s="592"/>
      <c r="L8" s="592"/>
    </row>
    <row r="9" spans="2:8" ht="14.25">
      <c r="B9" s="10"/>
      <c r="C9" s="10"/>
      <c r="D9" s="10"/>
      <c r="E9" s="10"/>
      <c r="F9" s="10"/>
      <c r="G9" s="10"/>
      <c r="H9" s="10"/>
    </row>
    <row r="10" spans="1:16" ht="14.25">
      <c r="A10" s="361"/>
      <c r="B10" s="10"/>
      <c r="C10" s="10"/>
      <c r="D10" s="593"/>
      <c r="E10" s="505"/>
      <c r="F10" s="505"/>
      <c r="G10" s="12"/>
      <c r="H10" s="10"/>
      <c r="N10" s="363"/>
      <c r="O10" s="363"/>
      <c r="P10" s="364"/>
    </row>
    <row r="11" spans="2:15" ht="14.25">
      <c r="B11" s="10"/>
      <c r="C11" s="362"/>
      <c r="D11" s="593"/>
      <c r="E11" s="362"/>
      <c r="F11" s="362"/>
      <c r="G11" s="362"/>
      <c r="H11" s="362"/>
      <c r="N11" s="10"/>
      <c r="O11" s="10"/>
    </row>
    <row r="12" spans="2:8" ht="14.25">
      <c r="B12" s="362"/>
      <c r="C12" s="365"/>
      <c r="D12" s="366"/>
      <c r="E12" s="366"/>
      <c r="F12" s="366"/>
      <c r="G12" s="366"/>
      <c r="H12" s="367"/>
    </row>
    <row r="13" spans="2:8" ht="14.25">
      <c r="B13" s="362"/>
      <c r="C13" s="365"/>
      <c r="D13" s="366"/>
      <c r="E13" s="366"/>
      <c r="F13" s="366"/>
      <c r="G13" s="366"/>
      <c r="H13" s="367"/>
    </row>
    <row r="15" spans="2:8" ht="27.75" customHeight="1">
      <c r="B15" s="357" t="str">
        <f>+'Introducción de datos'!B92&amp;"            "&amp;+J3&amp;" "&amp;+L3</f>
        <v>M3: Acuerdos contractuales            Periodo: P1</v>
      </c>
      <c r="H15" s="357" t="str">
        <f>+'Introducción de datos'!B97&amp;"                "&amp;+J3&amp;" "&amp;+L3</f>
        <v>M4: Número de informes completos recibidos a tiempo                Periodo: P1</v>
      </c>
    </row>
    <row r="16" spans="2:12" ht="29.25" customHeight="1">
      <c r="B16" s="359" t="s">
        <v>207</v>
      </c>
      <c r="C16" s="592" t="s">
        <v>216</v>
      </c>
      <c r="D16" s="592"/>
      <c r="E16" s="592"/>
      <c r="F16" s="592"/>
      <c r="G16" s="360"/>
      <c r="H16" s="359" t="s">
        <v>207</v>
      </c>
      <c r="I16" s="592" t="s">
        <v>216</v>
      </c>
      <c r="J16" s="592"/>
      <c r="K16" s="592"/>
      <c r="L16" s="592"/>
    </row>
    <row r="17" spans="2:8" ht="14.25">
      <c r="B17" s="368"/>
      <c r="H17" s="369"/>
    </row>
    <row r="18" ht="14.25">
      <c r="M18" s="325"/>
    </row>
    <row r="25" ht="22.5" customHeight="1"/>
    <row r="26" spans="2:8" ht="14.25">
      <c r="B26" s="357" t="str">
        <f>+'Introducción de datos'!B103</f>
        <v>M5: Presupuesto y compra de productos y equipo sanitario, medicamentos y productos farmacéuticos</v>
      </c>
      <c r="H26" s="357" t="str">
        <f>+'Introducción de datos'!B116&amp;"    "&amp;+J3&amp;"  "&amp;+L3</f>
        <v>M6: Diferencia entre existencias actuales y existencias de seguridad    Periodo:  P1</v>
      </c>
    </row>
    <row r="27" spans="2:13" ht="27" customHeight="1">
      <c r="B27" s="359" t="s">
        <v>207</v>
      </c>
      <c r="C27" s="596" t="s">
        <v>217</v>
      </c>
      <c r="D27" s="596"/>
      <c r="E27" s="596"/>
      <c r="F27" s="596"/>
      <c r="G27" s="360"/>
      <c r="H27" s="359" t="s">
        <v>207</v>
      </c>
      <c r="I27" s="597"/>
      <c r="J27" s="597"/>
      <c r="K27" s="597"/>
      <c r="L27" s="597"/>
      <c r="M27" s="370" t="s">
        <v>218</v>
      </c>
    </row>
    <row r="29" spans="6:12" ht="75" customHeight="1">
      <c r="F29" s="371"/>
      <c r="G29" s="371"/>
      <c r="H29" s="372" t="s">
        <v>166</v>
      </c>
      <c r="I29" s="373" t="s">
        <v>167</v>
      </c>
      <c r="J29" s="374" t="s">
        <v>219</v>
      </c>
      <c r="K29" s="375" t="s">
        <v>220</v>
      </c>
      <c r="L29" s="376" t="s">
        <v>221</v>
      </c>
    </row>
    <row r="30" spans="6:12" ht="14.25" customHeight="1">
      <c r="F30" s="371"/>
      <c r="G30" s="371"/>
      <c r="H30" s="594" t="str">
        <f>+'Introducción de datos'!B119</f>
        <v>TB</v>
      </c>
      <c r="I30" s="377" t="str">
        <f>+'Introducción de datos'!C119</f>
        <v>PASER</v>
      </c>
      <c r="J30" s="378">
        <f>+'Introducción de datos'!I119</f>
        <v>6.766666666666667</v>
      </c>
      <c r="K30" s="377">
        <f>+'Introducción de datos'!J119</f>
        <v>3</v>
      </c>
      <c r="L30" s="379">
        <f>+'Introducción de datos'!K119</f>
        <v>3.7666666666666666</v>
      </c>
    </row>
    <row r="31" spans="2:12" ht="30" customHeight="1">
      <c r="B31" s="595" t="str">
        <f>+'Introducción de datos'!B113</f>
        <v>* Incluye sólo los montos de las categorías 4 y 5 (Productos y equipamientos sanitarios y Medicamentos y productos farmacéuticos) de los  Informes Financieros Mejorados</v>
      </c>
      <c r="C31" s="595"/>
      <c r="D31" s="595"/>
      <c r="E31" s="595"/>
      <c r="F31" s="10"/>
      <c r="G31" s="10"/>
      <c r="H31" s="594"/>
      <c r="I31" s="377" t="str">
        <f>+'Introducción de datos'!C120</f>
        <v>Cicloserina 250mg</v>
      </c>
      <c r="J31" s="378">
        <f>+'Introducción de datos'!I120</f>
        <v>9.6</v>
      </c>
      <c r="K31" s="377">
        <f>+'Introducción de datos'!J120</f>
        <v>3</v>
      </c>
      <c r="L31" s="380">
        <f>+'Introducción de datos'!K120</f>
        <v>6.6</v>
      </c>
    </row>
    <row r="32" spans="8:12" ht="14.25">
      <c r="H32" s="594"/>
      <c r="I32" s="377" t="str">
        <f>+'Introducción de datos'!C121</f>
        <v>Kanamicina 1gr</v>
      </c>
      <c r="J32" s="378">
        <f>+'Introducción de datos'!I121</f>
        <v>6.166666666666667</v>
      </c>
      <c r="K32" s="377">
        <f>+'Introducción de datos'!J121</f>
        <v>3</v>
      </c>
      <c r="L32" s="379">
        <f>+'Introducción de datos'!K121</f>
        <v>3.166666666666667</v>
      </c>
    </row>
    <row r="33" spans="8:12" ht="14.25">
      <c r="H33" s="594"/>
      <c r="I33" s="377" t="str">
        <f>+'Introducción de datos'!C122</f>
        <v>Etionamida 250mg</v>
      </c>
      <c r="J33" s="378">
        <f>+'Introducción de datos'!I122</f>
        <v>5.666666666666667</v>
      </c>
      <c r="K33" s="377">
        <f>+'Introducción de datos'!J122</f>
        <v>3</v>
      </c>
      <c r="L33" s="379">
        <f>+'Introducción de datos'!K122</f>
        <v>2.666666666666667</v>
      </c>
    </row>
    <row r="34" spans="8:12" ht="16.5" customHeight="1">
      <c r="H34" s="594"/>
      <c r="I34" s="377" t="str">
        <f>+'Introducción de datos'!C123</f>
        <v>Levofloxacina</v>
      </c>
      <c r="J34" s="378">
        <f>+'Introducción de datos'!I123</f>
        <v>8.383333333333333</v>
      </c>
      <c r="K34" s="377">
        <f>+'Introducción de datos'!J123</f>
        <v>3</v>
      </c>
      <c r="L34" s="379">
        <f>+'Introducción de datos'!K123</f>
        <v>5.383333333333333</v>
      </c>
    </row>
    <row r="35" spans="8:12" ht="14.25">
      <c r="H35" s="594"/>
      <c r="I35" s="377">
        <f>+'Introducción de datos'!C124</f>
        <v>0</v>
      </c>
      <c r="J35" s="378">
        <f>+'Introducción de datos'!I124</f>
        <v>0</v>
      </c>
      <c r="K35" s="377">
        <f>+'Introducción de datos'!J124</f>
        <v>0</v>
      </c>
      <c r="L35" s="380">
        <f>+'Introducción de datos'!K124</f>
        <v>0</v>
      </c>
    </row>
    <row r="36" spans="8:12" ht="14.25">
      <c r="H36" s="594"/>
      <c r="I36" s="377">
        <f>+'Introducción de datos'!C125</f>
        <v>0</v>
      </c>
      <c r="J36" s="378">
        <f>+'Introducción de datos'!I125</f>
        <v>0</v>
      </c>
      <c r="K36" s="377">
        <f>+'Introducción de datos'!J125</f>
        <v>0</v>
      </c>
      <c r="L36" s="379">
        <f>+'Introducción de datos'!K125</f>
        <v>0</v>
      </c>
    </row>
  </sheetData>
  <sheetProtection selectLockedCells="1" selectUnlockedCells="1"/>
  <mergeCells count="19">
    <mergeCell ref="H30:H36"/>
    <mergeCell ref="B31:E31"/>
    <mergeCell ref="C16:F16"/>
    <mergeCell ref="I16:L16"/>
    <mergeCell ref="C27:F27"/>
    <mergeCell ref="I27:L27"/>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1" dxfId="42" operator="greaterThan" stopIfTrue="1">
      <formula>0</formula>
    </cfRule>
  </conditionalFormatting>
  <conditionalFormatting sqref="E12:E13">
    <cfRule type="cellIs" priority="2" dxfId="45"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conditionalFormatting sqref="L30 L32:L34 L36">
    <cfRule type="cellIs" priority="7" dxfId="46" operator="lessThan" stopIfTrue="1">
      <formula>1</formula>
    </cfRule>
    <cfRule type="cellIs" priority="8" dxfId="47" operator="between" stopIfTrue="1">
      <formula>3</formula>
      <formula>17</formula>
    </cfRule>
    <cfRule type="cellIs" priority="9" dxfId="48" operator="between" stopIfTrue="1">
      <formula>1</formula>
      <formula>3</formula>
    </cfRule>
  </conditionalFormatting>
  <conditionalFormatting sqref="L31 L35">
    <cfRule type="cellIs" priority="10" dxfId="46" operator="lessThan" stopIfTrue="1">
      <formula>1</formula>
    </cfRule>
    <cfRule type="cellIs" priority="11" dxfId="47" operator="between" stopIfTrue="1">
      <formula>3</formula>
      <formula>100</formula>
    </cfRule>
    <cfRule type="cellIs" priority="12" dxfId="48"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3"/>
  <sheetViews>
    <sheetView showGridLines="0" zoomScale="80" zoomScaleNormal="80" zoomScalePageLayoutView="0" workbookViewId="0" topLeftCell="A22">
      <selection activeCell="S8" sqref="S8"/>
    </sheetView>
  </sheetViews>
  <sheetFormatPr defaultColWidth="11.421875" defaultRowHeight="15"/>
  <cols>
    <col min="1" max="1" width="0.42578125" style="0" customWidth="1"/>
    <col min="2" max="2" width="17.8515625" style="0" customWidth="1"/>
    <col min="3" max="3" width="16.140625" style="0" customWidth="1"/>
    <col min="4" max="4" width="17.421875" style="0" customWidth="1"/>
    <col min="5" max="5" width="9.421875" style="0" customWidth="1"/>
    <col min="6" max="6" width="12.28125" style="0" customWidth="1"/>
    <col min="7" max="7" width="8.421875" style="0" customWidth="1"/>
    <col min="8" max="8" width="6.421875" style="0" customWidth="1"/>
    <col min="9" max="9" width="6.00390625" style="0" customWidth="1"/>
    <col min="10" max="10" width="6.140625" style="0" customWidth="1"/>
    <col min="11" max="11" width="11.421875" style="0" customWidth="1"/>
    <col min="12" max="12" width="14.00390625" style="0" customWidth="1"/>
    <col min="13" max="13" width="11.57421875" style="0" customWidth="1"/>
    <col min="14" max="14" width="9.421875" style="0" customWidth="1"/>
    <col min="15" max="15" width="7.421875" style="0" customWidth="1"/>
    <col min="16" max="16" width="15.574218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598" t="str">
        <f>+"Cuadro de mando:  "&amp;"  "&amp;+'Introducción de datos'!C4&amp;" - "&amp;'Introducción de datos'!G6</f>
        <v>Cuadro de mando:    El Salvador - TB</v>
      </c>
      <c r="C2" s="598"/>
      <c r="D2" s="598"/>
      <c r="E2" s="598"/>
      <c r="F2" s="598"/>
      <c r="G2" s="598"/>
      <c r="H2" s="598"/>
      <c r="I2" s="598"/>
      <c r="J2" s="598"/>
      <c r="K2" s="598"/>
      <c r="L2" s="598"/>
      <c r="M2" s="598"/>
      <c r="N2" s="598"/>
      <c r="O2" s="598"/>
      <c r="P2" s="598"/>
      <c r="Q2" s="598"/>
    </row>
    <row r="3" spans="1:17" ht="14.25">
      <c r="A3" s="6"/>
      <c r="B3" s="322">
        <f>+'Introducción de datos'!G8</f>
        <v>0</v>
      </c>
      <c r="C3" s="573">
        <f>+'Introducción de datos'!I8</f>
        <v>0</v>
      </c>
      <c r="D3" s="573"/>
      <c r="E3" s="574"/>
      <c r="F3" s="574"/>
      <c r="G3" s="574"/>
      <c r="H3" s="574"/>
      <c r="I3" s="574"/>
      <c r="J3" s="574"/>
      <c r="K3" s="574"/>
      <c r="L3" s="6"/>
      <c r="M3" s="6"/>
      <c r="O3" s="575" t="str">
        <f>+'Introducción de datos'!B16</f>
        <v>Periodo:</v>
      </c>
      <c r="P3" s="575"/>
      <c r="Q3" s="381" t="str">
        <f>+'Introducción de datos'!C16</f>
        <v>P1</v>
      </c>
    </row>
    <row r="4" spans="1:28" ht="12" customHeight="1">
      <c r="A4" s="6"/>
      <c r="B4" s="322" t="str">
        <f>+'Introducción de datos'!B12</f>
        <v>Ultima calificación:</v>
      </c>
      <c r="C4" s="599" t="str">
        <f>+'Introducción de datos'!C12</f>
        <v>A2</v>
      </c>
      <c r="D4" s="599"/>
      <c r="E4" s="574" t="str">
        <f>+'Introducción de datos'!C8</f>
        <v>Ministerio de Salud </v>
      </c>
      <c r="F4" s="574"/>
      <c r="G4" s="574"/>
      <c r="H4" s="574"/>
      <c r="I4" s="574"/>
      <c r="J4" s="574"/>
      <c r="K4" s="574"/>
      <c r="L4" s="574"/>
      <c r="M4" s="6"/>
      <c r="O4" s="382"/>
      <c r="P4" s="322" t="str">
        <f>+'Introducción de datos'!D16</f>
        <v>Desde:</v>
      </c>
      <c r="Q4" s="383">
        <f>+'Introducción de datos'!E16</f>
        <v>42370</v>
      </c>
      <c r="X4" s="339"/>
      <c r="Y4" s="339"/>
      <c r="Z4" s="339"/>
      <c r="AA4" s="339"/>
      <c r="AB4" s="339"/>
    </row>
    <row r="5" spans="1:34" ht="20.25" customHeight="1">
      <c r="A5" s="6"/>
      <c r="B5" s="322"/>
      <c r="C5" s="322"/>
      <c r="D5" s="574" t="str">
        <f>+'Introducción de datos'!G4</f>
        <v>Financiamiento al PENM TB 2016 - 2020</v>
      </c>
      <c r="E5" s="574"/>
      <c r="F5" s="574"/>
      <c r="G5" s="574"/>
      <c r="H5" s="574"/>
      <c r="I5" s="574"/>
      <c r="J5" s="574"/>
      <c r="K5" s="574"/>
      <c r="L5" s="574"/>
      <c r="M5" s="574"/>
      <c r="N5" s="574"/>
      <c r="P5" s="322" t="str">
        <f>+'Introducción de datos'!F16</f>
        <v>Hasta:</v>
      </c>
      <c r="Q5" s="383" t="str">
        <f>+'Introducción de datos'!G16</f>
        <v>31 de dic 2016</v>
      </c>
      <c r="R5" s="384"/>
      <c r="S5" s="384"/>
      <c r="T5" s="384"/>
      <c r="U5" s="384"/>
      <c r="V5" s="384"/>
      <c r="W5" s="384"/>
      <c r="X5" s="339"/>
      <c r="Y5" s="339"/>
      <c r="Z5" s="339" t="s">
        <v>222</v>
      </c>
      <c r="AA5" s="339"/>
      <c r="AB5" s="385" t="s">
        <v>223</v>
      </c>
      <c r="AC5" s="384"/>
      <c r="AD5" s="384"/>
      <c r="AE5" s="384"/>
      <c r="AF5" s="384"/>
      <c r="AG5" s="384"/>
      <c r="AH5" s="384"/>
    </row>
    <row r="6" spans="1:34" ht="63.75" customHeight="1">
      <c r="A6" s="6"/>
      <c r="B6" s="322"/>
      <c r="C6" s="322"/>
      <c r="D6" s="386"/>
      <c r="E6" s="386"/>
      <c r="F6" s="600" t="s">
        <v>224</v>
      </c>
      <c r="G6" s="600"/>
      <c r="H6" s="600"/>
      <c r="I6" s="600"/>
      <c r="J6" s="600"/>
      <c r="K6" s="600"/>
      <c r="L6" s="386"/>
      <c r="M6" s="6"/>
      <c r="N6" s="6"/>
      <c r="O6" s="387"/>
      <c r="P6" s="388"/>
      <c r="R6" s="384"/>
      <c r="S6" s="384"/>
      <c r="T6" s="384"/>
      <c r="U6" s="384"/>
      <c r="V6" s="384"/>
      <c r="W6" s="384"/>
      <c r="X6" s="339"/>
      <c r="Y6" s="339"/>
      <c r="Z6" s="339"/>
      <c r="AA6" s="339"/>
      <c r="AB6" s="339"/>
      <c r="AC6" s="384"/>
      <c r="AD6" s="384"/>
      <c r="AE6" s="384"/>
      <c r="AF6" s="384"/>
      <c r="AG6" s="384"/>
      <c r="AH6" s="384"/>
    </row>
    <row r="7" spans="1:34" ht="3" customHeight="1">
      <c r="A7" s="6"/>
      <c r="B7" s="322"/>
      <c r="C7" s="322"/>
      <c r="D7" s="386"/>
      <c r="E7" s="386"/>
      <c r="F7" s="386"/>
      <c r="G7" s="386"/>
      <c r="H7" s="386"/>
      <c r="I7" s="386"/>
      <c r="J7" s="386"/>
      <c r="K7" s="386"/>
      <c r="L7" s="386"/>
      <c r="M7" s="6"/>
      <c r="N7" s="6"/>
      <c r="O7" s="387"/>
      <c r="P7" s="326"/>
      <c r="Q7" s="326"/>
      <c r="R7" s="384"/>
      <c r="S7" s="384"/>
      <c r="T7" s="384"/>
      <c r="U7" s="384"/>
      <c r="V7" s="384"/>
      <c r="W7" s="384"/>
      <c r="X7" s="339"/>
      <c r="Y7" s="339"/>
      <c r="Z7" s="339"/>
      <c r="AA7" s="339"/>
      <c r="AB7" s="339"/>
      <c r="AC7" s="384"/>
      <c r="AD7" s="384"/>
      <c r="AE7" s="384"/>
      <c r="AF7" s="384"/>
      <c r="AG7" s="384"/>
      <c r="AH7" s="384"/>
    </row>
    <row r="8" spans="1:34" ht="36.75" customHeight="1">
      <c r="A8" s="6"/>
      <c r="B8" s="601" t="str">
        <f>+'Introducción de datos'!B133</f>
        <v>DOTS-1a: Número de casos notificados de todas las formas de tuberculosis (confirmados bacteriológicamente y con diagnóstico clínico, casos nuevos y recaídas)</v>
      </c>
      <c r="C8" s="601"/>
      <c r="D8" s="601"/>
      <c r="E8" s="601"/>
      <c r="F8" s="601" t="str">
        <f>+'Introducción de datos'!B135</f>
        <v>DOTS-2b: Porcentaje de casos de tuberculosis confirmados bacteriológicamente que se han tratado con éxito (curados y con tratamiento completado) entre los casos de tuberculosis </v>
      </c>
      <c r="G8" s="601"/>
      <c r="H8" s="601"/>
      <c r="I8" s="601"/>
      <c r="J8" s="601"/>
      <c r="K8" s="601"/>
      <c r="L8" s="601" t="str">
        <f>+'Introducción de datos'!B137</f>
        <v>MDR TB-other1: Número y porcentaje de pacientes sospechosos de tuberculosis resistente a los fármacos (RR-TB y / o MDR-TB) que se sometieron a pruebas de sensibilidad </v>
      </c>
      <c r="M8" s="601"/>
      <c r="N8" s="601"/>
      <c r="O8" s="601"/>
      <c r="P8" s="601"/>
      <c r="Q8" s="601"/>
      <c r="R8" s="384"/>
      <c r="S8" s="384"/>
      <c r="T8" s="384"/>
      <c r="U8" s="384"/>
      <c r="V8" s="384"/>
      <c r="W8" s="384"/>
      <c r="X8" s="339"/>
      <c r="Y8" s="339"/>
      <c r="Z8" s="339"/>
      <c r="AA8" s="339"/>
      <c r="AB8" s="339"/>
      <c r="AC8" s="384"/>
      <c r="AD8" s="384"/>
      <c r="AE8" s="384"/>
      <c r="AF8" s="384"/>
      <c r="AG8" s="384"/>
      <c r="AH8" s="384"/>
    </row>
    <row r="9" spans="1:34" ht="45" customHeight="1">
      <c r="A9" s="6"/>
      <c r="B9" s="389" t="s">
        <v>225</v>
      </c>
      <c r="C9" s="597"/>
      <c r="D9" s="597"/>
      <c r="E9" s="597"/>
      <c r="F9" s="389" t="s">
        <v>225</v>
      </c>
      <c r="G9" s="597"/>
      <c r="H9" s="597"/>
      <c r="I9" s="597"/>
      <c r="J9" s="597"/>
      <c r="K9" s="597"/>
      <c r="L9" s="389" t="s">
        <v>225</v>
      </c>
      <c r="M9" s="597"/>
      <c r="N9" s="597"/>
      <c r="O9" s="597"/>
      <c r="P9" s="597"/>
      <c r="Q9" s="597"/>
      <c r="R9" s="384"/>
      <c r="S9" s="384"/>
      <c r="T9" s="384"/>
      <c r="U9" s="384"/>
      <c r="V9" s="384"/>
      <c r="W9" s="384"/>
      <c r="X9" s="384"/>
      <c r="Y9" s="384"/>
      <c r="Z9" s="384"/>
      <c r="AA9" s="384"/>
      <c r="AB9" s="384"/>
      <c r="AC9" s="384"/>
      <c r="AD9" s="384"/>
      <c r="AE9" s="384"/>
      <c r="AF9" s="384"/>
      <c r="AG9" s="384"/>
      <c r="AH9" s="384"/>
    </row>
    <row r="10" spans="1:34" ht="9" customHeight="1">
      <c r="A10" s="6"/>
      <c r="B10" s="322"/>
      <c r="C10" s="322"/>
      <c r="D10" s="386"/>
      <c r="E10" s="386"/>
      <c r="F10" s="386"/>
      <c r="G10" s="386"/>
      <c r="H10" s="386"/>
      <c r="I10" s="386"/>
      <c r="J10" s="386"/>
      <c r="K10" s="386"/>
      <c r="L10" s="386"/>
      <c r="M10" s="6"/>
      <c r="N10" s="6"/>
      <c r="O10" s="387"/>
      <c r="P10" s="326"/>
      <c r="R10" s="384"/>
      <c r="S10" s="384"/>
      <c r="T10" s="384"/>
      <c r="U10" s="384"/>
      <c r="V10" s="384"/>
      <c r="W10" s="384"/>
      <c r="X10" s="384"/>
      <c r="Y10" s="384"/>
      <c r="Z10" s="384"/>
      <c r="AA10" s="384"/>
      <c r="AB10" s="384"/>
      <c r="AC10" s="384"/>
      <c r="AD10" s="384"/>
      <c r="AE10" s="384"/>
      <c r="AF10" s="384"/>
      <c r="AG10" s="384"/>
      <c r="AH10" s="384"/>
    </row>
    <row r="11" spans="1:34" ht="7.5" customHeight="1">
      <c r="A11" s="6"/>
      <c r="B11" s="322"/>
      <c r="C11" s="322"/>
      <c r="D11" s="386"/>
      <c r="E11" s="386"/>
      <c r="F11" s="386"/>
      <c r="G11" s="386"/>
      <c r="H11" s="386"/>
      <c r="I11" s="386"/>
      <c r="J11" s="386"/>
      <c r="K11" s="386"/>
      <c r="L11" s="386"/>
      <c r="M11" s="6"/>
      <c r="N11" s="6"/>
      <c r="O11" s="387"/>
      <c r="P11" s="326"/>
      <c r="R11" s="384"/>
      <c r="S11" s="384"/>
      <c r="T11" s="384"/>
      <c r="U11" s="384"/>
      <c r="V11" s="384"/>
      <c r="W11" s="384"/>
      <c r="X11" s="384"/>
      <c r="Y11" s="384"/>
      <c r="Z11" s="384"/>
      <c r="AA11" s="384"/>
      <c r="AB11" s="384"/>
      <c r="AC11" s="384"/>
      <c r="AD11" s="384"/>
      <c r="AE11" s="384"/>
      <c r="AF11" s="384"/>
      <c r="AG11" s="384"/>
      <c r="AH11" s="384"/>
    </row>
    <row r="12" spans="1:34" ht="18.75" customHeight="1">
      <c r="A12" s="6"/>
      <c r="B12" s="322"/>
      <c r="C12" s="322"/>
      <c r="D12" s="386"/>
      <c r="E12" s="386"/>
      <c r="F12" s="386"/>
      <c r="G12" s="386"/>
      <c r="H12" s="386"/>
      <c r="I12" s="386"/>
      <c r="J12" s="386"/>
      <c r="K12" s="386"/>
      <c r="L12" s="386"/>
      <c r="M12" s="6"/>
      <c r="N12" s="6"/>
      <c r="O12" s="387"/>
      <c r="P12" s="326"/>
      <c r="R12" s="384"/>
      <c r="S12" s="384"/>
      <c r="T12" s="384"/>
      <c r="U12" s="384"/>
      <c r="V12" s="384"/>
      <c r="W12" s="384"/>
      <c r="X12" s="384"/>
      <c r="Y12" s="384"/>
      <c r="Z12" s="384"/>
      <c r="AA12" s="384"/>
      <c r="AB12" s="384"/>
      <c r="AC12" s="384"/>
      <c r="AD12" s="384"/>
      <c r="AE12" s="384"/>
      <c r="AF12" s="384"/>
      <c r="AG12" s="384"/>
      <c r="AH12" s="384"/>
    </row>
    <row r="13" spans="1:34" ht="18.75" customHeight="1">
      <c r="A13" s="6"/>
      <c r="B13" s="322"/>
      <c r="C13" s="322"/>
      <c r="D13" s="386"/>
      <c r="E13" s="386"/>
      <c r="F13" s="386"/>
      <c r="G13" s="386"/>
      <c r="H13" s="386"/>
      <c r="I13" s="386"/>
      <c r="J13" s="386"/>
      <c r="K13" s="386"/>
      <c r="L13" s="386"/>
      <c r="M13" s="6"/>
      <c r="N13" s="6"/>
      <c r="O13" s="387"/>
      <c r="P13" s="326"/>
      <c r="R13" s="384"/>
      <c r="S13" s="384"/>
      <c r="T13" s="384"/>
      <c r="U13" s="384"/>
      <c r="V13" s="384"/>
      <c r="W13" s="384"/>
      <c r="X13" s="384"/>
      <c r="Y13" s="384"/>
      <c r="Z13" s="384"/>
      <c r="AA13" s="384"/>
      <c r="AB13" s="384"/>
      <c r="AC13" s="384"/>
      <c r="AD13" s="384"/>
      <c r="AE13" s="384"/>
      <c r="AF13" s="384"/>
      <c r="AG13" s="384"/>
      <c r="AH13" s="384"/>
    </row>
    <row r="14" spans="1:34" ht="18.75" customHeight="1">
      <c r="A14" s="6"/>
      <c r="B14" s="322"/>
      <c r="C14" s="322"/>
      <c r="D14" s="386"/>
      <c r="E14" s="386"/>
      <c r="F14" s="386"/>
      <c r="G14" s="386"/>
      <c r="H14" s="386"/>
      <c r="I14" s="386"/>
      <c r="J14" s="386"/>
      <c r="K14" s="386"/>
      <c r="L14" s="386"/>
      <c r="M14" s="6"/>
      <c r="N14" s="6"/>
      <c r="O14" s="387"/>
      <c r="P14" s="326"/>
      <c r="R14" s="384"/>
      <c r="S14" s="384"/>
      <c r="T14" s="384"/>
      <c r="U14" s="384"/>
      <c r="V14" s="384"/>
      <c r="W14" s="384"/>
      <c r="X14" s="384"/>
      <c r="Y14" s="384"/>
      <c r="Z14" s="384"/>
      <c r="AA14" s="384"/>
      <c r="AB14" s="384"/>
      <c r="AC14" s="384"/>
      <c r="AD14" s="384"/>
      <c r="AE14" s="384"/>
      <c r="AF14" s="384"/>
      <c r="AG14" s="384"/>
      <c r="AH14" s="384"/>
    </row>
    <row r="15" spans="1:34" ht="21" customHeight="1">
      <c r="A15" s="6"/>
      <c r="B15" s="322"/>
      <c r="C15" s="322"/>
      <c r="D15" s="386"/>
      <c r="E15" s="386"/>
      <c r="F15" s="386"/>
      <c r="G15" s="386"/>
      <c r="H15" s="386"/>
      <c r="I15" s="386"/>
      <c r="J15" s="386"/>
      <c r="K15" s="386"/>
      <c r="L15" s="386"/>
      <c r="M15" s="6"/>
      <c r="N15" s="6"/>
      <c r="O15" s="387"/>
      <c r="P15" s="326"/>
      <c r="R15" s="384"/>
      <c r="S15" s="384"/>
      <c r="T15" s="384"/>
      <c r="U15" s="384"/>
      <c r="V15" s="384"/>
      <c r="W15" s="384"/>
      <c r="X15" s="384"/>
      <c r="Y15" s="384"/>
      <c r="Z15" s="384"/>
      <c r="AA15" s="384"/>
      <c r="AB15" s="384"/>
      <c r="AC15" s="384"/>
      <c r="AD15" s="384"/>
      <c r="AE15" s="384"/>
      <c r="AF15" s="384"/>
      <c r="AG15" s="384"/>
      <c r="AH15" s="384"/>
    </row>
    <row r="16" spans="1:34" ht="18" customHeight="1">
      <c r="A16" s="6"/>
      <c r="B16" s="322"/>
      <c r="C16" s="322"/>
      <c r="D16" s="386"/>
      <c r="E16" s="386"/>
      <c r="F16" s="386"/>
      <c r="G16" s="386"/>
      <c r="H16" s="386"/>
      <c r="I16" s="386"/>
      <c r="J16" s="386"/>
      <c r="K16" s="386"/>
      <c r="L16" s="386"/>
      <c r="M16" s="6"/>
      <c r="N16" s="6"/>
      <c r="O16" s="387"/>
      <c r="P16" s="326"/>
      <c r="R16" s="384"/>
      <c r="S16" s="384"/>
      <c r="T16" s="384"/>
      <c r="U16" s="384"/>
      <c r="V16" s="384"/>
      <c r="W16" s="384"/>
      <c r="X16" s="384"/>
      <c r="Y16" s="384"/>
      <c r="Z16" s="384"/>
      <c r="AA16" s="384"/>
      <c r="AB16" s="384"/>
      <c r="AC16" s="384"/>
      <c r="AD16" s="384"/>
      <c r="AE16" s="384"/>
      <c r="AF16" s="384"/>
      <c r="AG16" s="384"/>
      <c r="AH16" s="384"/>
    </row>
    <row r="17" spans="1:34" ht="18" customHeight="1">
      <c r="A17" s="6"/>
      <c r="B17" s="322"/>
      <c r="C17" s="322"/>
      <c r="D17" s="386"/>
      <c r="E17" s="386"/>
      <c r="F17" s="386"/>
      <c r="G17" s="386"/>
      <c r="H17" s="386"/>
      <c r="I17" s="386"/>
      <c r="J17" s="386"/>
      <c r="K17" s="386"/>
      <c r="L17" s="386"/>
      <c r="M17" s="6"/>
      <c r="N17" s="6"/>
      <c r="O17" s="387"/>
      <c r="P17" s="326"/>
      <c r="R17" s="384"/>
      <c r="S17" s="384"/>
      <c r="T17" s="384"/>
      <c r="U17" s="384"/>
      <c r="V17" s="384"/>
      <c r="W17" s="384"/>
      <c r="X17" s="384"/>
      <c r="Y17" s="384"/>
      <c r="Z17" s="384"/>
      <c r="AA17" s="384"/>
      <c r="AB17" s="384"/>
      <c r="AC17" s="384"/>
      <c r="AD17" s="384"/>
      <c r="AE17" s="384"/>
      <c r="AF17" s="384"/>
      <c r="AG17" s="384"/>
      <c r="AH17" s="384"/>
    </row>
    <row r="18" spans="1:34" ht="18.75" customHeight="1">
      <c r="A18" s="6"/>
      <c r="B18" s="327"/>
      <c r="C18" s="322"/>
      <c r="D18" s="328"/>
      <c r="E18" s="602"/>
      <c r="F18" s="602"/>
      <c r="G18" s="602"/>
      <c r="H18" s="602"/>
      <c r="I18" s="602"/>
      <c r="J18" s="602"/>
      <c r="K18" s="602"/>
      <c r="L18" s="6"/>
      <c r="M18" s="6"/>
      <c r="N18" s="6"/>
      <c r="O18" s="6"/>
      <c r="P18" s="6"/>
      <c r="R18" s="384"/>
      <c r="S18" s="384"/>
      <c r="T18" s="384"/>
      <c r="U18" s="384"/>
      <c r="V18" s="384"/>
      <c r="W18" s="384"/>
      <c r="X18" s="384"/>
      <c r="Y18" s="384"/>
      <c r="Z18" s="384"/>
      <c r="AA18" s="384"/>
      <c r="AB18" s="384"/>
      <c r="AC18" s="384"/>
      <c r="AD18" s="384"/>
      <c r="AE18" s="384"/>
      <c r="AF18" s="384"/>
      <c r="AG18" s="384"/>
      <c r="AH18" s="384"/>
    </row>
    <row r="19" spans="1:34" ht="24" customHeight="1">
      <c r="A19" s="6"/>
      <c r="B19" s="603" t="s">
        <v>226</v>
      </c>
      <c r="C19" s="603"/>
      <c r="D19" s="603"/>
      <c r="E19" s="390" t="s">
        <v>190</v>
      </c>
      <c r="F19" s="390" t="s">
        <v>227</v>
      </c>
      <c r="G19" s="604" t="s">
        <v>228</v>
      </c>
      <c r="H19" s="604"/>
      <c r="I19" s="605" t="s">
        <v>229</v>
      </c>
      <c r="J19" s="605"/>
      <c r="K19" s="391" t="s">
        <v>230</v>
      </c>
      <c r="L19" s="606" t="s">
        <v>231</v>
      </c>
      <c r="M19" s="606"/>
      <c r="N19" s="606"/>
      <c r="O19" s="606"/>
      <c r="P19" s="606"/>
      <c r="Q19" s="606"/>
      <c r="R19" s="392" t="s">
        <v>232</v>
      </c>
      <c r="S19" s="393">
        <v>0</v>
      </c>
      <c r="T19" s="394">
        <v>0.3</v>
      </c>
      <c r="U19" s="394">
        <v>0.6</v>
      </c>
      <c r="V19" s="394">
        <v>0.9</v>
      </c>
      <c r="W19" s="394">
        <v>1</v>
      </c>
      <c r="X19" s="339"/>
      <c r="Y19" s="339"/>
      <c r="Z19" s="395" t="s">
        <v>233</v>
      </c>
      <c r="AA19" s="393">
        <v>0</v>
      </c>
      <c r="AB19" s="394">
        <v>0.2</v>
      </c>
      <c r="AC19" s="394">
        <v>0.4</v>
      </c>
      <c r="AD19" s="394">
        <v>0.6</v>
      </c>
      <c r="AE19" s="394">
        <v>0.8</v>
      </c>
      <c r="AF19" s="339"/>
      <c r="AG19" s="339"/>
      <c r="AH19" s="339"/>
    </row>
    <row r="20" spans="1:34" ht="288" customHeight="1">
      <c r="A20" s="6"/>
      <c r="B20" s="607" t="str">
        <f>+'Introducción de datos'!B133</f>
        <v>DOTS-1a: Número de casos notificados de todas las formas de tuberculosis (confirmados bacteriológicamente y con diagnóstico clínico, casos nuevos y recaídas)</v>
      </c>
      <c r="C20" s="607"/>
      <c r="D20" s="607"/>
      <c r="E20" s="396">
        <f ca="1">OFFSET('Introducción de datos'!$G$132,1,RIGHT('Introducción de datos'!$C$16,LEN('Introducción de datos'!$C$16)-1),1,1)</f>
        <v>2322</v>
      </c>
      <c r="F20" s="396">
        <f ca="1">OFFSET('Introducción de datos'!$G$132,2,RIGHT('Introducción de datos'!$C$16,LEN('Introducción de datos'!$C$16)-1),1,1)</f>
        <v>3030</v>
      </c>
      <c r="G20" s="608">
        <f>+IF(ISERROR(F20/E20),0,F20/E20)</f>
        <v>1.3049095607235142</v>
      </c>
      <c r="H20" s="608"/>
      <c r="I20" s="608"/>
      <c r="J20" s="608"/>
      <c r="K20" s="608"/>
      <c r="L20" s="609" t="s">
        <v>234</v>
      </c>
      <c r="M20" s="609"/>
      <c r="N20" s="609"/>
      <c r="O20" s="609"/>
      <c r="P20" s="609"/>
      <c r="Q20" s="609"/>
      <c r="R20" s="392" t="s">
        <v>235</v>
      </c>
      <c r="S20" s="397">
        <v>0.3</v>
      </c>
      <c r="T20" s="394">
        <v>0.6</v>
      </c>
      <c r="U20" s="394">
        <v>0.9</v>
      </c>
      <c r="V20" s="394">
        <v>1</v>
      </c>
      <c r="W20" s="394">
        <v>2</v>
      </c>
      <c r="X20" s="339"/>
      <c r="Y20" s="339"/>
      <c r="Z20" s="395" t="s">
        <v>236</v>
      </c>
      <c r="AA20" s="397">
        <v>0.2</v>
      </c>
      <c r="AB20" s="394">
        <v>0.4</v>
      </c>
      <c r="AC20" s="394">
        <v>0.6</v>
      </c>
      <c r="AD20" s="394">
        <v>0.8</v>
      </c>
      <c r="AE20" s="394">
        <v>1</v>
      </c>
      <c r="AF20" s="339"/>
      <c r="AG20" s="339"/>
      <c r="AH20" s="339"/>
    </row>
    <row r="21" spans="1:34" ht="217.5" customHeight="1">
      <c r="A21" s="6"/>
      <c r="B21" s="612" t="str">
        <f>+'Introducción de datos'!B135</f>
        <v>DOTS-2b: Porcentaje de casos de tuberculosis confirmados bacteriológicamente que se han tratado con éxito (curados y con tratamiento completado) entre los casos de tuberculosis </v>
      </c>
      <c r="C21" s="612"/>
      <c r="D21" s="612"/>
      <c r="E21" s="398">
        <f ca="1">OFFSET('Introducción de datos'!$G$132,3,RIGHT('Introducción de datos'!$C$16,LEN('Introducción de datos'!$C$16)-1),1,1)</f>
        <v>0.9</v>
      </c>
      <c r="F21" s="398">
        <f ca="1">OFFSET('Introducción de datos'!$G$132,4,RIGHT('Introducción de datos'!$C$16,LEN('Introducción de datos'!$C$16)-1),1,1)</f>
        <v>0.94</v>
      </c>
      <c r="G21" s="608">
        <f>+IF(ISERROR(F21/E21),0,F21/E21)</f>
        <v>1.0444444444444443</v>
      </c>
      <c r="H21" s="608"/>
      <c r="I21" s="608"/>
      <c r="J21" s="608"/>
      <c r="K21" s="608"/>
      <c r="L21" s="613" t="s">
        <v>237</v>
      </c>
      <c r="M21" s="613"/>
      <c r="N21" s="613"/>
      <c r="O21" s="613"/>
      <c r="P21" s="613"/>
      <c r="Q21" s="613"/>
      <c r="R21" s="399"/>
      <c r="S21" s="400" t="str">
        <f>"de "&amp;S19&amp;" a "&amp;S20</f>
        <v>de 0 a 0.3</v>
      </c>
      <c r="T21" s="400"/>
      <c r="U21" s="400" t="str">
        <f>"de "&amp;U19&amp;" a "&amp;U20</f>
        <v>de 0.6 a 0.9</v>
      </c>
      <c r="V21" s="400" t="str">
        <f>"de "&amp;V19&amp;" a "&amp;V20</f>
        <v>de 0.9 a 1</v>
      </c>
      <c r="W21" s="400" t="str">
        <f>"de "&amp;W19&amp;" a "&amp;W20</f>
        <v>de 1 a 2</v>
      </c>
      <c r="X21" s="339"/>
      <c r="Y21" s="401" t="s">
        <v>238</v>
      </c>
      <c r="Z21" s="402" t="s">
        <v>239</v>
      </c>
      <c r="AA21" s="400" t="str">
        <f>"de "&amp;AA19&amp;" a "&amp;AA20</f>
        <v>de 0 a 0.2</v>
      </c>
      <c r="AB21" s="400" t="str">
        <f>"de "&amp;AB19&amp;" a "&amp;AB20</f>
        <v>de 0.2 a 0.4</v>
      </c>
      <c r="AC21" s="400" t="str">
        <f>"de "&amp;AC19&amp;" a "&amp;AC20</f>
        <v>de 0.4 a 0.6</v>
      </c>
      <c r="AD21" s="400" t="str">
        <f>"de "&amp;AD19&amp;" a "&amp;AD20</f>
        <v>de 0.6 a 0.8</v>
      </c>
      <c r="AE21" s="400" t="str">
        <f>"de "&amp;AE19&amp;" a "&amp;AE20</f>
        <v>de 0.8 a 1</v>
      </c>
      <c r="AF21" s="339"/>
      <c r="AG21" s="339"/>
      <c r="AH21" s="339"/>
    </row>
    <row r="22" spans="1:34" ht="264.75" customHeight="1">
      <c r="A22" s="6"/>
      <c r="B22" s="610" t="str">
        <f>+'Introducción de datos'!B137</f>
        <v>MDR TB-other1: Número y porcentaje de pacientes sospechosos de tuberculosis resistente a los fármacos (RR-TB y / o MDR-TB) que se sometieron a pruebas de sensibilidad </v>
      </c>
      <c r="C22" s="610"/>
      <c r="D22" s="610"/>
      <c r="E22" s="398">
        <f ca="1">OFFSET('Introducción de datos'!$G$132,5,RIGHT('Introducción de datos'!$C$16,LEN('Introducción de datos'!$C$16)-1),1,1)</f>
        <v>0.7</v>
      </c>
      <c r="F22" s="398">
        <f ca="1">OFFSET('Introducción de datos'!$G$132,6,RIGHT('Introducción de datos'!$C$16,LEN('Introducción de datos'!$C$16)-1),1,1)</f>
        <v>0.233</v>
      </c>
      <c r="G22" s="608">
        <f>+IF(ISERROR(F22/E22),0,F22/E22)</f>
        <v>0.3328571428571429</v>
      </c>
      <c r="H22" s="608"/>
      <c r="I22" s="608"/>
      <c r="J22" s="608"/>
      <c r="K22" s="608"/>
      <c r="L22" s="613" t="s">
        <v>240</v>
      </c>
      <c r="M22" s="613"/>
      <c r="N22" s="613"/>
      <c r="O22" s="613"/>
      <c r="P22" s="613"/>
      <c r="Q22" s="613"/>
      <c r="R22" s="399"/>
      <c r="S22" s="394" t="e">
        <f aca="true" t="shared" si="0" ref="S22:V23">IF($K20&gt;S$19,IF($K20&lt;=S$20,$K20,NA()),NA())</f>
        <v>#N/A</v>
      </c>
      <c r="T22" s="394" t="e">
        <f t="shared" si="0"/>
        <v>#N/A</v>
      </c>
      <c r="U22" s="394" t="e">
        <f t="shared" si="0"/>
        <v>#N/A</v>
      </c>
      <c r="V22" s="394" t="e">
        <f t="shared" si="0"/>
        <v>#N/A</v>
      </c>
      <c r="W22" s="394" t="e">
        <f>IF($K20&gt;W$19,IF($K20&lt;=W$20,1,NA()),NA())</f>
        <v>#N/A</v>
      </c>
      <c r="X22" s="339"/>
      <c r="Y22" s="403" t="e">
        <f>+'Información de la subvención'!#REF!</f>
        <v>#REF!</v>
      </c>
      <c r="Z22" s="394" t="e">
        <f>+IF(Y22="A1",1,IF(Y22="A2",0.8,IF(Y22="B1",0.6,IF(Y22="B2",0.4,0.2))))</f>
        <v>#REF!</v>
      </c>
      <c r="AA22" s="394" t="e">
        <f aca="true" t="shared" si="1" ref="AA22:AE23">IF($Z22&gt;AA$19,IF($Z22&lt;=AA$20,$Z22,NA()),NA())</f>
        <v>#REF!</v>
      </c>
      <c r="AB22" s="394" t="e">
        <f t="shared" si="1"/>
        <v>#REF!</v>
      </c>
      <c r="AC22" s="394" t="e">
        <f t="shared" si="1"/>
        <v>#REF!</v>
      </c>
      <c r="AD22" s="394" t="e">
        <f t="shared" si="1"/>
        <v>#REF!</v>
      </c>
      <c r="AE22" s="394" t="e">
        <f t="shared" si="1"/>
        <v>#REF!</v>
      </c>
      <c r="AF22" s="339"/>
      <c r="AG22" s="339"/>
      <c r="AH22" s="339"/>
    </row>
    <row r="23" spans="1:34" ht="158.25" customHeight="1">
      <c r="A23" s="6"/>
      <c r="B23" s="610" t="str">
        <f>+'Introducción de datos'!B139</f>
        <v>MDR TB-other2: Número y porcentaje de casos de TB resistentes a los medicamentos (TB-RR y / o MDR-TB) confirmados durante el último año calendario que están en tratamiento de segunda línea</v>
      </c>
      <c r="C23" s="610"/>
      <c r="D23" s="610"/>
      <c r="E23" s="398">
        <f ca="1">OFFSET('Introducción de datos'!$G$132,7,RIGHT('Introducción de datos'!$C$16,LEN('Introducción de datos'!$C$16)-1),1,1)</f>
        <v>1</v>
      </c>
      <c r="F23" s="398">
        <f ca="1">OFFSET('Introducción de datos'!$G$132,8,RIGHT('Introducción de datos'!$C$16,LEN('Introducción de datos'!$C$16)-1),1,1)</f>
        <v>0.7143</v>
      </c>
      <c r="G23" s="608">
        <f>+IF(ISERROR(F23/E23),0,F23/E23)</f>
        <v>0.7143</v>
      </c>
      <c r="H23" s="608"/>
      <c r="I23" s="608"/>
      <c r="J23" s="608"/>
      <c r="K23" s="608"/>
      <c r="L23" s="611" t="s">
        <v>241</v>
      </c>
      <c r="M23" s="611"/>
      <c r="N23" s="611"/>
      <c r="O23" s="611"/>
      <c r="P23" s="611"/>
      <c r="Q23" s="611"/>
      <c r="R23" s="399"/>
      <c r="S23" s="394" t="e">
        <f t="shared" si="0"/>
        <v>#N/A</v>
      </c>
      <c r="T23" s="394" t="e">
        <f t="shared" si="0"/>
        <v>#N/A</v>
      </c>
      <c r="U23" s="394" t="e">
        <f t="shared" si="0"/>
        <v>#N/A</v>
      </c>
      <c r="V23" s="394" t="e">
        <f t="shared" si="0"/>
        <v>#N/A</v>
      </c>
      <c r="W23" s="394" t="e">
        <f>IF($K21&gt;W$19,IF($K21&lt;=W$20,1,1),NA())</f>
        <v>#N/A</v>
      </c>
      <c r="X23" s="339"/>
      <c r="Y23" s="403" t="e">
        <f>+'Información de la subvención'!#REF!</f>
        <v>#REF!</v>
      </c>
      <c r="Z23" s="394" t="e">
        <f>+IF(Y23="A1",1,IF(Y23="A2",0.8,IF(Y23="B1",0.6,IF(Y23="B2",0.4,0.2))))</f>
        <v>#REF!</v>
      </c>
      <c r="AA23" s="394" t="e">
        <f t="shared" si="1"/>
        <v>#REF!</v>
      </c>
      <c r="AB23" s="394" t="e">
        <f t="shared" si="1"/>
        <v>#REF!</v>
      </c>
      <c r="AC23" s="394" t="e">
        <f t="shared" si="1"/>
        <v>#REF!</v>
      </c>
      <c r="AD23" s="394" t="e">
        <f t="shared" si="1"/>
        <v>#REF!</v>
      </c>
      <c r="AE23" s="394" t="e">
        <f t="shared" si="1"/>
        <v>#REF!</v>
      </c>
      <c r="AF23" s="339"/>
      <c r="AG23" s="339"/>
      <c r="AH23" s="339"/>
    </row>
    <row r="24" ht="14.25" customHeight="1"/>
  </sheetData>
  <sheetProtection selectLockedCells="1" selectUnlockedCells="1"/>
  <mergeCells count="31">
    <mergeCell ref="B23:D23"/>
    <mergeCell ref="G23:K23"/>
    <mergeCell ref="L23:Q23"/>
    <mergeCell ref="B21:D21"/>
    <mergeCell ref="G21:K21"/>
    <mergeCell ref="L21:Q21"/>
    <mergeCell ref="B22:D22"/>
    <mergeCell ref="G22:K22"/>
    <mergeCell ref="L22:Q22"/>
    <mergeCell ref="E18:K18"/>
    <mergeCell ref="B19:D19"/>
    <mergeCell ref="G19:H19"/>
    <mergeCell ref="I19:J19"/>
    <mergeCell ref="L19:Q19"/>
    <mergeCell ref="B20:D20"/>
    <mergeCell ref="G20:K20"/>
    <mergeCell ref="L20:Q20"/>
    <mergeCell ref="D5:N5"/>
    <mergeCell ref="F6:K6"/>
    <mergeCell ref="B8:E8"/>
    <mergeCell ref="F8:K8"/>
    <mergeCell ref="L8:Q8"/>
    <mergeCell ref="C9:E9"/>
    <mergeCell ref="G9:K9"/>
    <mergeCell ref="M9:Q9"/>
    <mergeCell ref="B2:Q2"/>
    <mergeCell ref="C3:D3"/>
    <mergeCell ref="E3:K3"/>
    <mergeCell ref="O3:P3"/>
    <mergeCell ref="C4:D4"/>
    <mergeCell ref="E4:L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conditionalFormatting sqref="G20:G23">
    <cfRule type="cellIs" priority="4" dxfId="49" operator="between" stopIfTrue="1">
      <formula>0</formula>
      <formula>0.599</formula>
    </cfRule>
    <cfRule type="cellIs" priority="5" dxfId="48" operator="between" stopIfTrue="1">
      <formula>0.6</formula>
      <formula>0.899</formula>
    </cfRule>
    <cfRule type="cellIs" priority="6" dxfId="47"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C7">
      <selection activeCell="D12" sqref="D12"/>
    </sheetView>
  </sheetViews>
  <sheetFormatPr defaultColWidth="11.421875" defaultRowHeight="15"/>
  <cols>
    <col min="1" max="1" width="1.1484375" style="404" customWidth="1"/>
    <col min="2" max="2" width="19.421875" style="404" customWidth="1"/>
    <col min="3" max="3" width="1.1484375" style="404" customWidth="1"/>
    <col min="4" max="4" width="17.140625" style="404" customWidth="1"/>
    <col min="5" max="5" width="17.421875" style="404" customWidth="1"/>
    <col min="6" max="6" width="9.57421875" style="404" customWidth="1"/>
    <col min="7" max="7" width="13.00390625" style="404" customWidth="1"/>
    <col min="8" max="8" width="4.421875" style="404" customWidth="1"/>
    <col min="9" max="9" width="15.8515625" style="404" customWidth="1"/>
    <col min="10" max="10" width="3.421875" style="404" customWidth="1"/>
    <col min="11" max="11" width="7.421875" style="405" customWidth="1"/>
    <col min="12" max="12" width="22.00390625" style="404" customWidth="1"/>
    <col min="13" max="13" width="12.00390625" style="404" customWidth="1"/>
    <col min="14" max="14" width="5.421875" style="404" customWidth="1"/>
    <col min="15" max="15" width="2.421875" style="404" customWidth="1"/>
    <col min="16" max="16384" width="11.421875" style="404" customWidth="1"/>
  </cols>
  <sheetData>
    <row r="1" spans="1:14" ht="38.25" customHeight="1">
      <c r="A1" s="406"/>
      <c r="B1" s="406"/>
      <c r="C1" s="406"/>
      <c r="D1" s="406"/>
      <c r="E1" s="406"/>
      <c r="F1" s="406"/>
      <c r="G1" s="406"/>
      <c r="H1" s="406"/>
      <c r="I1" s="406"/>
      <c r="J1" s="406"/>
      <c r="K1" s="407"/>
      <c r="L1" s="406"/>
      <c r="M1" s="406"/>
      <c r="N1" s="406"/>
    </row>
    <row r="2" spans="1:256" ht="27.75" customHeight="1">
      <c r="A2" s="6"/>
      <c r="B2" s="598" t="str">
        <f>+"Cuadro de mando:  "&amp;"  "&amp;+'Introducción de datos'!C4&amp;" - "&amp;'Introducción de datos'!G6</f>
        <v>Cuadro de mando:    El Salvador - TB</v>
      </c>
      <c r="C2" s="598"/>
      <c r="D2" s="598"/>
      <c r="E2" s="598"/>
      <c r="F2" s="598"/>
      <c r="G2" s="598"/>
      <c r="H2" s="598"/>
      <c r="I2" s="598"/>
      <c r="J2" s="598"/>
      <c r="K2" s="598"/>
      <c r="L2" s="598"/>
      <c r="M2" s="598"/>
      <c r="N2" s="598"/>
      <c r="O2" s="40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322">
        <f>+'Introducción de datos'!G8</f>
        <v>0</v>
      </c>
      <c r="C3" s="573">
        <f>+'Introducción de datos'!I8</f>
        <v>0</v>
      </c>
      <c r="D3" s="573"/>
      <c r="E3" s="614"/>
      <c r="F3" s="614"/>
      <c r="G3" s="614"/>
      <c r="H3" s="614"/>
      <c r="I3" s="614"/>
      <c r="J3" s="614"/>
      <c r="K3" s="614"/>
      <c r="L3" s="322" t="str">
        <f>+'Introducción de datos'!B16</f>
        <v>Periodo:</v>
      </c>
      <c r="M3" s="381" t="str">
        <f>+'Introducción de datos'!C16</f>
        <v>P1</v>
      </c>
      <c r="N3" s="381"/>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
      <c r="B4" s="322" t="str">
        <f>+'Introducción de datos'!B12</f>
        <v>Ultima calificación:</v>
      </c>
      <c r="C4" s="599" t="str">
        <f>+'Introducción de datos'!C12</f>
        <v>A2</v>
      </c>
      <c r="D4" s="599"/>
      <c r="E4" s="574" t="str">
        <f>+'Introducción de datos'!C8</f>
        <v>Ministerio de Salud </v>
      </c>
      <c r="F4" s="574"/>
      <c r="G4" s="574"/>
      <c r="H4" s="574"/>
      <c r="I4" s="574"/>
      <c r="J4" s="574"/>
      <c r="K4" s="574"/>
      <c r="L4" s="322" t="str">
        <f>+'Introducción de datos'!D16</f>
        <v>Desde:</v>
      </c>
      <c r="M4" s="326">
        <f>+'Introducción de datos'!E16</f>
        <v>42370</v>
      </c>
      <c r="N4" s="326"/>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322"/>
      <c r="C5" s="322"/>
      <c r="D5" s="328"/>
      <c r="E5" s="574" t="str">
        <f>+'Introducción de datos'!G4</f>
        <v>Financiamiento al PENM TB 2016 - 2020</v>
      </c>
      <c r="F5" s="574"/>
      <c r="G5" s="574"/>
      <c r="H5" s="574"/>
      <c r="I5" s="574"/>
      <c r="J5" s="574"/>
      <c r="K5" s="574"/>
      <c r="L5" s="322" t="str">
        <f>+'Introducción de datos'!F16</f>
        <v>Hasta:</v>
      </c>
      <c r="M5" s="326" t="str">
        <f>+'Introducción de datos'!G16</f>
        <v>31 de dic 2016</v>
      </c>
      <c r="N5" s="32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29"/>
      <c r="C6" s="323"/>
      <c r="D6" s="328"/>
      <c r="E6" s="615" t="s">
        <v>236</v>
      </c>
      <c r="F6" s="615"/>
      <c r="G6" s="615"/>
      <c r="H6" s="615"/>
      <c r="I6" s="615"/>
      <c r="J6" s="615"/>
      <c r="K6" s="615"/>
      <c r="L6" s="168"/>
      <c r="M6" s="168"/>
      <c r="N6" s="16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413" customFormat="1" ht="4.5" customHeight="1">
      <c r="A7" s="409"/>
      <c r="B7" s="410"/>
      <c r="C7" s="410"/>
      <c r="D7" s="410"/>
      <c r="E7" s="410"/>
      <c r="F7" s="410"/>
      <c r="G7" s="410"/>
      <c r="H7" s="410"/>
      <c r="I7" s="410"/>
      <c r="J7" s="410"/>
      <c r="K7" s="410"/>
      <c r="L7" s="411"/>
      <c r="M7" s="411"/>
      <c r="N7" s="412"/>
    </row>
    <row r="8" spans="1:14" s="413" customFormat="1" ht="21" customHeight="1">
      <c r="A8" s="409"/>
      <c r="B8" s="616" t="s">
        <v>242</v>
      </c>
      <c r="C8" s="616"/>
      <c r="D8" s="616"/>
      <c r="E8" s="616"/>
      <c r="F8" s="616"/>
      <c r="G8" s="616"/>
      <c r="H8" s="616"/>
      <c r="I8" s="616"/>
      <c r="J8" s="616"/>
      <c r="K8" s="616"/>
      <c r="L8" s="616"/>
      <c r="M8" s="616"/>
      <c r="N8" s="616"/>
    </row>
    <row r="9" spans="1:14" s="413" customFormat="1" ht="3.75" customHeight="1">
      <c r="A9" s="409"/>
      <c r="B9" s="410"/>
      <c r="C9" s="410"/>
      <c r="D9" s="410"/>
      <c r="E9" s="410"/>
      <c r="F9" s="410"/>
      <c r="G9" s="410"/>
      <c r="H9" s="410"/>
      <c r="I9" s="410"/>
      <c r="J9" s="410"/>
      <c r="K9" s="410"/>
      <c r="L9" s="411"/>
      <c r="M9" s="411"/>
      <c r="N9" s="412"/>
    </row>
    <row r="10" spans="1:14" s="416" customFormat="1" ht="25.5" customHeight="1">
      <c r="A10" s="414"/>
      <c r="B10" s="617" t="s">
        <v>243</v>
      </c>
      <c r="C10" s="617"/>
      <c r="D10" s="618" t="s">
        <v>235</v>
      </c>
      <c r="E10" s="618"/>
      <c r="F10" s="618"/>
      <c r="G10" s="618"/>
      <c r="H10" s="415"/>
      <c r="I10" s="618" t="s">
        <v>236</v>
      </c>
      <c r="J10" s="618"/>
      <c r="K10" s="618"/>
      <c r="L10" s="618"/>
      <c r="M10" s="618"/>
      <c r="N10" s="618"/>
    </row>
    <row r="11" spans="1:14" s="416" customFormat="1" ht="28.5" customHeight="1">
      <c r="A11" s="414"/>
      <c r="B11" s="417" t="s">
        <v>244</v>
      </c>
      <c r="C11" s="418"/>
      <c r="D11" s="619" t="str">
        <f>IF(ISBLANK(Financiamiento!C9),"",(Financiamiento!C9))</f>
        <v>El  Fondo Mundial desembolso al MINSAL EN el 2016  el 100% .del presupuesto</v>
      </c>
      <c r="E11" s="619"/>
      <c r="F11" s="619"/>
      <c r="G11" s="619"/>
      <c r="H11" s="419"/>
      <c r="I11" s="620"/>
      <c r="J11" s="620"/>
      <c r="K11" s="620"/>
      <c r="L11" s="620"/>
      <c r="M11" s="620"/>
      <c r="N11" s="620"/>
    </row>
    <row r="12" spans="1:14" s="416" customFormat="1" ht="27.75" customHeight="1">
      <c r="A12" s="414"/>
      <c r="B12" s="420" t="s">
        <v>245</v>
      </c>
      <c r="C12" s="421"/>
      <c r="D12" s="619" t="str">
        <f>IF(ISBLANK(Financiamiento!C23),"",(Financiamiento!C23))</f>
        <v>La diferencia entre el presupuesto y los gastos se debe a que existen compromisos con proveedores que seran pagados durante el año 2017.</v>
      </c>
      <c r="E12" s="619"/>
      <c r="F12" s="619"/>
      <c r="G12" s="619"/>
      <c r="H12" s="419"/>
      <c r="I12" s="621"/>
      <c r="J12" s="621"/>
      <c r="K12" s="621"/>
      <c r="L12" s="621"/>
      <c r="M12" s="621"/>
      <c r="N12" s="621"/>
    </row>
    <row r="13" spans="1:14" s="416" customFormat="1" ht="26.25" customHeight="1">
      <c r="A13" s="414"/>
      <c r="B13" s="420" t="s">
        <v>246</v>
      </c>
      <c r="C13" s="421"/>
      <c r="D13" s="619" t="str">
        <f>IF(ISBLANK(Financiamiento!I9),"",(Financiamiento!I9))</f>
        <v>La diferencia entre el desembolso y gasto obedece a compromisos del 2016 que se tienen con los proveedores y que se pagaran en el 2017,. Asi como recalendarizaciones y reprogramaciones de fondos del año 2016 que pasan para ejecucion al año 2017</v>
      </c>
      <c r="E13" s="619"/>
      <c r="F13" s="619"/>
      <c r="G13" s="619"/>
      <c r="H13" s="419"/>
      <c r="I13" s="622"/>
      <c r="J13" s="622"/>
      <c r="K13" s="622"/>
      <c r="L13" s="622"/>
      <c r="M13" s="622"/>
      <c r="N13" s="622"/>
    </row>
    <row r="14" spans="1:14" s="416" customFormat="1" ht="28.5" customHeight="1">
      <c r="A14" s="414"/>
      <c r="B14" s="422" t="s">
        <v>247</v>
      </c>
      <c r="C14" s="423"/>
      <c r="D14" s="623" t="str">
        <f>IF(ISBLANK(Financiamiento!I23),"",(Financiamiento!I23))</f>
        <v>Se ha cumplido con los informes presentados de forma oportuna, asi como el FM a enviado los desembolsos de forma anticipado. </v>
      </c>
      <c r="E14" s="623"/>
      <c r="F14" s="623"/>
      <c r="G14" s="623"/>
      <c r="H14" s="419"/>
      <c r="I14" s="624"/>
      <c r="J14" s="624"/>
      <c r="K14" s="624"/>
      <c r="L14" s="624"/>
      <c r="M14" s="624"/>
      <c r="N14" s="624"/>
    </row>
    <row r="15" spans="1:15" s="416" customFormat="1" ht="4.5" customHeight="1">
      <c r="A15" s="414"/>
      <c r="B15" s="424"/>
      <c r="C15" s="425"/>
      <c r="D15" s="426"/>
      <c r="E15" s="426"/>
      <c r="F15" s="426"/>
      <c r="G15" s="426"/>
      <c r="H15" s="419"/>
      <c r="I15" s="427"/>
      <c r="J15" s="427"/>
      <c r="K15" s="427"/>
      <c r="L15" s="427"/>
      <c r="M15" s="427"/>
      <c r="N15" s="427"/>
      <c r="O15" s="428"/>
    </row>
    <row r="16" spans="1:14" s="413" customFormat="1" ht="21" customHeight="1">
      <c r="A16" s="409"/>
      <c r="B16" s="616" t="s">
        <v>248</v>
      </c>
      <c r="C16" s="616"/>
      <c r="D16" s="616"/>
      <c r="E16" s="616"/>
      <c r="F16" s="616"/>
      <c r="G16" s="616"/>
      <c r="H16" s="616"/>
      <c r="I16" s="616"/>
      <c r="J16" s="616"/>
      <c r="K16" s="616"/>
      <c r="L16" s="616"/>
      <c r="M16" s="616"/>
      <c r="N16" s="616"/>
    </row>
    <row r="17" spans="1:14" s="416" customFormat="1" ht="3.75" customHeight="1">
      <c r="A17" s="414"/>
      <c r="B17" s="429"/>
      <c r="C17" s="430"/>
      <c r="D17" s="431"/>
      <c r="E17" s="432"/>
      <c r="F17" s="433"/>
      <c r="G17" s="433"/>
      <c r="H17" s="434"/>
      <c r="I17" s="435"/>
      <c r="J17" s="436"/>
      <c r="K17" s="437"/>
      <c r="L17" s="438"/>
      <c r="M17" s="439"/>
      <c r="N17" s="440"/>
    </row>
    <row r="18" spans="1:14" s="416" customFormat="1" ht="22.5" customHeight="1">
      <c r="A18" s="414"/>
      <c r="B18" s="625" t="s">
        <v>233</v>
      </c>
      <c r="C18" s="625"/>
      <c r="D18" s="626" t="s">
        <v>235</v>
      </c>
      <c r="E18" s="626"/>
      <c r="F18" s="626"/>
      <c r="G18" s="626"/>
      <c r="H18" s="415"/>
      <c r="I18" s="627" t="s">
        <v>236</v>
      </c>
      <c r="J18" s="627"/>
      <c r="K18" s="627"/>
      <c r="L18" s="627"/>
      <c r="M18" s="627"/>
      <c r="N18" s="627"/>
    </row>
    <row r="19" spans="1:14" s="416" customFormat="1" ht="21.75" customHeight="1">
      <c r="A19" s="414"/>
      <c r="B19" s="441" t="s">
        <v>238</v>
      </c>
      <c r="C19" s="442"/>
      <c r="D19" s="628" t="str">
        <f>IF(ISBLANK(Gestión!C8),"",(Gestión!C8))</f>
        <v>Condiciones precedentes cumplidas</v>
      </c>
      <c r="E19" s="628"/>
      <c r="F19" s="628"/>
      <c r="G19" s="628"/>
      <c r="H19" s="443"/>
      <c r="I19" s="629"/>
      <c r="J19" s="629"/>
      <c r="K19" s="629"/>
      <c r="L19" s="629"/>
      <c r="M19" s="629"/>
      <c r="N19" s="629"/>
    </row>
    <row r="20" spans="1:15" ht="24.75" customHeight="1">
      <c r="A20" s="406"/>
      <c r="B20" s="444" t="s">
        <v>239</v>
      </c>
      <c r="C20" s="445"/>
      <c r="D20" s="630" t="str">
        <f>IF(ISBLANK(Gestión!I8),"",(Gestión!I8))</f>
        <v>Meta cumplida</v>
      </c>
      <c r="E20" s="630" t="e">
        <f>+'Introducción de datos'!D84/'Introducción de datos'!G84</f>
        <v>#DIV/0!</v>
      </c>
      <c r="F20" s="630" t="e">
        <f>+('Introducción de datos'!E84+'Introducción de datos'!F84)/'Introducción de datos'!G84</f>
        <v>#DIV/0!</v>
      </c>
      <c r="G20" s="630"/>
      <c r="H20" s="443"/>
      <c r="I20" s="631"/>
      <c r="J20" s="631"/>
      <c r="K20" s="631"/>
      <c r="L20" s="631"/>
      <c r="M20" s="631"/>
      <c r="N20" s="631"/>
      <c r="O20" s="446"/>
    </row>
    <row r="21" spans="1:15" ht="29.25" customHeight="1">
      <c r="A21" s="406"/>
      <c r="B21" s="447" t="s">
        <v>249</v>
      </c>
      <c r="C21" s="445"/>
      <c r="D21" s="630" t="str">
        <f>IF(ISBLANK(Gestión!C16),"",(Gestión!C16))</f>
        <v>No hay sub receptores</v>
      </c>
      <c r="E21" s="630"/>
      <c r="F21" s="630"/>
      <c r="G21" s="630"/>
      <c r="H21" s="443"/>
      <c r="I21" s="631"/>
      <c r="J21" s="631"/>
      <c r="K21" s="631"/>
      <c r="L21" s="631"/>
      <c r="M21" s="631"/>
      <c r="N21" s="631"/>
      <c r="O21" s="446"/>
    </row>
    <row r="22" spans="1:15" ht="26.25" customHeight="1">
      <c r="A22" s="406"/>
      <c r="B22" s="447" t="s">
        <v>250</v>
      </c>
      <c r="C22" s="445"/>
      <c r="D22" s="630" t="str">
        <f>IF(ISBLANK(Gestión!I16),"",(Gestión!I16))</f>
        <v>No hay sub receptores</v>
      </c>
      <c r="E22" s="630"/>
      <c r="F22" s="630"/>
      <c r="G22" s="630"/>
      <c r="H22" s="443"/>
      <c r="I22" s="631"/>
      <c r="J22" s="631"/>
      <c r="K22" s="631"/>
      <c r="L22" s="631"/>
      <c r="M22" s="631"/>
      <c r="N22" s="631"/>
      <c r="O22" s="446"/>
    </row>
    <row r="23" spans="1:15" ht="24.75" customHeight="1">
      <c r="A23" s="406"/>
      <c r="B23" s="447" t="s">
        <v>251</v>
      </c>
      <c r="C23" s="445"/>
      <c r="D23" s="630" t="str">
        <f>IF(ISBLANK(Gestión!C27),"",(Gestión!C27))</f>
        <v>Adquisición a traves del Fondo Estrategico OPS.</v>
      </c>
      <c r="E23" s="630"/>
      <c r="F23" s="630"/>
      <c r="G23" s="630"/>
      <c r="H23" s="443"/>
      <c r="I23" s="631"/>
      <c r="J23" s="631"/>
      <c r="K23" s="631"/>
      <c r="L23" s="631"/>
      <c r="M23" s="631"/>
      <c r="N23" s="631"/>
      <c r="O23" s="446"/>
    </row>
    <row r="24" spans="1:15" ht="27" customHeight="1">
      <c r="A24" s="406"/>
      <c r="B24" s="448" t="s">
        <v>252</v>
      </c>
      <c r="C24" s="449"/>
      <c r="D24" s="632">
        <f>IF(ISBLANK(Gestión!I27),"",(Gestión!I27))</f>
      </c>
      <c r="E24" s="632"/>
      <c r="F24" s="632"/>
      <c r="G24" s="632"/>
      <c r="H24" s="443"/>
      <c r="I24" s="633"/>
      <c r="J24" s="633"/>
      <c r="K24" s="633"/>
      <c r="L24" s="633"/>
      <c r="M24" s="633"/>
      <c r="N24" s="633"/>
      <c r="O24" s="446"/>
    </row>
    <row r="25" spans="1:15" ht="4.5" customHeight="1">
      <c r="A25" s="409"/>
      <c r="B25" s="450"/>
      <c r="C25" s="451"/>
      <c r="D25" s="452"/>
      <c r="E25" s="453"/>
      <c r="F25" s="454"/>
      <c r="G25" s="454"/>
      <c r="H25" s="415"/>
      <c r="I25" s="453"/>
      <c r="J25" s="455"/>
      <c r="K25" s="437"/>
      <c r="L25" s="438"/>
      <c r="M25" s="439"/>
      <c r="N25" s="440"/>
      <c r="O25" s="446"/>
    </row>
    <row r="26" spans="1:14" s="413" customFormat="1" ht="21" customHeight="1">
      <c r="A26" s="409"/>
      <c r="B26" s="616" t="s">
        <v>253</v>
      </c>
      <c r="C26" s="616"/>
      <c r="D26" s="616"/>
      <c r="E26" s="616"/>
      <c r="F26" s="616"/>
      <c r="G26" s="616"/>
      <c r="H26" s="616"/>
      <c r="I26" s="616"/>
      <c r="J26" s="616"/>
      <c r="K26" s="616"/>
      <c r="L26" s="616"/>
      <c r="M26" s="616"/>
      <c r="N26" s="616"/>
    </row>
    <row r="27" spans="1:15" ht="3.75" customHeight="1">
      <c r="A27" s="409"/>
      <c r="B27" s="450"/>
      <c r="C27" s="451"/>
      <c r="D27" s="452"/>
      <c r="E27" s="453"/>
      <c r="F27" s="454"/>
      <c r="G27" s="454"/>
      <c r="H27" s="415"/>
      <c r="I27" s="453"/>
      <c r="J27" s="455"/>
      <c r="K27" s="437"/>
      <c r="L27" s="438"/>
      <c r="M27" s="439"/>
      <c r="N27" s="440"/>
      <c r="O27" s="446"/>
    </row>
    <row r="28" spans="1:15" ht="21.75" customHeight="1">
      <c r="A28" s="406"/>
      <c r="B28" s="634" t="s">
        <v>254</v>
      </c>
      <c r="C28" s="634"/>
      <c r="D28" s="635" t="s">
        <v>235</v>
      </c>
      <c r="E28" s="635"/>
      <c r="F28" s="635"/>
      <c r="G28" s="635"/>
      <c r="H28" s="415"/>
      <c r="I28" s="635" t="s">
        <v>236</v>
      </c>
      <c r="J28" s="635"/>
      <c r="K28" s="635"/>
      <c r="L28" s="635"/>
      <c r="M28" s="635"/>
      <c r="N28" s="635"/>
      <c r="O28" s="446"/>
    </row>
    <row r="29" spans="1:15" ht="29.25" customHeight="1">
      <c r="A29" s="406"/>
      <c r="B29" s="456" t="s">
        <v>255</v>
      </c>
      <c r="C29" s="457"/>
      <c r="D29" s="636">
        <f>IF(ISBLANK(Programatico!C9),"",(Programatico!C9))</f>
      </c>
      <c r="E29" s="636"/>
      <c r="F29" s="636"/>
      <c r="G29" s="636"/>
      <c r="H29" s="443"/>
      <c r="I29" s="637"/>
      <c r="J29" s="637"/>
      <c r="K29" s="637"/>
      <c r="L29" s="637"/>
      <c r="M29" s="637"/>
      <c r="N29" s="637"/>
      <c r="O29" s="446"/>
    </row>
    <row r="30" spans="1:15" ht="21.75" customHeight="1">
      <c r="A30" s="406"/>
      <c r="B30" s="458" t="s">
        <v>256</v>
      </c>
      <c r="C30" s="459"/>
      <c r="D30" s="638">
        <f>IF(ISBLANK(Programatico!G9),"",(Programatico!G9))</f>
      </c>
      <c r="E30" s="638"/>
      <c r="F30" s="638"/>
      <c r="G30" s="638"/>
      <c r="H30" s="443"/>
      <c r="I30" s="639"/>
      <c r="J30" s="639"/>
      <c r="K30" s="639"/>
      <c r="L30" s="639"/>
      <c r="M30" s="639"/>
      <c r="N30" s="639"/>
      <c r="O30" s="446"/>
    </row>
    <row r="31" spans="1:15" ht="21.75" customHeight="1">
      <c r="A31" s="406"/>
      <c r="B31" s="458" t="s">
        <v>257</v>
      </c>
      <c r="C31" s="459"/>
      <c r="D31" s="638">
        <f>IF(ISBLANK(Programatico!M9),"",(Programatico!M9))</f>
      </c>
      <c r="E31" s="638"/>
      <c r="F31" s="638"/>
      <c r="G31" s="638"/>
      <c r="H31" s="443"/>
      <c r="I31" s="639"/>
      <c r="J31" s="639"/>
      <c r="K31" s="639"/>
      <c r="L31" s="639"/>
      <c r="M31" s="639"/>
      <c r="N31" s="639"/>
      <c r="O31" s="446"/>
    </row>
    <row r="32" spans="1:15" ht="21.75" customHeight="1">
      <c r="A32" s="406"/>
      <c r="B32" s="460" t="s">
        <v>63</v>
      </c>
      <c r="C32" s="459"/>
      <c r="D32" s="640" t="str">
        <f>IF(ISBLANK(Programatico!L20),"",(Programatico!L20))</f>
        <v>* A la fecha se han reportado 3,030 casos de Tuberculosis de todas las formas, con una tasa de 46.5 por 100,000 habitantes con una población estimada de 6,520,675; superandose la tasa proyectada para el período (2.322 casos de todas las formas (87%) con una población total estimada de 6,412,028 y con una Tasa ajustada para el período de 36 por 100,000 habitantes - datos propuestos por la OPS).
* La razón de la varianza se debe a  la busqueda activa del SR y a las  estrategias de utilización de los métodos de diagnosticos actualizados a población de alto riesgo (Pacientes con Enfermedades Crónicas como Diabetes, Hipertensión, Insuficiencia Renal, entre otros); además de la colaboración de las APP (Centros Penales y Seguridad Social). Solo en centros penales se han registrado 957.  El ISSS ha reportado 641.
* Los datos son representados de todos los casos de Tuberculosis de todas las formas registrados en la PCT - 5 a nivel nacional, las cuales son consolidadas en el Nivel Central. El calculo de las metas para este indicador se ha basado en la hipotesis utilizadas en el PENMTB, este mismo se basa en una simulación realizada por OMS/OPS a partir de las estimaciones de incidencia reportadas por la OMS en el informa Mundial de TB 2014.
Anexo No. 1 y para el desgloce se adjunta el Anexo No. 1.1 por sexo, VIH y rango de edad específico.</v>
      </c>
      <c r="E32" s="640"/>
      <c r="F32" s="640"/>
      <c r="G32" s="640"/>
      <c r="H32" s="443"/>
      <c r="I32" s="639"/>
      <c r="J32" s="639"/>
      <c r="K32" s="639"/>
      <c r="L32" s="639"/>
      <c r="M32" s="639"/>
      <c r="N32" s="639"/>
      <c r="O32" s="446"/>
    </row>
    <row r="33" spans="1:15" ht="27" customHeight="1">
      <c r="A33" s="406"/>
      <c r="B33" s="460" t="s">
        <v>82</v>
      </c>
      <c r="C33" s="459"/>
      <c r="D33" s="640" t="str">
        <f>IF(ISBLANK(Programatico!L21),"",(Programatico!L21))</f>
        <v>* El aumento significativo del Éxito de tratamiento obedece a un mayor seguimiento a través de baciloscopias y cultivo de los casos nuevos lo que permitio egresarlos con la condición de curados al final de su tratamiento. Es de importancia señalar que el éxito de este indicador es debido a que existe un alto compromiso del personal de salud operativo, de SIBASI y de las Regiones del MINSAL, así como del personal del ISSS y Centros Penales, para la administración oportuna del Tratamiento Acortado Estrictamente Supervisado (TAES), además del seguimiento estricto de los tratamientos antifimicos. Existe fuerte compromiso gerencial de las autoridades del MINSAL para continuar priorizando el trabajo en prevenciòn y control de la TB
El cálculo de las metas para este indicador es consistente con las tendencias históricas del país. 
Anexo No. 2: Cohorte general por sexo  y Anexo No. 2.1 y 2.2: cohorte por sexo y rango de edad</v>
      </c>
      <c r="E33" s="640"/>
      <c r="F33" s="640"/>
      <c r="G33" s="640"/>
      <c r="H33" s="443"/>
      <c r="I33" s="639"/>
      <c r="J33" s="639"/>
      <c r="K33" s="639"/>
      <c r="L33" s="639"/>
      <c r="M33" s="639"/>
      <c r="N33" s="639"/>
      <c r="O33" s="446"/>
    </row>
    <row r="34" spans="1:15" ht="21.75" customHeight="1">
      <c r="A34" s="406"/>
      <c r="B34" s="460" t="s">
        <v>83</v>
      </c>
      <c r="C34" s="459"/>
      <c r="D34" s="640" t="str">
        <f>IF(ISBLANK(Programatico!L22),"",(Programatico!L22))</f>
        <v>* Del total de pacientes sospechosos de TB-RR y TB-MDR que ascienden a 1238, se les realizó PSD a un total de 289 lo que corresponde a un 23.3%. NO omitimos manifestar que la base de datos de sensibilidad aún no está cerrada (se terminará aproximadamente 31 de mayo de 2016), debido a que actualmente todavía se están procesando cepas de pacientes correspondientes al año 2016, el retraso se debe al exceso de carga de trabajo y a los pocos recursos con los que cuenta la Sección de TB en el Laboratorio Nacional de Referencia. Anexo No. 3
* Al contar con un mayor número de aparatos Gene Xpert para realizar un diagnóstico temprano de resistencia a rifampicina, se lograría una mayor cobertura y accesibilidad de la prueba, principalmente en los Centros Penitenciarios. Superando algunas condiciones de este tipo de población (hacinamiento, mala ventilación, bloqueos a los servicios de salud y otros). Se espera que aumente la de diagnóstico de este tipo de casos; por tal razón al realizar de manera oportuna mayor número de pruebas, y que se tamizara a más personas de grupos clave, se esperaría que el número de pacientes TB diagnosticados como con farmacorresistentes aumente. La fuente de dato primaría es el Libro de registro de Farmacorresistencia y la base de datos Gene Xpert</v>
      </c>
      <c r="E34" s="640"/>
      <c r="F34" s="640"/>
      <c r="G34" s="640"/>
      <c r="H34" s="443"/>
      <c r="I34" s="639"/>
      <c r="J34" s="639"/>
      <c r="K34" s="639"/>
      <c r="L34" s="639"/>
      <c r="M34" s="639"/>
      <c r="N34" s="639"/>
      <c r="O34" s="446"/>
    </row>
    <row r="35" spans="1:15" ht="21.75" customHeight="1">
      <c r="A35" s="406"/>
      <c r="B35" s="460" t="s">
        <v>84</v>
      </c>
      <c r="C35" s="461"/>
      <c r="D35" s="640" t="str">
        <f>IF(ISBLANK(Programatico!L23),"",(Programatico!L23))</f>
        <v>Para el año 2016 se tuvo un total de 7 casos de TB-RR y TB-MDR confirmados por laboratorio, pero de los cuales solamente un total de 5 pacientes están bajo tratamiento de segunda línea, haciendo un porcentaje del 71.43%.
Anexo No: 4: Pacientes TB-RR y TB-MDR confirmados y en tratamiento de segunda línea.</v>
      </c>
      <c r="E35" s="640"/>
      <c r="F35" s="640"/>
      <c r="G35" s="640"/>
      <c r="H35" s="443"/>
      <c r="I35" s="639"/>
      <c r="J35" s="639"/>
      <c r="K35" s="639"/>
      <c r="L35" s="639"/>
      <c r="M35" s="639"/>
      <c r="N35" s="639"/>
      <c r="O35" s="446"/>
    </row>
    <row r="36" spans="1:15" ht="21.75" customHeight="1">
      <c r="A36" s="406"/>
      <c r="B36" s="460" t="s">
        <v>85</v>
      </c>
      <c r="C36" s="461"/>
      <c r="D36" s="640" t="e">
        <f>IF(ISBLANK(Programatico!#REF!),"",(Programatico!#REF!))</f>
        <v>#REF!</v>
      </c>
      <c r="E36" s="640"/>
      <c r="F36" s="640"/>
      <c r="G36" s="640"/>
      <c r="H36" s="443"/>
      <c r="I36" s="639"/>
      <c r="J36" s="639"/>
      <c r="K36" s="639"/>
      <c r="L36" s="639"/>
      <c r="M36" s="639"/>
      <c r="N36" s="639"/>
      <c r="O36" s="446"/>
    </row>
    <row r="37" spans="1:15" ht="21.75" customHeight="1">
      <c r="A37" s="406"/>
      <c r="B37" s="460" t="s">
        <v>86</v>
      </c>
      <c r="C37" s="461"/>
      <c r="D37" s="640" t="e">
        <f>IF(ISBLANK(Programatico!#REF!),"",(Programatico!#REF!))</f>
        <v>#REF!</v>
      </c>
      <c r="E37" s="640"/>
      <c r="F37" s="640"/>
      <c r="G37" s="640"/>
      <c r="H37" s="443"/>
      <c r="I37" s="639"/>
      <c r="J37" s="639"/>
      <c r="K37" s="639"/>
      <c r="L37" s="639"/>
      <c r="M37" s="639"/>
      <c r="N37" s="639"/>
      <c r="O37" s="446"/>
    </row>
    <row r="38" spans="1:15" ht="21.75" customHeight="1">
      <c r="A38" s="406"/>
      <c r="B38" s="460" t="s">
        <v>87</v>
      </c>
      <c r="C38" s="461"/>
      <c r="D38" s="640" t="e">
        <f>IF(ISBLANK(Programatico!#REF!),"",(Programatico!#REF!))</f>
        <v>#REF!</v>
      </c>
      <c r="E38" s="640"/>
      <c r="F38" s="640"/>
      <c r="G38" s="640"/>
      <c r="H38" s="443"/>
      <c r="I38" s="639"/>
      <c r="J38" s="639"/>
      <c r="K38" s="639"/>
      <c r="L38" s="639"/>
      <c r="M38" s="639"/>
      <c r="N38" s="639"/>
      <c r="O38" s="446"/>
    </row>
    <row r="39" spans="1:15" ht="21.75" customHeight="1">
      <c r="A39" s="406"/>
      <c r="B39" s="460" t="s">
        <v>88</v>
      </c>
      <c r="C39" s="461"/>
      <c r="D39" s="640" t="e">
        <f>IF(ISBLANK(Programatico!#REF!),"",(Programatico!#REF!))</f>
        <v>#REF!</v>
      </c>
      <c r="E39" s="640"/>
      <c r="F39" s="640"/>
      <c r="G39" s="640"/>
      <c r="H39" s="443"/>
      <c r="I39" s="639"/>
      <c r="J39" s="639"/>
      <c r="K39" s="639"/>
      <c r="L39" s="639"/>
      <c r="M39" s="639"/>
      <c r="N39" s="639"/>
      <c r="O39" s="446"/>
    </row>
    <row r="40" spans="1:15" ht="21.75" customHeight="1">
      <c r="A40" s="406"/>
      <c r="B40" s="460" t="s">
        <v>89</v>
      </c>
      <c r="C40" s="461"/>
      <c r="D40" s="640" t="e">
        <f>IF(ISBLANK(Programatico!#REF!),"",(Programatico!#REF!))</f>
        <v>#REF!</v>
      </c>
      <c r="E40" s="640"/>
      <c r="F40" s="640"/>
      <c r="G40" s="640"/>
      <c r="H40" s="443"/>
      <c r="I40" s="639"/>
      <c r="J40" s="639"/>
      <c r="K40" s="639"/>
      <c r="L40" s="639"/>
      <c r="M40" s="639"/>
      <c r="N40" s="639"/>
      <c r="O40" s="446"/>
    </row>
    <row r="41" spans="1:15" ht="21.75" customHeight="1">
      <c r="A41" s="406"/>
      <c r="B41" s="460" t="s">
        <v>90</v>
      </c>
      <c r="C41" s="462"/>
      <c r="D41" s="640" t="e">
        <f>IF(ISBLANK(Programatico!#REF!),"",(Programatico!#REF!))</f>
        <v>#REF!</v>
      </c>
      <c r="E41" s="640"/>
      <c r="F41" s="640"/>
      <c r="G41" s="640"/>
      <c r="H41" s="443"/>
      <c r="I41" s="641"/>
      <c r="J41" s="641"/>
      <c r="K41" s="641"/>
      <c r="L41" s="641"/>
      <c r="M41" s="641"/>
      <c r="N41" s="641"/>
      <c r="O41" s="446"/>
    </row>
  </sheetData>
  <sheetProtection password="CFC9" sheet="1" objects="1" scenarios="1"/>
  <mergeCells count="65">
    <mergeCell ref="D38:G38"/>
    <mergeCell ref="I38:N38"/>
    <mergeCell ref="D41:G41"/>
    <mergeCell ref="I41:N41"/>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4">
      <selection activeCell="R20" sqref="R20"/>
    </sheetView>
  </sheetViews>
  <sheetFormatPr defaultColWidth="11.42187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13.421875" style="0" customWidth="1"/>
  </cols>
  <sheetData>
    <row r="1" ht="30.75" customHeight="1"/>
    <row r="2" spans="2:12" ht="27.75" customHeight="1">
      <c r="B2" s="586" t="str">
        <f>+"Cuadro de mando:  "&amp;"  "&amp;+'Introducción de datos'!C4&amp;" - "&amp;'Introducción de datos'!G6</f>
        <v>Cuadro de mando:    El Salvador - TB</v>
      </c>
      <c r="C2" s="586"/>
      <c r="D2" s="586"/>
      <c r="E2" s="586"/>
      <c r="F2" s="586"/>
      <c r="G2" s="586"/>
      <c r="H2" s="586"/>
      <c r="I2" s="586"/>
      <c r="J2" s="586"/>
      <c r="K2" s="586"/>
      <c r="L2" s="586"/>
    </row>
    <row r="3" spans="2:13" ht="14.25">
      <c r="B3" s="355">
        <f>+'Introducción de datos'!G8</f>
        <v>0</v>
      </c>
      <c r="C3" s="587">
        <f>+'Introducción de datos'!I8</f>
        <v>0</v>
      </c>
      <c r="D3" s="587"/>
      <c r="E3" s="588"/>
      <c r="F3" s="588"/>
      <c r="G3" s="588"/>
      <c r="H3" s="588"/>
      <c r="I3" s="588"/>
      <c r="J3" s="589" t="str">
        <f>+'Introducción de datos'!B16</f>
        <v>Periodo:</v>
      </c>
      <c r="K3" s="589"/>
      <c r="L3" s="381" t="str">
        <f>+'Introducción de datos'!C16</f>
        <v>P1</v>
      </c>
      <c r="M3" s="463"/>
    </row>
    <row r="4" spans="2:12" ht="14.25">
      <c r="B4" s="355" t="str">
        <f>+'Introducción de datos'!B12</f>
        <v>Ultima calificación:</v>
      </c>
      <c r="C4" s="642" t="str">
        <f>+'Introducción de datos'!C12</f>
        <v>A2</v>
      </c>
      <c r="D4" s="642"/>
      <c r="E4" s="588" t="str">
        <f>+'Introducción de datos'!C8</f>
        <v>Ministerio de Salud </v>
      </c>
      <c r="F4" s="588"/>
      <c r="G4" s="588"/>
      <c r="H4" s="588"/>
      <c r="I4" s="588"/>
      <c r="J4" s="589" t="str">
        <f>+'Introducción de datos'!D16</f>
        <v>Desde:</v>
      </c>
      <c r="K4" s="589"/>
      <c r="L4" s="326">
        <f>+'Introducción de datos'!E16</f>
        <v>42370</v>
      </c>
    </row>
    <row r="5" spans="2:12" ht="18.75" customHeight="1">
      <c r="B5" s="355"/>
      <c r="C5" s="355"/>
      <c r="D5" s="588" t="str">
        <f>+'Introducción de datos'!G4</f>
        <v>Financiamiento al PENM TB 2016 - 2020</v>
      </c>
      <c r="E5" s="588"/>
      <c r="F5" s="588"/>
      <c r="G5" s="588"/>
      <c r="H5" s="588"/>
      <c r="I5" s="588"/>
      <c r="J5" s="588"/>
      <c r="K5" s="355" t="str">
        <f>+'Introducción de datos'!F16</f>
        <v>Hasta:</v>
      </c>
      <c r="L5" s="326" t="str">
        <f>+'Introducción de datos'!G16</f>
        <v>31 de dic 2016</v>
      </c>
    </row>
    <row r="6" spans="2:9" ht="18">
      <c r="B6" s="356"/>
      <c r="C6" s="355"/>
      <c r="D6" s="328"/>
      <c r="E6" s="590" t="s">
        <v>258</v>
      </c>
      <c r="F6" s="590"/>
      <c r="G6" s="590"/>
      <c r="H6" s="590"/>
      <c r="I6" s="590"/>
    </row>
    <row r="7" spans="5:9" ht="18">
      <c r="E7" s="464"/>
      <c r="F7" s="464"/>
      <c r="G7" s="464"/>
      <c r="H7" s="464"/>
      <c r="I7" s="464"/>
    </row>
    <row r="8" spans="2:12" s="413" customFormat="1" ht="21" customHeight="1">
      <c r="B8" s="465" t="s">
        <v>259</v>
      </c>
      <c r="C8" s="466"/>
      <c r="D8" s="466"/>
      <c r="E8" s="466"/>
      <c r="F8" s="466"/>
      <c r="G8" s="466"/>
      <c r="H8" s="466"/>
      <c r="I8" s="466"/>
      <c r="J8" s="466"/>
      <c r="K8" s="466"/>
      <c r="L8" s="466"/>
    </row>
    <row r="9" ht="6" customHeight="1">
      <c r="B9" s="467"/>
    </row>
    <row r="10" spans="2:12" ht="14.25">
      <c r="B10" s="643"/>
      <c r="C10" s="643"/>
      <c r="D10" s="643"/>
      <c r="E10" s="643"/>
      <c r="F10" s="643"/>
      <c r="G10" s="643"/>
      <c r="H10" s="643"/>
      <c r="I10" s="643"/>
      <c r="J10" s="643"/>
      <c r="K10" s="643"/>
      <c r="L10" s="643"/>
    </row>
    <row r="11" spans="2:12" ht="14.25">
      <c r="B11" s="643"/>
      <c r="C11" s="643"/>
      <c r="D11" s="643"/>
      <c r="E11" s="643"/>
      <c r="F11" s="643"/>
      <c r="G11" s="643"/>
      <c r="H11" s="643"/>
      <c r="I11" s="643"/>
      <c r="J11" s="643"/>
      <c r="K11" s="643"/>
      <c r="L11" s="643"/>
    </row>
    <row r="13" spans="1:12" ht="42" customHeight="1">
      <c r="A13" s="468"/>
      <c r="B13" s="644" t="s">
        <v>260</v>
      </c>
      <c r="C13" s="644"/>
      <c r="D13" s="644"/>
      <c r="E13" s="644"/>
      <c r="F13" s="469"/>
      <c r="G13" s="645" t="s">
        <v>261</v>
      </c>
      <c r="H13" s="645"/>
      <c r="I13" s="645"/>
      <c r="J13" s="470" t="s">
        <v>262</v>
      </c>
      <c r="K13" s="646" t="s">
        <v>263</v>
      </c>
      <c r="L13" s="646"/>
    </row>
    <row r="14" spans="1:12" ht="29.25" customHeight="1">
      <c r="A14" s="647" t="s">
        <v>110</v>
      </c>
      <c r="B14" s="648"/>
      <c r="C14" s="648"/>
      <c r="D14" s="648"/>
      <c r="E14" s="648"/>
      <c r="F14" s="87"/>
      <c r="G14" s="649"/>
      <c r="H14" s="649"/>
      <c r="I14" s="649"/>
      <c r="J14" s="650"/>
      <c r="K14" s="655"/>
      <c r="L14" s="655"/>
    </row>
    <row r="15" spans="1:12" ht="2.25" customHeight="1">
      <c r="A15" s="647"/>
      <c r="B15" s="240"/>
      <c r="C15" s="240"/>
      <c r="D15" s="240"/>
      <c r="E15" s="240"/>
      <c r="F15" s="87"/>
      <c r="G15" s="649"/>
      <c r="H15" s="649"/>
      <c r="I15" s="649"/>
      <c r="J15" s="650"/>
      <c r="K15" s="655"/>
      <c r="L15" s="655"/>
    </row>
    <row r="16" spans="1:12" ht="25.5" customHeight="1">
      <c r="A16" s="647"/>
      <c r="B16" s="651"/>
      <c r="C16" s="651"/>
      <c r="D16" s="651"/>
      <c r="E16" s="651"/>
      <c r="F16" s="87"/>
      <c r="G16" s="656"/>
      <c r="H16" s="656"/>
      <c r="I16" s="656"/>
      <c r="J16" s="657"/>
      <c r="K16" s="658"/>
      <c r="L16" s="658"/>
    </row>
    <row r="17" spans="1:12" ht="4.5" customHeight="1">
      <c r="A17" s="647"/>
      <c r="B17" s="651"/>
      <c r="C17" s="651"/>
      <c r="D17" s="651"/>
      <c r="E17" s="651"/>
      <c r="F17" s="87"/>
      <c r="G17" s="656"/>
      <c r="H17" s="656"/>
      <c r="I17" s="656"/>
      <c r="J17" s="657"/>
      <c r="K17" s="658"/>
      <c r="L17" s="658"/>
    </row>
    <row r="18" spans="1:12" ht="14.25">
      <c r="A18" s="647"/>
      <c r="B18" s="651"/>
      <c r="C18" s="651"/>
      <c r="D18" s="651"/>
      <c r="E18" s="651"/>
      <c r="F18" s="87"/>
      <c r="G18" s="652"/>
      <c r="H18" s="652"/>
      <c r="I18" s="652"/>
      <c r="J18" s="653"/>
      <c r="K18" s="658"/>
      <c r="L18" s="658"/>
    </row>
    <row r="19" spans="1:12" ht="21" customHeight="1">
      <c r="A19" s="647"/>
      <c r="B19" s="651"/>
      <c r="C19" s="651"/>
      <c r="D19" s="651"/>
      <c r="E19" s="651"/>
      <c r="F19" s="87"/>
      <c r="G19" s="652"/>
      <c r="H19" s="652"/>
      <c r="I19" s="652"/>
      <c r="J19" s="653"/>
      <c r="K19" s="653"/>
      <c r="L19" s="658"/>
    </row>
    <row r="20" spans="1:12" ht="14.25">
      <c r="A20" s="647"/>
      <c r="B20" s="651"/>
      <c r="C20" s="651"/>
      <c r="D20" s="651"/>
      <c r="E20" s="651"/>
      <c r="F20" s="87"/>
      <c r="G20" s="654"/>
      <c r="H20" s="654"/>
      <c r="I20" s="654"/>
      <c r="J20" s="653"/>
      <c r="K20" s="658"/>
      <c r="L20" s="658"/>
    </row>
    <row r="21" spans="1:12" ht="14.25">
      <c r="A21" s="647"/>
      <c r="B21" s="651"/>
      <c r="C21" s="651"/>
      <c r="D21" s="651"/>
      <c r="E21" s="651"/>
      <c r="F21" s="87"/>
      <c r="G21" s="654"/>
      <c r="H21" s="654"/>
      <c r="I21" s="654"/>
      <c r="J21" s="653"/>
      <c r="K21" s="653"/>
      <c r="L21" s="658"/>
    </row>
    <row r="22" spans="1:12" ht="14.25">
      <c r="A22" s="647"/>
      <c r="B22" s="651"/>
      <c r="C22" s="651"/>
      <c r="D22" s="651"/>
      <c r="E22" s="651"/>
      <c r="F22" s="87"/>
      <c r="G22" s="654"/>
      <c r="H22" s="654"/>
      <c r="I22" s="654"/>
      <c r="J22" s="653"/>
      <c r="K22" s="658"/>
      <c r="L22" s="658"/>
    </row>
    <row r="23" spans="1:12" ht="14.25">
      <c r="A23" s="647"/>
      <c r="B23" s="651"/>
      <c r="C23" s="651"/>
      <c r="D23" s="651"/>
      <c r="E23" s="651"/>
      <c r="F23" s="87"/>
      <c r="G23" s="654"/>
      <c r="H23" s="654"/>
      <c r="I23" s="654"/>
      <c r="J23" s="653"/>
      <c r="K23" s="653"/>
      <c r="L23" s="658"/>
    </row>
    <row r="24" spans="1:12" ht="14.25">
      <c r="A24" s="647"/>
      <c r="B24" s="659"/>
      <c r="C24" s="659"/>
      <c r="D24" s="659"/>
      <c r="E24" s="659"/>
      <c r="F24" s="87"/>
      <c r="G24" s="660"/>
      <c r="H24" s="660"/>
      <c r="I24" s="660"/>
      <c r="J24" s="661"/>
      <c r="K24" s="662"/>
      <c r="L24" s="662"/>
    </row>
    <row r="25" spans="1:12" ht="14.25">
      <c r="A25" s="647"/>
      <c r="B25" s="659"/>
      <c r="C25" s="659"/>
      <c r="D25" s="659"/>
      <c r="E25" s="659"/>
      <c r="F25" s="87"/>
      <c r="G25" s="660"/>
      <c r="H25" s="660"/>
      <c r="I25" s="660"/>
      <c r="J25" s="661"/>
      <c r="K25" s="661"/>
      <c r="L25" s="662"/>
    </row>
    <row r="26" spans="1:12" ht="14.25">
      <c r="A26" s="468"/>
      <c r="B26" s="468"/>
      <c r="C26" s="468"/>
      <c r="D26" s="468"/>
      <c r="E26" s="468"/>
      <c r="F26" s="468"/>
      <c r="G26" s="468"/>
      <c r="H26" s="468"/>
      <c r="I26" s="468"/>
      <c r="J26" s="468"/>
      <c r="K26" s="468"/>
      <c r="L26" s="468"/>
    </row>
    <row r="27" spans="1:12" ht="18">
      <c r="A27" s="468"/>
      <c r="B27" s="468"/>
      <c r="C27" s="468"/>
      <c r="D27" s="468"/>
      <c r="E27" s="471" t="s">
        <v>264</v>
      </c>
      <c r="F27" s="472"/>
      <c r="G27" s="472"/>
      <c r="H27" s="472"/>
      <c r="I27" s="472"/>
      <c r="J27" s="468"/>
      <c r="K27" s="468"/>
      <c r="L27" s="468"/>
    </row>
    <row r="28" spans="1:12" ht="6" customHeight="1">
      <c r="A28" s="468"/>
      <c r="B28" s="468"/>
      <c r="C28" s="468"/>
      <c r="D28" s="468"/>
      <c r="E28" s="473"/>
      <c r="F28" s="473"/>
      <c r="G28" s="473"/>
      <c r="H28" s="473"/>
      <c r="I28" s="473"/>
      <c r="J28" s="468"/>
      <c r="K28" s="468"/>
      <c r="L28" s="468"/>
    </row>
    <row r="29" spans="1:12" s="413" customFormat="1" ht="21" customHeight="1">
      <c r="A29" s="474"/>
      <c r="B29" s="465" t="s">
        <v>265</v>
      </c>
      <c r="C29" s="475"/>
      <c r="D29" s="475"/>
      <c r="E29" s="475"/>
      <c r="F29" s="475"/>
      <c r="G29" s="475"/>
      <c r="H29" s="475"/>
      <c r="I29" s="475"/>
      <c r="J29" s="475"/>
      <c r="K29" s="475"/>
      <c r="L29" s="475"/>
    </row>
    <row r="30" spans="1:12" ht="6" customHeight="1">
      <c r="A30" s="468"/>
      <c r="B30" s="476"/>
      <c r="C30" s="468"/>
      <c r="D30" s="468"/>
      <c r="E30" s="468"/>
      <c r="F30" s="468"/>
      <c r="G30" s="468"/>
      <c r="H30" s="468"/>
      <c r="I30" s="468"/>
      <c r="J30" s="468"/>
      <c r="K30" s="468"/>
      <c r="L30" s="468"/>
    </row>
    <row r="31" spans="1:12" ht="45" customHeight="1">
      <c r="A31" s="468"/>
      <c r="B31" s="644" t="s">
        <v>261</v>
      </c>
      <c r="C31" s="644"/>
      <c r="D31" s="644"/>
      <c r="E31" s="644"/>
      <c r="F31" s="469"/>
      <c r="G31" s="645" t="s">
        <v>266</v>
      </c>
      <c r="H31" s="645"/>
      <c r="I31" s="645"/>
      <c r="J31" s="470" t="s">
        <v>262</v>
      </c>
      <c r="K31" s="646" t="s">
        <v>263</v>
      </c>
      <c r="L31" s="646"/>
    </row>
    <row r="32" spans="1:12" ht="18.75" customHeight="1">
      <c r="A32" s="647" t="s">
        <v>267</v>
      </c>
      <c r="B32" s="663"/>
      <c r="C32" s="663"/>
      <c r="D32" s="663"/>
      <c r="E32" s="663"/>
      <c r="F32" s="87"/>
      <c r="G32" s="664"/>
      <c r="H32" s="664"/>
      <c r="I32" s="664"/>
      <c r="J32" s="665"/>
      <c r="K32" s="666"/>
      <c r="L32" s="666"/>
    </row>
    <row r="33" spans="1:12" ht="18.75" customHeight="1">
      <c r="A33" s="647"/>
      <c r="B33" s="663"/>
      <c r="C33" s="663"/>
      <c r="D33" s="663"/>
      <c r="E33" s="663"/>
      <c r="F33" s="87"/>
      <c r="G33" s="664"/>
      <c r="H33" s="664"/>
      <c r="I33" s="664"/>
      <c r="J33" s="665"/>
      <c r="K33" s="665"/>
      <c r="L33" s="666"/>
    </row>
    <row r="34" spans="1:12" ht="18.75" customHeight="1">
      <c r="A34" s="647"/>
      <c r="B34" s="667">
        <f>IF(Recomendaciones!I43="","",Recomendaciones!I43)</f>
      </c>
      <c r="C34" s="667"/>
      <c r="D34" s="667"/>
      <c r="E34" s="667"/>
      <c r="F34" s="87"/>
      <c r="G34" s="668"/>
      <c r="H34" s="668"/>
      <c r="I34" s="668"/>
      <c r="J34" s="669"/>
      <c r="K34" s="670"/>
      <c r="L34" s="670"/>
    </row>
    <row r="35" spans="1:12" ht="18.75" customHeight="1">
      <c r="A35" s="647"/>
      <c r="B35" s="667"/>
      <c r="C35" s="667"/>
      <c r="D35" s="667"/>
      <c r="E35" s="667"/>
      <c r="F35" s="87"/>
      <c r="G35" s="668"/>
      <c r="H35" s="668"/>
      <c r="I35" s="668"/>
      <c r="J35" s="669"/>
      <c r="K35" s="669"/>
      <c r="L35" s="670"/>
    </row>
    <row r="36" spans="1:12" ht="18.75" customHeight="1">
      <c r="A36" s="647"/>
      <c r="B36" s="667">
        <f>+IF(Recomendaciones!I53="","",Recomendaciones!I53)</f>
      </c>
      <c r="C36" s="667"/>
      <c r="D36" s="667"/>
      <c r="E36" s="667"/>
      <c r="F36" s="87"/>
      <c r="G36" s="668"/>
      <c r="H36" s="668"/>
      <c r="I36" s="668"/>
      <c r="J36" s="669"/>
      <c r="K36" s="670"/>
      <c r="L36" s="670"/>
    </row>
    <row r="37" spans="1:12" ht="18.75" customHeight="1">
      <c r="A37" s="647"/>
      <c r="B37" s="667"/>
      <c r="C37" s="667"/>
      <c r="D37" s="667"/>
      <c r="E37" s="667"/>
      <c r="F37" s="87"/>
      <c r="G37" s="668"/>
      <c r="H37" s="668"/>
      <c r="I37" s="668"/>
      <c r="J37" s="669"/>
      <c r="K37" s="669"/>
      <c r="L37" s="670"/>
    </row>
    <row r="38" spans="1:12" ht="18.75" customHeight="1">
      <c r="A38" s="647"/>
      <c r="B38" s="667"/>
      <c r="C38" s="667"/>
      <c r="D38" s="667"/>
      <c r="E38" s="667"/>
      <c r="F38" s="87"/>
      <c r="G38" s="668"/>
      <c r="H38" s="668"/>
      <c r="I38" s="668"/>
      <c r="J38" s="669"/>
      <c r="K38" s="670"/>
      <c r="L38" s="670"/>
    </row>
    <row r="39" spans="1:12" ht="18.75" customHeight="1">
      <c r="A39" s="647"/>
      <c r="B39" s="667"/>
      <c r="C39" s="667"/>
      <c r="D39" s="667"/>
      <c r="E39" s="667"/>
      <c r="F39" s="87"/>
      <c r="G39" s="668"/>
      <c r="H39" s="668"/>
      <c r="I39" s="668"/>
      <c r="J39" s="669"/>
      <c r="K39" s="669"/>
      <c r="L39" s="670"/>
    </row>
    <row r="40" spans="1:12" ht="18.75" customHeight="1">
      <c r="A40" s="647"/>
      <c r="B40" s="667"/>
      <c r="C40" s="667"/>
      <c r="D40" s="667"/>
      <c r="E40" s="667"/>
      <c r="F40" s="87"/>
      <c r="G40" s="668"/>
      <c r="H40" s="668"/>
      <c r="I40" s="668"/>
      <c r="J40" s="669"/>
      <c r="K40" s="670"/>
      <c r="L40" s="670"/>
    </row>
    <row r="41" spans="1:12" ht="18.75" customHeight="1">
      <c r="A41" s="647"/>
      <c r="B41" s="667"/>
      <c r="C41" s="667"/>
      <c r="D41" s="667"/>
      <c r="E41" s="667"/>
      <c r="F41" s="87"/>
      <c r="G41" s="668"/>
      <c r="H41" s="668"/>
      <c r="I41" s="668"/>
      <c r="J41" s="669"/>
      <c r="K41" s="669"/>
      <c r="L41" s="670"/>
    </row>
    <row r="42" spans="1:12" ht="18.75" customHeight="1">
      <c r="A42" s="647"/>
      <c r="B42" s="671"/>
      <c r="C42" s="671"/>
      <c r="D42" s="671"/>
      <c r="E42" s="671"/>
      <c r="F42" s="87"/>
      <c r="G42" s="672"/>
      <c r="H42" s="672"/>
      <c r="I42" s="672"/>
      <c r="J42" s="673"/>
      <c r="K42" s="674"/>
      <c r="L42" s="674"/>
    </row>
    <row r="43" spans="1:12" ht="18.75" customHeight="1">
      <c r="A43" s="647"/>
      <c r="B43" s="671"/>
      <c r="C43" s="671"/>
      <c r="D43" s="671"/>
      <c r="E43" s="671"/>
      <c r="F43" s="87"/>
      <c r="G43" s="672"/>
      <c r="H43" s="672"/>
      <c r="I43" s="672"/>
      <c r="J43" s="673"/>
      <c r="K43" s="673"/>
      <c r="L43" s="674"/>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0:E21"/>
    <mergeCell ref="G20:I21"/>
    <mergeCell ref="J20:J21"/>
    <mergeCell ref="K20:L21"/>
    <mergeCell ref="K22:L23"/>
    <mergeCell ref="B24:E25"/>
    <mergeCell ref="G24:I25"/>
    <mergeCell ref="J24:J25"/>
    <mergeCell ref="K24:L25"/>
    <mergeCell ref="K14:L15"/>
    <mergeCell ref="B16:E17"/>
    <mergeCell ref="G16:I17"/>
    <mergeCell ref="J16:J17"/>
    <mergeCell ref="K16:L17"/>
    <mergeCell ref="K18:L19"/>
    <mergeCell ref="A14:A25"/>
    <mergeCell ref="B14:E14"/>
    <mergeCell ref="G14:I15"/>
    <mergeCell ref="J14:J15"/>
    <mergeCell ref="B18:E19"/>
    <mergeCell ref="G18:I19"/>
    <mergeCell ref="J18:J19"/>
    <mergeCell ref="B22:E23"/>
    <mergeCell ref="G22:I23"/>
    <mergeCell ref="J22:J23"/>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María Leydies Portillo Díaz</cp:lastModifiedBy>
  <cp:lastPrinted>2011-01-31T13:36:40Z</cp:lastPrinted>
  <dcterms:created xsi:type="dcterms:W3CDTF">2008-11-20T16:06:13Z</dcterms:created>
  <dcterms:modified xsi:type="dcterms:W3CDTF">2017-06-15T22:05:37Z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