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820" firstSheet="1" activeTab="6"/>
  </bookViews>
  <sheets>
    <sheet name="Menú" sheetId="1" r:id="rId1"/>
    <sheet name="Lista de indicadores" sheetId="2" r:id="rId2"/>
    <sheet name="Información de la subvención" sheetId="3" r:id="rId3"/>
    <sheet name="Introducción de datos" sheetId="4" r:id="rId4"/>
    <sheet name="Financiamiento" sheetId="5" r:id="rId5"/>
    <sheet name="Gestión" sheetId="6" r:id="rId6"/>
    <sheet name="Programatico" sheetId="7" r:id="rId7"/>
    <sheet name="Recomendaciones" sheetId="8" r:id="rId8"/>
    <sheet name="Acciones" sheetId="9" r:id="rId9"/>
    <sheet name="Setup" sheetId="10" state="hidden" r:id="rId10"/>
    <sheet name="Hoja2" sheetId="11" r:id="rId11"/>
  </sheets>
  <externalReferences>
    <externalReference r:id="rId14"/>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'Financiamiento'!$A$2:$L$32</definedName>
    <definedName name="_xlnm.Print_Area" localSheetId="5">'Gestión'!$A$1:$L$36</definedName>
    <definedName name="_xlnm.Print_Area" localSheetId="2">'Información de la subvención'!$A$1:$K$15</definedName>
    <definedName name="_xlnm.Print_Area" localSheetId="3">'Introducción de datos'!$A$1:$Q$175</definedName>
    <definedName name="_xlnm.Print_Area" localSheetId="6">'Programatico'!$A$1:$Q$26</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datos'!$B$25:$J$68</definedName>
    <definedName name="PrintDataM">'Introducción de datos'!$B$70:$H$123</definedName>
    <definedName name="PrintF">'Financiamiento'!$A$2:$K$32</definedName>
    <definedName name="PrintGD">'Información de la subvención'!$A$2:$J$13</definedName>
    <definedName name="PrintM" localSheetId="8">'Acciones'!$A$2:$L$6</definedName>
    <definedName name="PrintM">'Gestión'!$A$2:$L$38</definedName>
    <definedName name="PrintP">'Programatico'!$A$2:$P$26</definedName>
    <definedName name="PrintR">'Recomendaciones'!$A$2:$N$41</definedName>
    <definedName name="Rating">'Setup'!$G$9:$G$14</definedName>
    <definedName name="Round">'Setup'!$D$9:$D$21</definedName>
  </definedNames>
  <calcPr fullCalcOnLoad="1"/>
</workbook>
</file>

<file path=xl/comments4.xml><?xml version="1.0" encoding="utf-8"?>
<comments xmlns="http://schemas.openxmlformats.org/spreadsheetml/2006/main">
  <authors>
    <author/>
    <author>Francisco Jos? Lemus</author>
  </authors>
  <commentList>
    <comment ref="B75" authorId="0">
      <text>
        <r>
          <rPr>
            <b/>
            <sz val="8"/>
            <color indexed="32"/>
            <rFont val="Tahoma"/>
            <family val="2"/>
          </rPr>
          <t xml:space="preserve">Si los datos no están disponibles, no introduzca ceros; deje las celdas de la tabla en blanco. </t>
        </r>
      </text>
    </comment>
    <comment ref="B76" authorId="0">
      <text>
        <r>
          <rPr>
            <b/>
            <sz val="8"/>
            <color indexed="32"/>
            <rFont val="Tahoma"/>
            <family val="2"/>
          </rPr>
          <t>Si los datos no están disponibles, no introduzca ceros; deje las celdas de esta tabla en blanco.</t>
        </r>
      </text>
    </comment>
    <comment ref="E100" authorId="1">
      <text>
        <r>
          <rPr>
            <b/>
            <sz val="9"/>
            <rFont val="Tahoma"/>
            <family val="2"/>
          </rPr>
          <t>Francisco José Lemus:</t>
        </r>
        <r>
          <rPr>
            <sz val="9"/>
            <rFont val="Tahoma"/>
            <family val="2"/>
          </rPr>
          <t xml:space="preserve">
compromiso que se pagara en este período + compromisos de PNUD
</t>
        </r>
      </text>
    </comment>
    <comment ref="E104" authorId="1">
      <text>
        <r>
          <rPr>
            <b/>
            <sz val="9"/>
            <rFont val="Tahoma"/>
            <family val="2"/>
          </rPr>
          <t>Francisco José Lemus:</t>
        </r>
        <r>
          <rPr>
            <sz val="9"/>
            <rFont val="Tahoma"/>
            <family val="2"/>
          </rPr>
          <t xml:space="preserve">
</t>
        </r>
      </text>
    </comment>
    <comment ref="E101" authorId="1">
      <text>
        <r>
          <rPr>
            <b/>
            <sz val="9"/>
            <rFont val="Tahoma"/>
            <family val="2"/>
          </rPr>
          <t>Francisco José Lemus:</t>
        </r>
        <r>
          <rPr>
            <sz val="9"/>
            <rFont val="Tahoma"/>
            <family val="2"/>
          </rPr>
          <t xml:space="preserve">
gastos de RP y gastos de PNUD</t>
        </r>
      </text>
    </comment>
  </commentList>
</comments>
</file>

<file path=xl/sharedStrings.xml><?xml version="1.0" encoding="utf-8"?>
<sst xmlns="http://schemas.openxmlformats.org/spreadsheetml/2006/main" count="566" uniqueCount="395">
  <si>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</si>
  <si>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</si>
  <si>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</si>
  <si>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</si>
  <si>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</si>
  <si>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</si>
  <si>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</si>
  <si>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</si>
  <si>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</si>
  <si>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</si>
  <si>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</si>
  <si>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</si>
  <si>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</si>
  <si>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</si>
  <si>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</si>
  <si>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</si>
  <si>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P1</t>
  </si>
  <si>
    <t>P2</t>
  </si>
  <si>
    <t>P3</t>
  </si>
  <si>
    <t>P4</t>
  </si>
  <si>
    <t>P5</t>
  </si>
  <si>
    <t>P6</t>
  </si>
  <si>
    <t>P7</t>
  </si>
  <si>
    <t>P8</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</si>
  <si>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</si>
  <si>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</si>
  <si>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</si>
  <si>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</si>
  <si>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</si>
  <si>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</si>
  <si>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</si>
  <si>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</si>
  <si>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</si>
  <si>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</si>
  <si>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</si>
  <si>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</si>
  <si>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</si>
  <si>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</si>
  <si>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</si>
  <si>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</si>
  <si>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</si>
  <si>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</si>
  <si>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</si>
  <si>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</si>
  <si>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</si>
  <si>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</si>
  <si>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</si>
  <si>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</si>
  <si>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CA (Crown Agents)</t>
  </si>
  <si>
    <t>Antigua y Barbuda</t>
  </si>
  <si>
    <t>MALARIA</t>
  </si>
  <si>
    <t>€</t>
  </si>
  <si>
    <t>Ronda 2</t>
  </si>
  <si>
    <t>A2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</si>
  <si>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</si>
  <si>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</si>
  <si>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</si>
  <si>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</si>
  <si>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</si>
  <si>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</si>
  <si>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</si>
  <si>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</si>
  <si>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</si>
  <si>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</si>
  <si>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</si>
  <si>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</si>
  <si>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</si>
  <si>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</si>
  <si>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</si>
  <si>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</si>
  <si>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</si>
  <si>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</si>
  <si>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</si>
  <si>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</si>
  <si>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</si>
  <si>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</si>
  <si>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</si>
  <si>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</si>
  <si>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</si>
  <si>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</si>
  <si>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</si>
  <si>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</si>
  <si>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</si>
  <si>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</si>
  <si>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PwC (PricewaterhouseCoopers)</t>
  </si>
  <si>
    <t>AZT</t>
  </si>
  <si>
    <t>Bolivia</t>
  </si>
  <si>
    <t>Ronda 10</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</si>
  <si>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</si>
  <si>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</si>
  <si>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</si>
  <si>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</si>
  <si>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</si>
  <si>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</si>
  <si>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</si>
  <si>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</si>
  <si>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</si>
  <si>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</si>
  <si>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</si>
  <si>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</si>
  <si>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</si>
  <si>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</si>
  <si>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</si>
  <si>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</si>
  <si>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</si>
  <si>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</si>
  <si>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</si>
  <si>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</si>
  <si>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</si>
  <si>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</si>
  <si>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</si>
  <si>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</si>
  <si>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</si>
  <si>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</si>
  <si>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</si>
  <si>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</si>
  <si>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</si>
  <si>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</si>
  <si>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</si>
  <si>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</si>
  <si>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</si>
  <si>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</si>
  <si>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</si>
  <si>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</si>
  <si>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</si>
  <si>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</si>
  <si>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</si>
  <si>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</si>
  <si>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</si>
  <si>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</si>
  <si>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</si>
  <si>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</si>
  <si>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</si>
  <si>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</si>
  <si>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</si>
  <si>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</si>
  <si>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</si>
  <si>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</si>
  <si>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</si>
  <si>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</si>
  <si>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</si>
  <si>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</si>
  <si>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</si>
  <si>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</si>
  <si>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</si>
  <si>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</si>
  <si>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</si>
  <si>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</si>
  <si>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</si>
  <si>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</si>
  <si>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</si>
  <si>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</si>
  <si>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</si>
  <si>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</si>
  <si>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</si>
  <si>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</si>
  <si>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</si>
  <si>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</si>
  <si>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</si>
  <si>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</si>
  <si>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</si>
  <si>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</si>
  <si>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</si>
  <si>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</si>
  <si>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</si>
  <si>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</si>
  <si>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</si>
  <si>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</si>
  <si>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</si>
  <si>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</si>
  <si>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</si>
  <si>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</si>
  <si>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</si>
  <si>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</si>
  <si>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</si>
  <si>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</si>
  <si>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</si>
  <si>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TB</t>
  </si>
  <si>
    <t>Financiación total:</t>
  </si>
  <si>
    <t>Receptor Principal:</t>
  </si>
  <si>
    <t>Convocatoria:</t>
  </si>
  <si>
    <t>Ronda 9</t>
  </si>
  <si>
    <t>Fase:</t>
  </si>
  <si>
    <t>Fase 2</t>
  </si>
  <si>
    <t>Fecha de inicio (dd/mm/aa):</t>
  </si>
  <si>
    <t>Agente Local del Fondo:</t>
  </si>
  <si>
    <t xml:space="preserve">STI (Swiss Tropical Institute), </t>
  </si>
  <si>
    <t>Ultima calificación:</t>
  </si>
  <si>
    <t>A1</t>
  </si>
  <si>
    <t>Gerente de Cartera del Fondo:</t>
  </si>
  <si>
    <t>Giulia Perrone</t>
  </si>
  <si>
    <t>Periodo de referencia del que se informa</t>
  </si>
  <si>
    <t>Periodo:</t>
  </si>
  <si>
    <t>P12</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</si>
  <si>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</si>
  <si>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</si>
  <si>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</si>
  <si>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</si>
  <si>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</si>
  <si>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</si>
  <si>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</si>
  <si>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</si>
  <si>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</si>
  <si>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</si>
  <si>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</si>
  <si>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</si>
  <si>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</si>
  <si>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</si>
  <si>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</si>
  <si>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P9</t>
  </si>
  <si>
    <t>P10</t>
  </si>
  <si>
    <t>P11</t>
  </si>
  <si>
    <t>Presupuesto acumulado</t>
  </si>
  <si>
    <t>Desembolsos  acumulados</t>
  </si>
  <si>
    <t>F2: Presupuesto y gastos reales por objetivo de la subvención</t>
  </si>
  <si>
    <t>Objetivo de la subvención</t>
  </si>
  <si>
    <t>Objetivo 1</t>
  </si>
  <si>
    <t>Objetivo 2</t>
  </si>
  <si>
    <t>Objetivo 3</t>
  </si>
  <si>
    <t>Total</t>
  </si>
  <si>
    <t>F3: Desembolsos y gastos</t>
  </si>
  <si>
    <t>Anterior al periodo de referencia</t>
  </si>
  <si>
    <t>Periodo de referencia actual</t>
  </si>
  <si>
    <t>Desembolsado por el Fondo Mundial</t>
  </si>
  <si>
    <t>Gasto RP + desembolso a SRs</t>
  </si>
  <si>
    <t>Desembolsado a los subreceptores</t>
  </si>
  <si>
    <t>Gastos de los subreceptores</t>
  </si>
  <si>
    <t>F4: Último ciclo de información y desembolso del RP</t>
  </si>
  <si>
    <t>Último desembolso de fondos: Número de días calendario</t>
  </si>
  <si>
    <t>(Días) esperados</t>
  </si>
  <si>
    <t>(Días) reales</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</si>
  <si>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</si>
  <si>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</si>
  <si>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</si>
  <si>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</si>
  <si>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</si>
  <si>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</si>
  <si>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</si>
  <si>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</si>
  <si>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</si>
  <si>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</si>
  <si>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</si>
  <si>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</si>
  <si>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</si>
  <si>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</si>
  <si>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</si>
  <si>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</si>
  <si>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</si>
  <si>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</si>
  <si>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</si>
  <si>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</si>
  <si>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</si>
  <si>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</si>
  <si>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M4: Número de informes completos recibidos a tiempo</t>
  </si>
  <si>
    <t>Esperados</t>
  </si>
  <si>
    <t>Recibidos</t>
  </si>
  <si>
    <t>Pendientes</t>
  </si>
  <si>
    <t>Sub SR al SR</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</si>
  <si>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</si>
  <si>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</si>
  <si>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</si>
  <si>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</si>
  <si>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</si>
  <si>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</si>
  <si>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</si>
  <si>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</si>
  <si>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</si>
  <si>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</si>
  <si>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</si>
  <si>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(8 = 6 - 7)
Diferencia entre existencias actuales y existencias de seguridad</t>
  </si>
  <si>
    <t>PASER</t>
  </si>
  <si>
    <t>Cicloserina 250mg</t>
  </si>
  <si>
    <t>Kanamicina 1gr</t>
  </si>
  <si>
    <t>Etionamida 250mg</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</si>
  <si>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</si>
  <si>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</si>
  <si>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</si>
  <si>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</si>
  <si>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</si>
  <si>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</si>
  <si>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</si>
  <si>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</si>
  <si>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</si>
  <si>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</si>
  <si>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</si>
  <si>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</si>
  <si>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</si>
  <si>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</si>
  <si>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</si>
  <si>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</si>
  <si>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</si>
  <si>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</si>
  <si>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</si>
  <si>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</si>
  <si>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</si>
  <si>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</si>
  <si>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</si>
  <si>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</si>
  <si>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</si>
  <si>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</si>
  <si>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</si>
  <si>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</si>
  <si>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</si>
  <si>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</si>
  <si>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</si>
  <si>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</si>
  <si>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</si>
  <si>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</si>
  <si>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</si>
  <si>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</si>
  <si>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</si>
  <si>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</si>
  <si>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</si>
  <si>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</si>
  <si>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</si>
  <si>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</si>
  <si>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</si>
  <si>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IMPACTO</t>
  </si>
  <si>
    <t>COMENTARIOS CME -MCP</t>
  </si>
  <si>
    <t>SLV-H-PLAN</t>
  </si>
  <si>
    <t>PLAN  INTERNACIONAL</t>
  </si>
  <si>
    <t>INNOVANDO SERVICIOS, REDUCIENDO RIESGOS, RENOVANDO VIDAS EN EL SALVADOR</t>
  </si>
  <si>
    <t>GRUPO JACOBS</t>
  </si>
  <si>
    <t xml:space="preserve">UCP/PLAN </t>
  </si>
  <si>
    <t>SR al RP</t>
  </si>
  <si>
    <t>CONDONES FEMENINOS</t>
  </si>
  <si>
    <t>% de Población Transgenero infectada por el VIH</t>
  </si>
  <si>
    <t>% Y Número de personas HSH alcanzadas con el paquete básico de prevención de VIH</t>
  </si>
  <si>
    <t>% Y Número de personas TS alcanzadas con el paquete básico de prevención de VIH</t>
  </si>
  <si>
    <t>% Y Número de personas TRANS alcanzadas con el paquete básico de prevención de VIH</t>
  </si>
  <si>
    <t>% Y Número de personas HSH alcanzadas con el paquete complementario de prevención de VIH</t>
  </si>
  <si>
    <t>% Y Número de personas TS alcanzadas con el paquete complementario de prevención de VIH</t>
  </si>
  <si>
    <t>% Y Número de personas TRANS alcanzadas con el paquete complementario de prevención de VIH</t>
  </si>
  <si>
    <t>TOP TEN</t>
  </si>
  <si>
    <t>NO TOP TEN</t>
  </si>
  <si>
    <t>CONDONES FEMENINOS (TS)</t>
  </si>
  <si>
    <t>CUADRO DISTRIBUCION DE CONDONES POR POBLACION</t>
  </si>
  <si>
    <t>DISTRIBUCION POR AÑO</t>
  </si>
  <si>
    <t>CONDONES MACULINOS</t>
  </si>
  <si>
    <t>POBLACION HSH</t>
  </si>
  <si>
    <t>POBLACION TS</t>
  </si>
  <si>
    <t>POBLACION TRANS</t>
  </si>
  <si>
    <t>DISTRIBUCION POR SEMESTRE</t>
  </si>
  <si>
    <t>TOTAL DISTRIBUCION SEMESTRAL</t>
  </si>
  <si>
    <t>TOTAL DISTRIBUCION ANUAL</t>
  </si>
  <si>
    <t>(5)
Existencias actuales en el almacén central.</t>
  </si>
  <si>
    <t>(6 = 5 / 4)
Nivel de existencias expresado en meses de productos de salud para los usuarios actuales</t>
  </si>
  <si>
    <t xml:space="preserve">(7)
Nivel de existencias de seguridad
(expresado en meses) </t>
  </si>
  <si>
    <t>(1)
Número de condones por usuario por intervencion en promedio entre las 3 poblaciones</t>
  </si>
  <si>
    <t>MANTAS DE LATEX</t>
  </si>
  <si>
    <t>No existieron condiciones precedentes</t>
  </si>
  <si>
    <t>Los recursos estan contratados desde el primer semestre</t>
  </si>
  <si>
    <t>Los 10 SR presentaron sus informes de ejecucion técnica y financiera, correspondiente al segundo semestre.</t>
  </si>
  <si>
    <t>10 subreceptores contratados , 6 contratos fueron firmados en el primer semestre y el resto corresponden al segundo semestre.</t>
  </si>
  <si>
    <t>El porcentaje reportado indica el acumulado del año 2 y corresponde a las personas HSH que han participado en los componentes del paquete básico, de acuerdo con  el desarrollo de la metodologia de prevencion combinada.</t>
  </si>
  <si>
    <t xml:space="preserve">El porcentaje reportado indica el acumulado del año 2 y corresponde a las personas TS que han participado en los componentes del paquete básico, de acuerdo con  el desarrollo de la metodologia de prevencion combinada. </t>
  </si>
  <si>
    <t>El porcentaje reportado indica el acumulado del año 2 y corresponde a las personas TRANS que han participado en los componentes del paquete básico, de acuerdo con  el desarrollo de la metodologia de prevencion combinada.</t>
  </si>
  <si>
    <t>CONDONES MASCULINOS (HSH)</t>
  </si>
  <si>
    <t>CONDONES MASCULINOS (TS)</t>
  </si>
  <si>
    <t>CONDONES MASCULINOS (TRANS)</t>
  </si>
  <si>
    <t>*PRUEBA RAPIDA: el dato es estimadotomando en cuenta que en promedio se realizan 300 pruebas mensuales</t>
  </si>
  <si>
    <t>PRUEBAS RAPIDAS*</t>
  </si>
  <si>
    <t>LUBRICANTES/TUBOS HSH</t>
  </si>
  <si>
    <t>LUBRICANTES/TUBOS TS</t>
  </si>
  <si>
    <t>LUBRICANTES/TUBOS TRANS</t>
  </si>
  <si>
    <t>LUBRICANTES/SACHETS HSH</t>
  </si>
  <si>
    <t>LUBRICANTES/SACHETS TS</t>
  </si>
  <si>
    <t>LUBRICANTES/SACHETS TRANS</t>
  </si>
  <si>
    <t xml:space="preserve">(2= 1x3)
Producto 
(condones por usuario cada año distribuidos en las 3 intervenciones) </t>
  </si>
  <si>
    <t xml:space="preserve">(3)
Número total de ususarios de productos de salud de las 3 poblaciones alcanzadas </t>
  </si>
  <si>
    <t>(4 = 2 x 3)
Número total de productos de salud que se necesitan para los usuarios durante un año *</t>
  </si>
  <si>
    <t>Saldo en caja*</t>
  </si>
  <si>
    <t>nota: los 11 evalulados vienen del año anterior, se tiene contratos vigentes con 10 SR</t>
  </si>
  <si>
    <t>*Es importante hacer notar que el numero de productos de salud calculadas por año, es tomando en cuenta que esas cantidades son las establecidas por año por usuario, pero el numero de poblacion alcanzada que se incluye en el reporte es semestral (lo que significa que el verdadero valor de los productos a necesitar por año son los establecidos en la columna G pero multiplicados por 2</t>
  </si>
  <si>
    <t>Según el  estudio de Normalizacion de Estimacion de Prevalencia considerando riesgos Relativos de VIH l (elaborado por Tephinet) el porcentaje de Poblacion Transgenero infectada por el VIH es de 16.6%, este dato fue validado por el Programa Nacional de VIH y reportado en el informe del semestre 3 al FM.</t>
  </si>
  <si>
    <t xml:space="preserve">. El progreso alcanzado durante el  segundo semestre del año 2015 permitió lograr las metas programáticas previstas   de acuerdo a los planes de trabajo  implementados por los socios de prevencion , los cuales incluyeron   el cierre de  ciclos de las personas con CUIs que se registraron en el sistema SIGPRO durante el segundo semestre del año 1 . Las actividades desarrolladas como parte de los planes operativos anuales  se enfocaron en: 
1- Actividades de cambio de comportamiento
2- La entrega de insumos exclusivamente en actividades educativas    y  en la cantidad requerida.
3- Referencias a pruebas de VIH
- Ademas dentro de estas acciones se realizaron  actividades de autocuido y  talleres especificos donde  se oferto prueba rápida oral  de VIH con pre y post consejería (En coordinación con las clínicas VICITS), promoviendo actividades que permitieron la concentración de la población HSH y así lograr un número mayor de intervenciones. 
- Para este semestre  se dio seguimiento  con las actividades  de focalizaciòn en acciones dentro de  zonas geográficas  de concentracion de  población  HSH que fueron identificadas por los diferentes SR´s, desde el periodoo anterior  lo que permitio  alcanzar de manera efectiva el cumplimeinto de la meta esto como resultado de las buenas practivas  y la experiencia que se obtuvo en el semestre pasado con muy bueno resultados. La  coordinación efectiva  del RP Plan  con el nivel central ( Gerencia Programa Clinicas VICITS , Sub-comision nacional de Monitoreo y Evaluacion, - -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 La promoción de actividades del componente complementario contribuyo grandemente al cierre de ciclos del paquete basico, al servir de enlace para que la población HSH asistiese a las  actividades. Sumado a ello los diferentes servicios que algunas organizaciones estan brindando dentro de sus organziaciones(Atencion Sicologica, Asistencia legal) lo cual vuelve atractivos los CCPI para la participacion de manera efectiva de los usuarios, por lo que  incremento de manera significativa el número de actividades dentro del componente complementario el cual puede verse reflejado en el indicador de referencia.
Tambien en este periodo se desarrolllaron otras actividades de cambio de comportamiento con los usuarios alcanzados en el año 1 y 2, los cuales fueron registrados como seguimiento. La meta de seguimientos para el  periodo 4 que comprendia de Julio a Diciembre del 2015 se tenia una meta paquetes basicos ( Nuevos+Seguimientos) de 6,254 logrando 6,892 lo que representa el 110% de alcance para este periodo de usuarios de la poblacion HSH que fueron beneficiados con las acciones dentro de la estrategia de prevencion combinada. </t>
  </si>
  <si>
    <r>
      <t xml:space="preserve">El progreso alcanzado durante el segundo  semestre de Julio a Diciembre del año 2015 permitió alcanzar las metas programáticas correspondientes a este período . Esto se debió a la implementación de las actividades previstas dentro de los planes operativos anuales, que fueron elaborados en conjunto con cada organización sub receptora.  Dentro de  estas acciones se realizaron  actividades de:
1- Actividades de cambio de comportamiento.
2-  La entrega de insumos exclusivamente en actividades educativas    y  en la cantidad requerida.
3- Referencia a pruebas de VIH a traves de las Clinicas VICITS. 
4- Ademas dentro de estas acciones se realizaron actividades de autocuido, dias de formacion comunitaria, Barridos de zona.
5- Ferias de la salud para poder promocionar los servicios de la VICITS y atraer a las usuarias para la participacion en el programa, debido a lo complejo que es el acercarse a esta poblacion.
La  coordinación efectiva  del  receptro principal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Tambien en este periodo se desarrolllaron otras actividades de cambio de comportamiento con las usuarias alcanzadas en el año 1, las cuales fueron registradas como seguimiento. La meta de paquetes basicos para este periodos ( Nuevas + Seguimientos) fue de 819 logrando 719 lo que representa el 85% del alcance que sumaria  a la meta para el 2015, teniendo en cuenta que las acciones con esta poblacion han tenido que volverse mas atractivas con el objeto de incentivar la participacion de las usuarias en las actividades educativas para el cambio de comportamiento, asi como promocionarles los servicios de las clinicas VICITS tanto para la toma de prueba para VIH asi como para la prevencion, diagnostico y tratamiento de otras ITS.
El cumplimiento de las metas fue particularmente  ha mostrado una constate dificultad en este periodo  para esta población debido a la violencia concentrada  hacia las mujeres  TRANS y por ende de la migracion de las mismas,  lo que impacta de manera muy particular a la poblacion para este semestre se nos reporto </t>
    </r>
    <r>
      <rPr>
        <sz val="8"/>
        <color indexed="53"/>
        <rFont val="Calibri"/>
        <family val="2"/>
      </rPr>
      <t>()</t>
    </r>
    <r>
      <rPr>
        <sz val="8"/>
        <color indexed="8"/>
        <rFont val="Calibri"/>
        <family val="2"/>
      </rPr>
      <t>; por este mismo tema de violencia  muchas mujeres Trans decidieron migrar  de manera ilegal  por miedo a la situacion,  a la impunidad de los asesinatos y otros hechos de violencia en contra de las mujeres TRANS.</t>
    </r>
  </si>
  <si>
    <t>Para el periodo  4 de ejecucion comprendido de Julio a Diciembre del 2015, tal como en   semestres pasados la promoción de actividades del componente complementario contribuyó grandemente al cierre de los ciclos de prevención al servir de enlace para que la población HSH asistiese a actividades de prevención. Esto a su vez incrementó de manera significativa el número de actividades dentro del componente complementario.
Las proyecciones estimadas para la formulación de las metas de este indicador tomaron como referencia los datos historicos de PASMO con respecto al componente complementario. Estas actividades fueron realizadas por organizaciones o intituciones con las que PASMO realizo alianzas estrategicas para el desarrollo de este componente. En el caso de este proyecto la mayoría de actividades para el componente complementario se da en los CCPI aumentando la oferta de actividades y diversificando sus temas. 
Es importante mencionar que algunas de las organziaciones dentro de sus fortaleces cuentan con profesioanles que brindan  atenciones sicologicas dirigidas a cada usuario que lo requiera, asistencia legal ( Denuncias y acompañamiento de las mismas, asesoria en derechos humano, entre otros).
Asi tambien cada organización sub receptora implemento diferentes estrategias que generaron un aumento en la demanda y la oferta para el paquete complementario. PASMO continuó implementando la metodología llamada  "Lo que hablamos los hombres" que busca generar autoreflexión y demanda a servicios complementarios en la población. Los Sicologos contratados por la Asociacion Entre amigos siguieron atendiendo la demanda de los usuarios en temas como alcohol,drogas y  autoestima. Adicionalmente con el proyecto " Centroamerica Diferente"  que cuenta con el apoyo de un abogado, un sociologo y un trabajador social, quienes  brindan servicios de asesoria legal y proteccion social. Ademas en este semestre la organizacion "Asociacion Entre Amigos" continuo con la  estrategia la focalizacion de actividades dirigidas en areas geográficas de concentracion  HSH, lo cual permitió mayor alcance de la poblacion y facilitó la oferta de paquetes complementarios, como parte de las buenas paracticas aprendidas en  campo que voliveron efectivas las acciones dirigidas a los usuarios beneficiados con el programa. Ademas esta focalizacion permitió establecer coordinaciones con otras organizaciones socias (TRANS) realizando referencias cruzadas( De las organizaciones de población TRANS a las de HSH y viceversa) al momento de  identificar a las poblaciones; estas acciones permitieron aumentar no solamente el numero de referencia a paquetes complementarios, si no tambien el de paquetes basicos.
Debido al alto grado de aceptacion de los servicos complementarios ofertados por los centros,  se ha podido observar una alta demanda de  estos servicios  y el seguimeintoq ue las organziaciones brindan a los usurios como parte del compromiso de las mismas con los usurios.</t>
  </si>
  <si>
    <t>Para el periodo  4 de ejecucion comprendido de Julio a Diciembre del 2015, tal como en   semestres pasados la promoción de actividades del componente complementario contribuyó grandemente al cierre de los ciclos de prevención al servir de enlace para que la población HSH asistiese a actividades de prevención. Esto a su vez incrementó de manera significativa el número de actividades dentro del componente complementario.
 Para la ejecucion del este  proyecto la mayoría de actividades para el componente complementario se da en los CCPI aumentando la oferta de actividades y diversificando sus temas.
 Durante este periodo se han reportado  un porcentaje significativamente  alto de  servicios complementarios, estos servicios  son demandados pero también responden a la oferta que los CCPI han  brindado.
 Estas actividades fueron realizadas en coordinacion con organizaciones o instituciones( PDDH, MINSAL, Fiscalia General de la República) con las que los SR  mantienen alianzas estratégicas para el desarrollo de este componente.
Cada organización sub receptora  implemento diferentes estrategias que generaron un aumento en la demanda y la oferta para el paquete complementario. Por su parte Oquídeas del Mar continuó implementando su plan de alfabetización dirigido a usuarias a traves de la estrategia de  casas abiertas, la cual consistia en actividades dentro de los CCPI con la colaboaracion de las supervisoras quienes brindaron acompañamiento en este proceso. 
Dentro del paquete complementario relacionado a derechos humanos, se brindo acompañamiento y asesoria legal a TSF sin identidad ( Tramitacion de Documento Unico de identidad, Partidas de nacimiento) y en algunos casos asesoria migratoria en el caso de TSF extranjeras.
PASMO continuó implementando  metodología llamada "Entre Nosotras" para generar demanda a servicios complementarios por parte de la población.</t>
  </si>
  <si>
    <t>Para el  periodo 4 comprendido de Julio a Diciembre del 2015  se pudo ver un incremento del cumplimiento de la meta de paquetes compllementario, resultado del  esfuerzo que las roganziacionnes han estado realziando para llegar a aquellas usuarias que demandan un servicio complementarios, a pesar del ambiente de inseguridad que  aun ha manifestacion de las usuarias se vive, por el nivel de violencia e inseguridad del pais, que para el periodo anterior nos impacto de manera significativa para este indicador, pero fue atravez de estrategias coordiandas en conjunto con socios, como las Clinicas VICITS, PDDHH entreo otros se ha llegar al cumplimento que se refleja para este periodo.
  En el caso de este proyecto la mayoría de actividades para el componente complementario se continuan dando  en los CCPI, y debido a que muchas mujeres Trans tienen temor a trasladarse en horarios diurnos por distintas zonas de centro de San Salvador, debido al accionar de las maras (pandillas y grupos armados), este como un esfuerzo de las instituciones prestadoras de los servicios complelementarios para hacer llegar sus servicios a esta poblacion que por la naturaleza sociodemografica es dificil acceder aunado el temor que les impera de trasladarse a zonas de donde no son originarias por temor a los grupos de delincuentes que las han convertido en un blanco altamente vulnerable.
Cada organización sub receptora implemento diferentes estrategias que tenían la intención de generar un aumento en la demanda y la oferta para el paquete complementario. 
Como parte de las iniciativas del RP se coordinaron actividades en conjunto con las Clinicas VICITS para poder brindar y desentralizar las atenciones de los centros de Salud hacia los CCPI y aumentar el poder de comvocatoria atravez de " Ferias de la Salud" teniendo asi que para el CCPI de San Salvador dirigido por ASPIDH  dicha actividad tuvo la afluencia de 60 mujeres transxeuales mientras que en el CCPI de Stan Ana a cargo de Colectivo Alejandria participaron 20 Mujeres Transexuales quienes fueron beneficiarias de la actividad.</t>
  </si>
  <si>
    <t>* Los compromisos al 31 de Diciembre reportados corresponden a la suma de compromisos en PNUD y Plan</t>
  </si>
  <si>
    <t>12,931,489</t>
  </si>
  <si>
    <t>Compromisos al 31 de Diciembre*</t>
  </si>
  <si>
    <t>* El saldo de caja reportado corresponde a la suma de los saldo en PNUD, Plan y los SR; El dato del compromiso hasta Diciembre puede  variar.</t>
  </si>
  <si>
    <t>Días tardados en presentar el informe de progreso actualizado y solicitud de desembolso al ALF*</t>
  </si>
  <si>
    <t>* Ha solilitud del FM el informe se presentara el 15 de Marzo 2016</t>
  </si>
  <si>
    <t>NOTA: Se actualizado el presupuesto según el nuevo presupuesto aprobado por el FM con ajustes.</t>
  </si>
  <si>
    <t>La diferencia entre el presupuesto aprobado y desembolsos recibidos, debido a que el FM efectuo el ajuste al efectivo tomando en consideraciòn la ejecucion presupuestaria y los compromisos al 31 de octubre/2015, desembolsando el colchòn financiero que corrresponde al primer trimestre el año 2016.</t>
  </si>
  <si>
    <t>La variación entre los desembolsos efectuados por el Fondo Mundial y los gastos del RP+ desembolsos a SR, se debe principalmente a compras en proceso que el RP no logro realizar en el P4. 
La variacion entre los desembolsos a SR y los gastos ejecutados por ellos, se debe principalmente a la recalendarización de actividades asi como, a la contratación tardia de recursos humanos en algunos SR,  que no permitieron la ejecucion total del desembolso asignado.</t>
  </si>
  <si>
    <t>La diferencia entre el presupuesto y los gastos acumulados se debe principalmente a que al cierre del año 2015 se presentaron  compromisos en compras, sobre las cuales se solicitara una recalendarizacion. 
Al cierre 2015 se presentaron todas las ordenes de compras de los insumos de salud correspondientes a ese periodo.</t>
  </si>
  <si>
    <t>A solicitud del Fondo Mundial, se presentara informe PUDR el 15 de Marzo del 2016 (nueva fecha limite), sin embargo se presentara dicho informe para la fecha establecida.</t>
  </si>
  <si>
    <t>La adquisicion de producto de salud a partir del 2015 ha siido realizada por Plan como RP.</t>
  </si>
  <si>
    <t>Al cierre del periodo los producots que presentaban riesgo eran las Mantas de latex y lubricantes de Tubo, a la fecha estos ya fueron superado ya que ingrresaron nuevas compras en Enero 2016.</t>
  </si>
  <si>
    <t>* Fuente de Información : PUDR_S1  VIH,15 Marzo 2016</t>
  </si>
  <si>
    <t xml:space="preserve">El progreso alcanzado durante para el semestre Julio-Diciembre del año 2015 permitió lograr las metas programáticas previstas   de acuerdo a los planes de trabajo  implementados por los socios de prevencion, los cuales incluyeron   el cierre de  ciclos de las usuarias con CUIs que se registraron en el sistema SIGPRO durante el segundo semestre del año 2. Las actividades desarrolladas como parte de los planes operativos anuales   dentro de la estrategia de prevencion combinada fueron: 
1- Actividades de cambio de comportamiento
2- La entrega de insumos como condones, lubricantes a base de agua en las  actividade educativas dentro de la estrategia y en las cantidades requeridas para cada usuaria que participo de las mismas.
3- Referencias a pruebas de VIH hacia los establecimientos de las Clincias VICITS para que puediera servir como puerta de entrada y acceso a los demas servicios que estas ofrecen a las poblacion de mujeres trabajadoras sexuales.
Ademas dentro de estas acciones se realizaron  actividades de autocuido y  talleres especificos donde  se oferto prueba rápida oral  de VIH con pre y post consejería,  promoviendo actividades que permitieron la concentración de la población TSF y así lograr un número mayor de intervenciones. 
Para este semestre las actividades  se fueron dirigidas en las zonas de trabajo sexual  dentro de  zonas geográficas  de concentracion de  población TSF que fueron identificadas por los diferentes SR´s, esto con la finalidad de acercar las atenciones a las usuarias en los centros de trabajo sexual  y de esta forma  pudieran obtener los beneficios del programa y  reicibir los  insumos como condones masculinnos, condones femeninos, lubricantes a base de agua y mantas de latex,  lo que permitio  alcanzar de manera efectiva el cumplimeinto de la meta proyectada.
 Las  coordinaciones e efectivas  del receptor principal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esto como parte de las acciones diarias de los educadores en prevencion cmobinado donde ofertaban no solamente la prueba para VIH, si no tambien la importancia de los demas servicios de prevencion, diagnostico y  tratamiento de otras ITS .
La promoción de actividades del componente complementario contribuyo grandemente al cierre de ciclos del paquete basico, al servir de enlace para que la población TSF asistiese a las  actividades, con  el objetivo de incentivar a las usuarias a acercarse a otros servicios como atenciones sicologicas, asistencia legal, etc. en coordinacion con instituciones prestadoras de estos servicios. Debido a la buena aceptacion que las usuarias mostraron a los servicios complementarios pudo observarse un  incremento de manera significativa el número de actividades dentro del componente complementario.
Tambien en este periodo se desarrolllaron otras actividades de cambio de comportamiento con las usuarias alcanzadas en el año 1   , las cuales fueron registradas como seguimiento. La meta de pauqtes basicos ( Nuevos+seguimientos) fue de 4754 logrando alcanzar a 4017 usuarias representando el 85% que sumaria al compromiso de cumplimiento del año 2015.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</si>
</sst>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_);_(@_)"/>
    <numFmt numFmtId="173" formatCode="_(* #,##0.00_);_(* \(#,##0.00\);_(* \-??_);_(@_)"/>
    <numFmt numFmtId="174" formatCode="_(\$* #,##0.00_);_(\$* \(#,##0.00\);_(\$* \-??_);_(@_)"/>
    <numFmt numFmtId="175" formatCode="d&quot; de &quot;mmm&quot; de &quot;yy"/>
    <numFmt numFmtId="176" formatCode="\Q#,##0_);[Red]&quot;(Q&quot;#,##0\)"/>
    <numFmt numFmtId="177" formatCode="_(* #,##0_);_(* \(#,##0\);_(* \-??_);_(@_)"/>
    <numFmt numFmtId="178" formatCode="#,##0.00;[Red]#,##0.00"/>
    <numFmt numFmtId="179" formatCode="#.##0"/>
    <numFmt numFmtId="180" formatCode="#,##0.00\ _€;[Red]#,##0.00\ _€"/>
    <numFmt numFmtId="181" formatCode="#.##000"/>
    <numFmt numFmtId="182" formatCode="[$$-409]#,##0"/>
    <numFmt numFmtId="183" formatCode="_-* #,##0.00\ _€_-;\-* #,##0.00\ _€_-;_-* \-??\ _€_-;_-@_-"/>
    <numFmt numFmtId="184" formatCode="000%"/>
    <numFmt numFmtId="185" formatCode="#"/>
    <numFmt numFmtId="186" formatCode="0.0"/>
    <numFmt numFmtId="187" formatCode="#.00"/>
    <numFmt numFmtId="188" formatCode="#.##"/>
    <numFmt numFmtId="189" formatCode="dd/mm/yyyy"/>
    <numFmt numFmtId="190" formatCode="[$$-409]#,##0_);\([$$-409]#,##0\)"/>
    <numFmt numFmtId="191" formatCode="d/mmm/yyyy;@"/>
    <numFmt numFmtId="192" formatCode="dd/mm/yy\ hh:mm"/>
    <numFmt numFmtId="193" formatCode="000"/>
    <numFmt numFmtId="194" formatCode="_ * #,##0_ ;_ * \-#,##0_ ;_ * \-_ ;_ @_ "/>
    <numFmt numFmtId="195" formatCode=";;;"/>
    <numFmt numFmtId="196" formatCode=";;;&quot;Financial Variance in %&quot;"/>
    <numFmt numFmtId="197" formatCode="[$-440A]dddd\,\ dd&quot; de &quot;mmmm&quot; de &quot;yyyy"/>
    <numFmt numFmtId="198" formatCode="[$-440A]hh:mm:ss\ AM/PM"/>
    <numFmt numFmtId="199" formatCode="#.##00"/>
    <numFmt numFmtId="200" formatCode="#.#"/>
    <numFmt numFmtId="201" formatCode="_(* #,##0_);_(* \(#,##0\);_(* &quot;-&quot;??_);_(@_)"/>
    <numFmt numFmtId="202" formatCode="0.0%"/>
    <numFmt numFmtId="203" formatCode="0.000"/>
    <numFmt numFmtId="204" formatCode="#.0"/>
    <numFmt numFmtId="205" formatCode="&quot;$&quot;#,##0.000"/>
    <numFmt numFmtId="206" formatCode="&quot;$&quot;#,##0.00"/>
  </numFmts>
  <fonts count="139">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sz val="11"/>
      <color indexed="10"/>
      <name val="Calibri"/>
      <family val="2"/>
    </font>
    <font>
      <b/>
      <sz val="18"/>
      <color indexed="62"/>
      <name val="Cambria"/>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1"/>
      <color indexed="53"/>
      <name val="Calibri"/>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9"/>
      <color indexed="8"/>
      <name val="Calibri"/>
      <family val="2"/>
    </font>
    <font>
      <sz val="9"/>
      <name val="Calibri"/>
      <family val="2"/>
    </font>
    <font>
      <b/>
      <sz val="8"/>
      <name val="Calibri"/>
      <family val="2"/>
    </font>
    <font>
      <b/>
      <sz val="9"/>
      <name val="Tahoma"/>
      <family val="2"/>
    </font>
    <font>
      <sz val="8"/>
      <color indexed="53"/>
      <name val="Calibri"/>
      <family val="2"/>
    </font>
    <font>
      <sz val="6"/>
      <color indexed="8"/>
      <name val="Arial"/>
      <family val="0"/>
    </font>
    <font>
      <sz val="3.05"/>
      <color indexed="8"/>
      <name val="Arial"/>
      <family val="0"/>
    </font>
    <font>
      <sz val="7"/>
      <color indexed="8"/>
      <name val="Calibri"/>
      <family val="0"/>
    </font>
    <font>
      <sz val="7"/>
      <color indexed="8"/>
      <name val="Arial"/>
      <family val="0"/>
    </font>
    <font>
      <sz val="5"/>
      <color indexed="8"/>
      <name val="Arial"/>
      <family val="0"/>
    </font>
    <font>
      <b/>
      <sz val="10.5"/>
      <color indexed="8"/>
      <name val="Calibri"/>
      <family val="0"/>
    </font>
    <font>
      <sz val="6.5"/>
      <color indexed="8"/>
      <name val="Calibri"/>
      <family val="0"/>
    </font>
    <font>
      <b/>
      <sz val="9"/>
      <color indexed="8"/>
      <name val="Arial"/>
      <family val="0"/>
    </font>
    <font>
      <b/>
      <sz val="8"/>
      <color indexed="8"/>
      <name val="Arial"/>
      <family val="0"/>
    </font>
    <font>
      <sz val="8"/>
      <color indexed="8"/>
      <name val="Arial"/>
      <family val="0"/>
    </font>
    <font>
      <sz val="4.35"/>
      <color indexed="8"/>
      <name val="Arial"/>
      <family val="0"/>
    </font>
    <font>
      <sz val="6.75"/>
      <color indexed="8"/>
      <name val="Arial"/>
      <family val="0"/>
    </font>
    <font>
      <sz val="4.25"/>
      <color indexed="8"/>
      <name val="Arial"/>
      <family val="0"/>
    </font>
    <font>
      <sz val="4.5"/>
      <color indexed="8"/>
      <name val="Arial"/>
      <family val="0"/>
    </font>
    <font>
      <b/>
      <sz val="5.5"/>
      <color indexed="8"/>
      <name val="Arial"/>
      <family val="0"/>
    </font>
    <font>
      <sz val="4.75"/>
      <color indexed="8"/>
      <name val="Arial"/>
      <family val="0"/>
    </font>
    <font>
      <sz val="11"/>
      <color indexed="35"/>
      <name val="Calibri"/>
      <family val="2"/>
    </font>
    <font>
      <b/>
      <i/>
      <sz val="8"/>
      <color indexed="8"/>
      <name val="Calibri"/>
      <family val="2"/>
    </font>
    <font>
      <sz val="12"/>
      <color indexed="8"/>
      <name val="Arial"/>
      <family val="0"/>
    </font>
    <font>
      <b/>
      <sz val="5.75"/>
      <color indexed="8"/>
      <name val="Arial"/>
      <family val="0"/>
    </font>
    <font>
      <sz val="11"/>
      <color theme="4" tint="0.39998000860214233"/>
      <name val="Calibri"/>
      <family val="2"/>
    </font>
    <font>
      <b/>
      <i/>
      <sz val="8"/>
      <color theme="1"/>
      <name val="Calibri"/>
      <family val="2"/>
    </font>
  </fonts>
  <fills count="4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61"/>
        <bgColor indexed="64"/>
      </patternFill>
    </fill>
    <fill>
      <patternFill patternType="solid">
        <fgColor indexed="55"/>
        <bgColor indexed="64"/>
      </patternFill>
    </fill>
    <fill>
      <patternFill patternType="solid">
        <fgColor indexed="62"/>
        <bgColor indexed="64"/>
      </patternFill>
    </fill>
    <fill>
      <patternFill patternType="solid">
        <fgColor indexed="28"/>
        <bgColor indexed="64"/>
      </patternFill>
    </fill>
    <fill>
      <patternFill patternType="solid">
        <fgColor indexed="47"/>
        <bgColor indexed="64"/>
      </patternFill>
    </fill>
    <fill>
      <patternFill patternType="solid">
        <fgColor indexed="34"/>
        <bgColor indexed="64"/>
      </patternFill>
    </fill>
    <fill>
      <patternFill patternType="gray0625">
        <fgColor indexed="52"/>
      </patternFill>
    </fill>
    <fill>
      <patternFill patternType="solid">
        <fgColor indexed="43"/>
        <bgColor indexed="64"/>
      </patternFill>
    </fill>
    <fill>
      <patternFill patternType="solid">
        <fgColor indexed="43"/>
        <bgColor indexed="64"/>
      </patternFill>
    </fill>
    <fill>
      <patternFill patternType="solid">
        <fgColor indexed="25"/>
        <bgColor indexed="64"/>
      </patternFill>
    </fill>
    <fill>
      <patternFill patternType="solid">
        <fgColor rgb="FFFFFF00"/>
        <bgColor indexed="64"/>
      </patternFill>
    </fill>
    <fill>
      <patternFill patternType="solid">
        <fgColor theme="8" tint="0.39998000860214233"/>
        <bgColor indexed="64"/>
      </patternFill>
    </fill>
    <fill>
      <patternFill patternType="solid">
        <fgColor indexed="18"/>
        <bgColor indexed="64"/>
      </patternFill>
    </fill>
    <fill>
      <patternFill patternType="solid">
        <fgColor indexed="43"/>
        <bgColor indexed="64"/>
      </patternFill>
    </fill>
    <fill>
      <patternFill patternType="gray0625">
        <fgColor indexed="52"/>
        <bgColor indexed="43"/>
      </patternFill>
    </fill>
    <fill>
      <patternFill patternType="solid">
        <fgColor indexed="13"/>
        <bgColor indexed="64"/>
      </patternFill>
    </fill>
  </fills>
  <borders count="2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thin">
        <color indexed="58"/>
      </left>
      <right style="thin">
        <color indexed="58"/>
      </right>
      <top style="thin">
        <color indexed="58"/>
      </top>
      <bottom style="thin">
        <color indexed="58"/>
      </bottom>
    </border>
    <border>
      <left style="medium">
        <color indexed="32"/>
      </left>
      <right style="thin">
        <color indexed="32"/>
      </right>
      <top>
        <color indexed="63"/>
      </top>
      <bottom style="thin">
        <color indexed="32"/>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medium">
        <color indexed="32"/>
      </top>
      <bottom style="thin">
        <color indexed="32"/>
      </bottom>
    </border>
    <border>
      <left style="medium">
        <color indexed="32"/>
      </left>
      <right style="thin">
        <color indexed="32"/>
      </right>
      <top style="thin">
        <color indexed="32"/>
      </top>
      <bottom style="medium">
        <color indexed="32"/>
      </bottom>
    </border>
    <border>
      <left style="thin">
        <color indexed="32"/>
      </left>
      <right style="medium">
        <color indexed="32"/>
      </right>
      <top style="thin">
        <color indexed="32"/>
      </top>
      <bottom style="medium">
        <color indexed="32"/>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thin">
        <color indexed="16"/>
      </left>
      <right style="thin">
        <color indexed="16"/>
      </right>
      <top style="thin">
        <color indexed="16"/>
      </top>
      <bottom>
        <color indexed="63"/>
      </bottom>
    </border>
    <border>
      <left style="thin">
        <color indexed="60"/>
      </left>
      <right style="thin">
        <color indexed="60"/>
      </right>
      <top style="thin">
        <color indexed="60"/>
      </top>
      <bottom style="medium">
        <color indexed="60"/>
      </bottom>
    </border>
    <border>
      <left>
        <color indexed="63"/>
      </left>
      <right style="medium">
        <color indexed="51"/>
      </right>
      <top>
        <color indexed="63"/>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style="thin"/>
      <top>
        <color indexed="63"/>
      </top>
      <bottom style="thin"/>
    </border>
    <border>
      <left>
        <color indexed="63"/>
      </left>
      <right style="thin">
        <color indexed="58"/>
      </right>
      <top style="thin">
        <color indexed="58"/>
      </top>
      <bottom style="thin">
        <color indexed="58"/>
      </bottom>
    </border>
    <border>
      <left>
        <color indexed="63"/>
      </left>
      <right style="thin">
        <color indexed="58"/>
      </right>
      <top style="thin">
        <color indexed="58"/>
      </top>
      <bottom>
        <color indexed="63"/>
      </bottom>
    </border>
    <border>
      <left style="medium"/>
      <right style="thin">
        <color indexed="32"/>
      </right>
      <top style="medium"/>
      <bottom style="thin">
        <color indexed="32"/>
      </bottom>
    </border>
    <border>
      <left style="thin">
        <color indexed="32"/>
      </left>
      <right style="thin">
        <color indexed="32"/>
      </right>
      <top style="medium"/>
      <bottom>
        <color indexed="63"/>
      </bottom>
    </border>
    <border>
      <left style="thin">
        <color indexed="32"/>
      </left>
      <right style="thin">
        <color indexed="32"/>
      </right>
      <top style="medium"/>
      <bottom style="thin">
        <color indexed="32"/>
      </bottom>
    </border>
    <border>
      <left style="thin">
        <color indexed="32"/>
      </left>
      <right style="medium"/>
      <top style="thin">
        <color indexed="32"/>
      </top>
      <bottom style="thin">
        <color indexed="32"/>
      </bottom>
    </border>
    <border>
      <left style="thin"/>
      <right style="thin"/>
      <top style="thin"/>
      <bottom style="medium"/>
    </border>
    <border>
      <left>
        <color indexed="63"/>
      </left>
      <right style="thin">
        <color indexed="58"/>
      </right>
      <top style="thin">
        <color indexed="58"/>
      </top>
      <bottom style="medium"/>
    </border>
    <border>
      <left style="thin">
        <color indexed="32"/>
      </left>
      <right style="thin">
        <color indexed="32"/>
      </right>
      <top style="thin">
        <color indexed="32"/>
      </top>
      <bottom style="medium">
        <color indexed="32"/>
      </bottom>
    </border>
    <border>
      <left style="medium">
        <color indexed="32"/>
      </left>
      <right style="thin">
        <color indexed="32"/>
      </right>
      <top style="medium">
        <color indexed="32"/>
      </top>
      <bottom>
        <color indexed="63"/>
      </bottom>
    </border>
    <border>
      <left style="thin">
        <color indexed="32"/>
      </left>
      <right>
        <color indexed="63"/>
      </right>
      <top style="medium">
        <color indexed="32"/>
      </top>
      <bottom>
        <color indexed="63"/>
      </bottom>
    </border>
    <border>
      <left style="thin">
        <color indexed="32"/>
      </left>
      <right style="thin">
        <color indexed="32"/>
      </right>
      <top style="medium">
        <color indexed="32"/>
      </top>
      <bottom>
        <color indexed="63"/>
      </bottom>
    </border>
    <border>
      <left>
        <color indexed="63"/>
      </left>
      <right style="medium">
        <color indexed="32"/>
      </right>
      <top style="medium">
        <color indexed="32"/>
      </top>
      <bottom>
        <color indexed="63"/>
      </bottom>
    </border>
    <border>
      <left style="thin">
        <color indexed="32"/>
      </left>
      <right>
        <color indexed="63"/>
      </right>
      <top style="medium"/>
      <bottom style="thin">
        <color indexed="32"/>
      </bottom>
    </border>
    <border>
      <left>
        <color indexed="63"/>
      </left>
      <right style="medium"/>
      <top style="thin">
        <color indexed="32"/>
      </top>
      <bottom style="thin">
        <color indexed="32"/>
      </bottom>
    </border>
    <border>
      <left style="thin">
        <color indexed="32"/>
      </left>
      <right style="thin">
        <color indexed="32"/>
      </right>
      <top style="thin">
        <color indexed="32"/>
      </top>
      <bottom style="medium"/>
    </border>
    <border>
      <left style="thin">
        <color indexed="58"/>
      </left>
      <right style="thin">
        <color indexed="58"/>
      </right>
      <top style="thin">
        <color indexed="58"/>
      </top>
      <bottom style="medium"/>
    </border>
    <border>
      <left style="medium">
        <color theme="5"/>
      </left>
      <right style="thin"/>
      <top style="medium">
        <color theme="5"/>
      </top>
      <bottom style="thin"/>
    </border>
    <border>
      <left style="thin"/>
      <right style="thin"/>
      <top style="medium">
        <color theme="5"/>
      </top>
      <bottom style="thin"/>
    </border>
    <border>
      <left style="thin"/>
      <right style="medium">
        <color theme="5"/>
      </right>
      <top style="medium">
        <color theme="5"/>
      </top>
      <bottom style="thin"/>
    </border>
    <border>
      <left style="medium">
        <color theme="5"/>
      </left>
      <right style="thin"/>
      <top style="thin"/>
      <bottom style="thin"/>
    </border>
    <border>
      <left style="thin"/>
      <right style="medium">
        <color theme="5"/>
      </right>
      <top style="thin"/>
      <bottom style="thin"/>
    </border>
    <border>
      <left style="medium">
        <color theme="5"/>
      </left>
      <right style="thin"/>
      <top style="thin"/>
      <bottom style="medium">
        <color theme="5"/>
      </bottom>
    </border>
    <border>
      <left style="thin"/>
      <right style="thin"/>
      <top style="thin"/>
      <bottom style="medium">
        <color theme="5"/>
      </bottom>
    </border>
    <border>
      <left style="thin"/>
      <right style="medium">
        <color theme="5"/>
      </right>
      <top style="thin"/>
      <bottom style="medium">
        <color theme="5"/>
      </bottom>
    </border>
    <border>
      <left>
        <color indexed="63"/>
      </left>
      <right style="thin">
        <color indexed="32"/>
      </right>
      <top>
        <color indexed="63"/>
      </top>
      <bottom>
        <color indexed="63"/>
      </bottom>
    </border>
    <border>
      <left style="thin">
        <color indexed="32"/>
      </left>
      <right style="medium"/>
      <top style="medium"/>
      <bottom style="thin">
        <color indexed="32"/>
      </bottom>
    </border>
    <border>
      <left style="thin">
        <color indexed="32"/>
      </left>
      <right style="thin">
        <color indexed="32"/>
      </right>
      <top style="thin">
        <color indexed="32"/>
      </top>
      <bottom>
        <color indexed="63"/>
      </bottom>
    </border>
    <border>
      <left>
        <color indexed="63"/>
      </left>
      <right>
        <color indexed="63"/>
      </right>
      <top style="thin">
        <color indexed="32"/>
      </top>
      <bottom>
        <color indexed="63"/>
      </bottom>
    </border>
    <border>
      <left style="thin">
        <color indexed="32"/>
      </left>
      <right style="thin">
        <color indexed="32"/>
      </right>
      <top style="thin">
        <color indexed="58"/>
      </top>
      <bottom>
        <color indexed="63"/>
      </bottom>
    </border>
    <border>
      <left style="thin">
        <color indexed="32"/>
      </left>
      <right style="thin">
        <color indexed="32"/>
      </right>
      <top>
        <color indexed="63"/>
      </top>
      <bottom>
        <color indexed="63"/>
      </bottom>
    </border>
    <border>
      <left style="thin">
        <color indexed="32"/>
      </left>
      <right style="thin">
        <color indexed="32"/>
      </right>
      <top>
        <color indexed="63"/>
      </top>
      <bottom style="medium"/>
    </border>
    <border>
      <left style="thin">
        <color indexed="32"/>
      </left>
      <right style="thin">
        <color indexed="32"/>
      </right>
      <top>
        <color indexed="63"/>
      </top>
      <bottom style="thin">
        <color indexed="58"/>
      </bottom>
    </border>
    <border>
      <left style="medium"/>
      <right>
        <color indexed="63"/>
      </right>
      <top style="thin">
        <color indexed="32"/>
      </top>
      <bottom style="medium">
        <color indexed="32"/>
      </bottom>
    </border>
    <border>
      <left style="medium"/>
      <right>
        <color indexed="63"/>
      </right>
      <top style="thin">
        <color indexed="32"/>
      </top>
      <bottom style="medium"/>
    </border>
    <border>
      <left style="thin">
        <color indexed="32"/>
      </left>
      <right style="medium"/>
      <top style="thin">
        <color indexed="32"/>
      </top>
      <bottom>
        <color indexed="63"/>
      </bottom>
    </border>
    <border>
      <left style="thin">
        <color indexed="32"/>
      </left>
      <right style="medium"/>
      <top>
        <color indexed="63"/>
      </top>
      <bottom>
        <color indexed="63"/>
      </bottom>
    </border>
    <border>
      <left style="thin">
        <color indexed="32"/>
      </left>
      <right style="medium"/>
      <top>
        <color indexed="63"/>
      </top>
      <bottom style="medium"/>
    </border>
    <border>
      <left style="thin">
        <color indexed="32"/>
      </left>
      <right style="medium"/>
      <top>
        <color indexed="63"/>
      </top>
      <bottom style="thin">
        <color indexed="32"/>
      </botto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thin">
        <color indexed="32"/>
      </top>
      <bottom style="medium">
        <color indexed="51"/>
      </bottom>
    </border>
    <border>
      <left style="medium">
        <color indexed="51"/>
      </left>
      <right/>
      <top style="thin"/>
      <bottom/>
    </border>
    <border>
      <left>
        <color indexed="63"/>
      </left>
      <right>
        <color indexed="63"/>
      </right>
      <top style="thin"/>
      <bottom>
        <color indexed="63"/>
      </bottom>
    </border>
    <border>
      <left/>
      <right style="medium">
        <color indexed="51"/>
      </right>
      <top style="thin"/>
      <bottom/>
    </border>
    <border>
      <left style="medium">
        <color indexed="51"/>
      </left>
      <right>
        <color indexed="63"/>
      </right>
      <top>
        <color indexed="63"/>
      </top>
      <bottom style="thin"/>
    </border>
    <border>
      <left>
        <color indexed="63"/>
      </left>
      <right>
        <color indexed="63"/>
      </right>
      <top>
        <color indexed="63"/>
      </top>
      <bottom style="thin"/>
    </border>
    <border>
      <left>
        <color indexed="63"/>
      </left>
      <right style="medium">
        <color indexed="51"/>
      </right>
      <top>
        <color indexed="63"/>
      </top>
      <bottom style="thin"/>
    </border>
    <border>
      <left style="medium">
        <color indexed="51"/>
      </left>
      <right style="medium">
        <color indexed="51"/>
      </right>
      <top style="thin"/>
      <bottom/>
    </border>
    <border>
      <left style="medium">
        <color indexed="51"/>
      </left>
      <right style="medium">
        <color indexed="51"/>
      </right>
      <top>
        <color indexed="63"/>
      </top>
      <bottom style="thin"/>
    </border>
    <border>
      <left style="medium">
        <color indexed="51"/>
      </left>
      <right style="thin"/>
      <top style="thin"/>
      <bottom/>
    </border>
    <border>
      <left style="medium">
        <color indexed="51"/>
      </left>
      <right style="thin"/>
      <top>
        <color indexed="63"/>
      </top>
      <bottom style="thin"/>
    </border>
    <border>
      <left style="medium">
        <color indexed="48"/>
      </left>
      <right style="thin">
        <color indexed="32"/>
      </right>
      <top style="medium">
        <color indexed="48"/>
      </top>
      <bottom style="thin">
        <color indexed="32"/>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medium">
        <color indexed="32"/>
      </left>
      <right>
        <color indexed="63"/>
      </right>
      <top style="thin">
        <color indexed="32"/>
      </top>
      <bottom style="medium">
        <color indexed="32"/>
      </bottom>
    </border>
    <border>
      <left>
        <color indexed="63"/>
      </left>
      <right style="medium">
        <color indexed="32"/>
      </right>
      <top style="thin">
        <color indexed="32"/>
      </top>
      <bottom style="medium">
        <color indexed="32"/>
      </botto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medium">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style="medium">
        <color indexed="32"/>
      </left>
      <right>
        <color indexed="63"/>
      </right>
      <top style="thin">
        <color indexed="32"/>
      </top>
      <bottom style="thin">
        <color indexed="32"/>
      </bottom>
    </border>
    <border>
      <left>
        <color indexed="63"/>
      </left>
      <right style="medium">
        <color indexed="32"/>
      </right>
      <top style="thin">
        <color indexed="32"/>
      </top>
      <bottom style="thin">
        <color indexed="32"/>
      </bottom>
    </border>
    <border>
      <left style="medium"/>
      <right style="thin">
        <color indexed="32"/>
      </right>
      <top style="medium"/>
      <bottom>
        <color indexed="63"/>
      </bottom>
    </border>
    <border>
      <left style="medium"/>
      <right style="thin">
        <color indexed="32"/>
      </right>
      <top>
        <color indexed="63"/>
      </top>
      <bottom>
        <color indexed="63"/>
      </bottom>
    </border>
    <border>
      <left style="medium"/>
      <right style="thin">
        <color indexed="32"/>
      </right>
      <top>
        <color indexed="63"/>
      </top>
      <bottom style="medium"/>
    </border>
    <border>
      <left style="thin">
        <color indexed="32"/>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medium">
        <color indexed="51"/>
      </bottom>
    </border>
    <border>
      <left style="medium">
        <color indexed="51"/>
      </left>
      <right style="medium">
        <color indexed="51"/>
      </right>
      <top style="hair">
        <color indexed="51"/>
      </top>
      <bottom style="hair">
        <color indexed="51"/>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color indexed="63"/>
      </left>
      <right style="medium">
        <color indexed="52"/>
      </right>
      <top>
        <color indexed="63"/>
      </top>
      <bottom>
        <color indexed="63"/>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style="medium">
        <color indexed="32"/>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hair">
        <color indexed="32"/>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hair">
        <color indexed="32"/>
      </top>
      <bottom style="hair">
        <color indexed="32"/>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color indexed="63"/>
      </left>
      <right style="medium">
        <color indexed="32"/>
      </right>
      <top style="hair">
        <color indexed="32"/>
      </top>
      <bottom style="medium">
        <color indexed="32"/>
      </bottom>
    </border>
    <border>
      <left>
        <color indexed="63"/>
      </left>
      <right style="medium">
        <color indexed="32"/>
      </right>
      <top style="hair">
        <color indexed="32"/>
      </top>
      <bottom style="hair">
        <color indexed="32"/>
      </bottom>
    </border>
    <border>
      <left style="hair">
        <color indexed="32"/>
      </left>
      <right style="medium">
        <color indexed="32"/>
      </right>
      <top style="medium">
        <color indexed="57"/>
      </top>
      <bottom style="hair">
        <color indexed="32"/>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5" fillId="2" borderId="1" applyNumberFormat="0" applyAlignment="0" applyProtection="0"/>
    <xf numFmtId="0" fontId="5" fillId="10" borderId="1" applyNumberFormat="0" applyAlignment="0" applyProtection="0"/>
    <xf numFmtId="0" fontId="6" fillId="25" borderId="2" applyNumberFormat="0" applyAlignment="0" applyProtection="0"/>
    <xf numFmtId="0" fontId="7" fillId="0" borderId="3" applyNumberFormat="0" applyFill="0" applyAlignment="0" applyProtection="0"/>
    <xf numFmtId="0" fontId="6" fillId="25" borderId="2" applyNumberFormat="0" applyAlignment="0" applyProtection="0"/>
    <xf numFmtId="0" fontId="20" fillId="0" borderId="4" applyNumberFormat="0" applyFill="0" applyAlignment="0" applyProtection="0"/>
    <xf numFmtId="0" fontId="8" fillId="0" borderId="0" applyNumberFormat="0" applyFill="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9" fillId="3" borderId="1" applyNumberFormat="0" applyAlignment="0" applyProtection="0"/>
    <xf numFmtId="172" fontId="0" fillId="0" borderId="0" applyFill="0" applyBorder="0" applyAlignment="0" applyProtection="0"/>
    <xf numFmtId="0" fontId="10" fillId="0" borderId="0" applyNumberFormat="0" applyFill="0" applyBorder="0" applyAlignment="0" applyProtection="0"/>
    <xf numFmtId="0" fontId="4" fillId="8"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3" fillId="7" borderId="0" applyNumberFormat="0" applyBorder="0" applyAlignment="0" applyProtection="0"/>
    <xf numFmtId="0" fontId="9" fillId="3" borderId="1" applyNumberFormat="0" applyAlignment="0" applyProtection="0"/>
    <xf numFmtId="0" fontId="7" fillId="0" borderId="3" applyNumberFormat="0" applyFill="0" applyAlignment="0" applyProtection="0"/>
    <xf numFmtId="173" fontId="0" fillId="0" borderId="0" applyFill="0" applyBorder="0" applyAlignment="0" applyProtection="0"/>
    <xf numFmtId="41" fontId="1" fillId="0" borderId="0" applyFill="0" applyBorder="0" applyAlignment="0" applyProtection="0"/>
    <xf numFmtId="173"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4" fillId="12" borderId="0" applyNumberFormat="0" applyBorder="0" applyAlignment="0" applyProtection="0"/>
    <xf numFmtId="173"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1" fillId="0" borderId="0">
      <alignment/>
      <protection/>
    </xf>
    <xf numFmtId="0" fontId="0" fillId="4" borderId="8" applyNumberFormat="0" applyAlignment="0" applyProtection="0"/>
    <xf numFmtId="0" fontId="0" fillId="4" borderId="8" applyNumberFormat="0" applyAlignment="0" applyProtection="0"/>
    <xf numFmtId="0" fontId="15" fillId="2" borderId="9" applyNumberFormat="0" applyAlignment="0" applyProtection="0"/>
    <xf numFmtId="9"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15" fillId="10" borderId="9" applyNumberFormat="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8"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18" fillId="0" borderId="11" applyNumberFormat="0" applyFill="0" applyAlignment="0" applyProtection="0"/>
    <xf numFmtId="0" fontId="22" fillId="0" borderId="0" applyNumberFormat="0" applyFill="0" applyBorder="0" applyAlignment="0" applyProtection="0"/>
  </cellStyleXfs>
  <cellXfs count="770">
    <xf numFmtId="0" fontId="0" fillId="0" borderId="0" xfId="0" applyAlignment="1">
      <alignment/>
    </xf>
    <xf numFmtId="173" fontId="24" fillId="0" borderId="0" xfId="98" applyFont="1" applyFill="1" applyAlignment="1">
      <alignment vertical="center"/>
      <protection/>
    </xf>
    <xf numFmtId="0" fontId="26" fillId="0" borderId="0" xfId="0" applyFont="1" applyAlignment="1">
      <alignment/>
    </xf>
    <xf numFmtId="173" fontId="26" fillId="0" borderId="0" xfId="0" applyNumberFormat="1" applyFont="1" applyAlignment="1">
      <alignment/>
    </xf>
    <xf numFmtId="173" fontId="26"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73" fontId="23" fillId="0" borderId="0" xfId="97" applyFont="1" applyFill="1" applyAlignment="1" applyProtection="1">
      <alignment horizontal="center" vertical="center"/>
      <protection/>
    </xf>
    <xf numFmtId="173" fontId="24" fillId="0" borderId="0" xfId="97" applyFont="1" applyFill="1" applyAlignment="1" applyProtection="1">
      <alignment vertical="center"/>
      <protection/>
    </xf>
    <xf numFmtId="0" fontId="22" fillId="0" borderId="0" xfId="0" applyFont="1" applyAlignment="1">
      <alignment/>
    </xf>
    <xf numFmtId="0" fontId="0" fillId="0" borderId="0" xfId="0" applyBorder="1" applyAlignment="1">
      <alignment/>
    </xf>
    <xf numFmtId="0" fontId="22" fillId="0" borderId="0" xfId="0" applyFont="1" applyBorder="1" applyAlignment="1">
      <alignment/>
    </xf>
    <xf numFmtId="0" fontId="0" fillId="0" borderId="0" xfId="0" applyBorder="1" applyAlignment="1">
      <alignment horizontal="center"/>
    </xf>
    <xf numFmtId="0" fontId="38" fillId="0" borderId="0" xfId="0" applyFont="1" applyFill="1" applyAlignment="1">
      <alignment/>
    </xf>
    <xf numFmtId="0" fontId="0" fillId="0" borderId="0" xfId="0" applyFont="1" applyAlignment="1">
      <alignment/>
    </xf>
    <xf numFmtId="0" fontId="30" fillId="12" borderId="12" xfId="0" applyFont="1" applyFill="1" applyBorder="1" applyAlignment="1">
      <alignment horizontal="justify" vertical="center" wrapText="1"/>
    </xf>
    <xf numFmtId="0" fontId="34" fillId="12" borderId="13" xfId="0" applyFont="1" applyFill="1" applyBorder="1" applyAlignment="1">
      <alignment horizontal="justify" vertical="center" wrapText="1"/>
    </xf>
    <xf numFmtId="0" fontId="34" fillId="12" borderId="14" xfId="0" applyFont="1" applyFill="1" applyBorder="1" applyAlignment="1">
      <alignment horizontal="justify" vertical="center" wrapText="1"/>
    </xf>
    <xf numFmtId="0" fontId="30" fillId="12" borderId="12" xfId="0" applyFont="1" applyFill="1" applyBorder="1" applyAlignment="1">
      <alignment horizontal="left" vertical="center" wrapText="1"/>
    </xf>
    <xf numFmtId="0" fontId="30" fillId="12" borderId="13" xfId="0" applyFont="1" applyFill="1" applyBorder="1" applyAlignment="1">
      <alignment horizontal="left" vertical="center" wrapText="1"/>
    </xf>
    <xf numFmtId="0" fontId="30" fillId="12" borderId="14" xfId="0" applyFont="1" applyFill="1" applyBorder="1" applyAlignment="1">
      <alignment horizontal="left" vertical="center" wrapText="1"/>
    </xf>
    <xf numFmtId="0" fontId="30" fillId="0" borderId="12"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2" xfId="0" applyFont="1" applyBorder="1" applyAlignment="1" applyProtection="1">
      <alignment horizontal="justify" vertical="center" wrapText="1"/>
      <protection locked="0"/>
    </xf>
    <xf numFmtId="0" fontId="34" fillId="0" borderId="13" xfId="0" applyFont="1" applyBorder="1" applyAlignment="1" applyProtection="1">
      <alignment horizontal="justify" vertical="center" wrapText="1"/>
      <protection locked="0"/>
    </xf>
    <xf numFmtId="0" fontId="34" fillId="0" borderId="14" xfId="0" applyFont="1" applyBorder="1" applyAlignment="1" applyProtection="1">
      <alignment horizontal="justify" vertical="center" wrapText="1"/>
      <protection locked="0"/>
    </xf>
    <xf numFmtId="0" fontId="33" fillId="0" borderId="12" xfId="0" applyFont="1" applyBorder="1" applyAlignment="1">
      <alignment vertical="center" wrapText="1"/>
    </xf>
    <xf numFmtId="0" fontId="33" fillId="0" borderId="13" xfId="0" applyFont="1" applyBorder="1" applyAlignment="1">
      <alignment vertical="center" wrapText="1"/>
    </xf>
    <xf numFmtId="0" fontId="30"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0" fillId="0" borderId="14" xfId="0" applyFont="1" applyBorder="1" applyAlignment="1">
      <alignment horizontal="justify" vertical="center" wrapText="1"/>
    </xf>
    <xf numFmtId="0" fontId="30" fillId="0" borderId="12" xfId="0" applyFont="1" applyBorder="1" applyAlignment="1">
      <alignment horizontal="justify" vertical="center" wrapText="1"/>
    </xf>
    <xf numFmtId="173" fontId="43" fillId="0" borderId="0" xfId="89" applyFont="1" applyFill="1" applyAlignment="1" applyProtection="1">
      <alignment vertical="center"/>
      <protection/>
    </xf>
    <xf numFmtId="173" fontId="44" fillId="0" borderId="0" xfId="0" applyNumberFormat="1" applyFont="1" applyAlignment="1" applyProtection="1">
      <alignment horizontal="right"/>
      <protection/>
    </xf>
    <xf numFmtId="173" fontId="0" fillId="0" borderId="15" xfId="0" applyNumberFormat="1" applyFont="1" applyBorder="1" applyAlignment="1" applyProtection="1">
      <alignment horizontal="center"/>
      <protection locked="0"/>
    </xf>
    <xf numFmtId="173" fontId="44" fillId="0" borderId="0" xfId="0" applyNumberFormat="1" applyFont="1" applyBorder="1" applyAlignment="1" applyProtection="1">
      <alignment horizontal="right"/>
      <protection/>
    </xf>
    <xf numFmtId="0" fontId="44" fillId="0" borderId="0" xfId="0" applyFont="1" applyAlignment="1" applyProtection="1">
      <alignment horizontal="right"/>
      <protection/>
    </xf>
    <xf numFmtId="0" fontId="44" fillId="0" borderId="0" xfId="0" applyFont="1" applyAlignment="1" applyProtection="1">
      <alignment/>
      <protection/>
    </xf>
    <xf numFmtId="49" fontId="44" fillId="0" borderId="0" xfId="0" applyNumberFormat="1" applyFont="1" applyAlignment="1" applyProtection="1">
      <alignment horizontal="right"/>
      <protection/>
    </xf>
    <xf numFmtId="0" fontId="44" fillId="0" borderId="0" xfId="0" applyFont="1" applyBorder="1" applyAlignment="1" applyProtection="1">
      <alignment/>
      <protection/>
    </xf>
    <xf numFmtId="175" fontId="0" fillId="0" borderId="0" xfId="0" applyNumberFormat="1" applyAlignment="1" applyProtection="1">
      <alignment/>
      <protection/>
    </xf>
    <xf numFmtId="175" fontId="0" fillId="0" borderId="15" xfId="126" applyNumberFormat="1" applyFont="1" applyFill="1" applyBorder="1" applyAlignment="1" applyProtection="1">
      <alignment horizontal="center"/>
      <protection locked="0"/>
    </xf>
    <xf numFmtId="173" fontId="44" fillId="0" borderId="16" xfId="0" applyNumberFormat="1" applyFont="1" applyBorder="1" applyAlignment="1" applyProtection="1">
      <alignment horizontal="right"/>
      <protection/>
    </xf>
    <xf numFmtId="0" fontId="0" fillId="0" borderId="0" xfId="0" applyBorder="1" applyAlignment="1" applyProtection="1">
      <alignment/>
      <protection/>
    </xf>
    <xf numFmtId="173" fontId="44" fillId="0" borderId="0" xfId="0" applyNumberFormat="1" applyFont="1" applyAlignment="1" applyProtection="1">
      <alignment/>
      <protection/>
    </xf>
    <xf numFmtId="0" fontId="0" fillId="0" borderId="0" xfId="0" applyAlignment="1" applyProtection="1">
      <alignment/>
      <protection/>
    </xf>
    <xf numFmtId="0" fontId="0" fillId="3" borderId="15" xfId="0" applyFill="1" applyBorder="1" applyAlignment="1" applyProtection="1">
      <alignment/>
      <protection/>
    </xf>
    <xf numFmtId="0" fontId="0" fillId="13" borderId="15" xfId="0" applyFill="1" applyBorder="1" applyAlignment="1" applyProtection="1">
      <alignment/>
      <protection/>
    </xf>
    <xf numFmtId="0" fontId="0" fillId="0" borderId="0" xfId="0" applyFill="1" applyBorder="1" applyAlignment="1">
      <alignment/>
    </xf>
    <xf numFmtId="173" fontId="46" fillId="0" borderId="17" xfId="132" applyNumberFormat="1" applyFont="1" applyFill="1" applyBorder="1" applyAlignment="1" applyProtection="1">
      <alignment/>
      <protection/>
    </xf>
    <xf numFmtId="173" fontId="0" fillId="0" borderId="17" xfId="132" applyNumberFormat="1" applyFill="1" applyBorder="1" applyAlignment="1" applyProtection="1">
      <alignment vertical="center"/>
      <protection/>
    </xf>
    <xf numFmtId="173" fontId="47" fillId="0" borderId="17" xfId="132" applyNumberFormat="1" applyFont="1" applyFill="1" applyBorder="1" applyAlignment="1" applyProtection="1">
      <alignment horizontal="left" vertical="center"/>
      <protection/>
    </xf>
    <xf numFmtId="173" fontId="0" fillId="3" borderId="18" xfId="132" applyNumberFormat="1" applyFill="1" applyBorder="1" applyAlignment="1" applyProtection="1">
      <alignment vertical="center"/>
      <protection/>
    </xf>
    <xf numFmtId="173" fontId="48" fillId="0" borderId="0" xfId="132" applyNumberFormat="1" applyFont="1" applyFill="1" applyBorder="1" applyAlignment="1" applyProtection="1">
      <alignment vertical="center"/>
      <protection locked="0"/>
    </xf>
    <xf numFmtId="173" fontId="28" fillId="0" borderId="15" xfId="0" applyNumberFormat="1" applyFont="1" applyBorder="1" applyAlignment="1" applyProtection="1">
      <alignment horizontal="center"/>
      <protection locked="0"/>
    </xf>
    <xf numFmtId="173" fontId="0" fillId="0" borderId="0" xfId="132" applyNumberFormat="1" applyFill="1" applyBorder="1" applyAlignment="1" applyProtection="1">
      <alignment vertical="center"/>
      <protection/>
    </xf>
    <xf numFmtId="173" fontId="0" fillId="0" borderId="0" xfId="132" applyNumberFormat="1" applyFont="1" applyFill="1" applyBorder="1" applyAlignment="1" applyProtection="1">
      <alignment vertical="center"/>
      <protection/>
    </xf>
    <xf numFmtId="173" fontId="0" fillId="0" borderId="0" xfId="132" applyNumberFormat="1" applyFill="1" applyBorder="1" applyAlignment="1" applyProtection="1">
      <alignment vertical="center"/>
      <protection locked="0"/>
    </xf>
    <xf numFmtId="173" fontId="46" fillId="0" borderId="0" xfId="132" applyNumberFormat="1" applyFont="1" applyFill="1" applyBorder="1" applyAlignment="1" applyProtection="1">
      <alignment/>
      <protection/>
    </xf>
    <xf numFmtId="176" fontId="2" fillId="2" borderId="0" xfId="0" applyNumberFormat="1" applyFont="1" applyFill="1" applyAlignment="1">
      <alignment/>
    </xf>
    <xf numFmtId="177" fontId="2" fillId="2" borderId="0" xfId="0" applyNumberFormat="1" applyFont="1" applyFill="1" applyAlignment="1">
      <alignment/>
    </xf>
    <xf numFmtId="0" fontId="2" fillId="2" borderId="0" xfId="0" applyFont="1" applyFill="1" applyAlignment="1">
      <alignment/>
    </xf>
    <xf numFmtId="173" fontId="49" fillId="0" borderId="19" xfId="0" applyNumberFormat="1" applyFont="1" applyBorder="1" applyAlignment="1" applyProtection="1">
      <alignment horizontal="left"/>
      <protection/>
    </xf>
    <xf numFmtId="176" fontId="49" fillId="10" borderId="20" xfId="0" applyNumberFormat="1" applyFont="1" applyFill="1" applyBorder="1" applyAlignment="1" applyProtection="1">
      <alignment horizontal="center"/>
      <protection locked="0"/>
    </xf>
    <xf numFmtId="175" fontId="41" fillId="0" borderId="21" xfId="0" applyNumberFormat="1" applyFont="1" applyBorder="1" applyAlignment="1" applyProtection="1">
      <alignment horizontal="left"/>
      <protection/>
    </xf>
    <xf numFmtId="179" fontId="41" fillId="3" borderId="20" xfId="0" applyNumberFormat="1" applyFont="1" applyFill="1" applyBorder="1" applyAlignment="1" applyProtection="1">
      <alignment/>
      <protection locked="0"/>
    </xf>
    <xf numFmtId="0" fontId="41" fillId="0" borderId="19" xfId="0" applyFont="1" applyBorder="1" applyAlignment="1" applyProtection="1">
      <alignment horizontal="left"/>
      <protection/>
    </xf>
    <xf numFmtId="175" fontId="41" fillId="0" borderId="22" xfId="0" applyNumberFormat="1" applyFont="1" applyBorder="1" applyAlignment="1" applyProtection="1">
      <alignment horizontal="left"/>
      <protection/>
    </xf>
    <xf numFmtId="179" fontId="41" fillId="0" borderId="15" xfId="0" applyNumberFormat="1" applyFont="1" applyFill="1" applyBorder="1" applyAlignment="1" applyProtection="1">
      <alignment/>
      <protection/>
    </xf>
    <xf numFmtId="175" fontId="41" fillId="0" borderId="23" xfId="0" applyNumberFormat="1" applyFont="1" applyBorder="1" applyAlignment="1" applyProtection="1">
      <alignment horizontal="left"/>
      <protection/>
    </xf>
    <xf numFmtId="179" fontId="41" fillId="0" borderId="24" xfId="0" applyNumberFormat="1" applyFont="1" applyFill="1" applyBorder="1" applyAlignment="1" applyProtection="1">
      <alignment/>
      <protection/>
    </xf>
    <xf numFmtId="9" fontId="2" fillId="0" borderId="0" xfId="110" applyFont="1" applyFill="1" applyBorder="1" applyAlignment="1" applyProtection="1">
      <alignment/>
      <protection/>
    </xf>
    <xf numFmtId="176" fontId="2" fillId="2" borderId="0" xfId="0" applyNumberFormat="1" applyFont="1" applyFill="1" applyAlignment="1" applyProtection="1">
      <alignment/>
      <protection/>
    </xf>
    <xf numFmtId="49" fontId="0" fillId="0" borderId="0" xfId="0" applyNumberFormat="1" applyAlignment="1" applyProtection="1">
      <alignment/>
      <protection/>
    </xf>
    <xf numFmtId="177" fontId="0" fillId="0" borderId="0" xfId="0" applyNumberFormat="1" applyAlignment="1" applyProtection="1">
      <alignment/>
      <protection/>
    </xf>
    <xf numFmtId="176" fontId="49" fillId="0" borderId="0" xfId="0" applyNumberFormat="1" applyFont="1" applyFill="1" applyBorder="1" applyAlignment="1">
      <alignment horizontal="center"/>
    </xf>
    <xf numFmtId="173" fontId="41" fillId="0" borderId="0" xfId="0" applyNumberFormat="1" applyFont="1" applyFill="1" applyBorder="1" applyAlignment="1">
      <alignment/>
    </xf>
    <xf numFmtId="173" fontId="50" fillId="0" borderId="25" xfId="0" applyNumberFormat="1" applyFont="1" applyFill="1" applyBorder="1" applyAlignment="1" applyProtection="1">
      <alignment vertical="center" wrapText="1"/>
      <protection/>
    </xf>
    <xf numFmtId="0" fontId="50" fillId="0" borderId="26" xfId="0" applyNumberFormat="1" applyFont="1" applyFill="1" applyBorder="1" applyAlignment="1" applyProtection="1">
      <alignment horizontal="center" vertical="center" wrapText="1"/>
      <protection/>
    </xf>
    <xf numFmtId="0" fontId="50" fillId="0" borderId="27" xfId="0" applyNumberFormat="1" applyFont="1" applyFill="1" applyBorder="1" applyAlignment="1" applyProtection="1">
      <alignment horizontal="center" vertical="center" wrapText="1"/>
      <protection/>
    </xf>
    <xf numFmtId="0" fontId="44" fillId="0" borderId="0" xfId="0" applyFont="1" applyFill="1" applyBorder="1" applyAlignment="1" applyProtection="1">
      <alignment horizontal="center"/>
      <protection/>
    </xf>
    <xf numFmtId="0" fontId="14"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51" fillId="0" borderId="0" xfId="0" applyFont="1" applyFill="1" applyBorder="1" applyAlignment="1">
      <alignment horizontal="center"/>
    </xf>
    <xf numFmtId="173" fontId="51" fillId="0" borderId="28" xfId="0" applyNumberFormat="1" applyFont="1" applyFill="1" applyBorder="1" applyAlignment="1" applyProtection="1">
      <alignment wrapText="1"/>
      <protection locked="0"/>
    </xf>
    <xf numFmtId="180" fontId="0" fillId="3" borderId="29" xfId="83" applyNumberFormat="1" applyFont="1" applyFill="1" applyBorder="1" applyAlignment="1" applyProtection="1">
      <alignment/>
      <protection locked="0"/>
    </xf>
    <xf numFmtId="180" fontId="0" fillId="3" borderId="30" xfId="83" applyNumberFormat="1" applyFont="1" applyFill="1" applyBorder="1" applyAlignment="1" applyProtection="1">
      <alignment/>
      <protection locked="0"/>
    </xf>
    <xf numFmtId="181" fontId="0" fillId="0" borderId="0" xfId="0" applyNumberFormat="1" applyFill="1" applyBorder="1" applyAlignment="1" applyProtection="1">
      <alignment/>
      <protection locked="0"/>
    </xf>
    <xf numFmtId="181"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73" fontId="51" fillId="0" borderId="28"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82"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1" fontId="0" fillId="3" borderId="29" xfId="83" applyNumberFormat="1" applyFont="1" applyFill="1" applyBorder="1" applyAlignment="1" applyProtection="1">
      <alignment/>
      <protection locked="0"/>
    </xf>
    <xf numFmtId="181" fontId="0" fillId="3" borderId="30" xfId="83" applyNumberFormat="1" applyFont="1" applyFill="1" applyBorder="1" applyAlignment="1" applyProtection="1">
      <alignment/>
      <protection locked="0"/>
    </xf>
    <xf numFmtId="179" fontId="0" fillId="0" borderId="0" xfId="0" applyNumberFormat="1" applyFill="1" applyBorder="1" applyAlignment="1" applyProtection="1">
      <alignment/>
      <protection locked="0"/>
    </xf>
    <xf numFmtId="49" fontId="51" fillId="0" borderId="28" xfId="0" applyNumberFormat="1" applyFont="1" applyFill="1" applyBorder="1" applyAlignment="1" applyProtection="1">
      <alignment/>
      <protection locked="0"/>
    </xf>
    <xf numFmtId="0" fontId="51" fillId="0" borderId="28" xfId="0" applyFont="1" applyFill="1" applyBorder="1" applyAlignment="1" applyProtection="1">
      <alignment wrapText="1"/>
      <protection locked="0"/>
    </xf>
    <xf numFmtId="173" fontId="0" fillId="0" borderId="31" xfId="0" applyNumberFormat="1" applyFont="1" applyBorder="1" applyAlignment="1" applyProtection="1">
      <alignment/>
      <protection/>
    </xf>
    <xf numFmtId="181" fontId="0" fillId="0" borderId="32" xfId="0" applyNumberFormat="1" applyBorder="1" applyAlignment="1" applyProtection="1">
      <alignment/>
      <protection/>
    </xf>
    <xf numFmtId="179" fontId="0" fillId="0" borderId="0" xfId="0" applyNumberFormat="1" applyFill="1" applyAlignment="1" applyProtection="1">
      <alignment/>
      <protection/>
    </xf>
    <xf numFmtId="179" fontId="0" fillId="0" borderId="0" xfId="0" applyNumberFormat="1" applyAlignment="1" applyProtection="1">
      <alignment/>
      <protection/>
    </xf>
    <xf numFmtId="179" fontId="2" fillId="2" borderId="0" xfId="0" applyNumberFormat="1" applyFont="1" applyFill="1" applyAlignment="1" applyProtection="1">
      <alignment/>
      <protection/>
    </xf>
    <xf numFmtId="179" fontId="14" fillId="0" borderId="0" xfId="0" applyNumberFormat="1" applyFont="1" applyAlignment="1" applyProtection="1">
      <alignment horizontal="right"/>
      <protection/>
    </xf>
    <xf numFmtId="0" fontId="53" fillId="0" borderId="0" xfId="0" applyFont="1" applyFill="1" applyBorder="1" applyAlignment="1" applyProtection="1">
      <alignment horizontal="center" vertical="center"/>
      <protection/>
    </xf>
    <xf numFmtId="175" fontId="54" fillId="0" borderId="0" xfId="0" applyNumberFormat="1" applyFont="1" applyFill="1" applyBorder="1" applyAlignment="1" applyProtection="1">
      <alignment horizontal="center" vertical="center" wrapText="1"/>
      <protection/>
    </xf>
    <xf numFmtId="175" fontId="54"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protection/>
    </xf>
    <xf numFmtId="0" fontId="14" fillId="0" borderId="0" xfId="0" applyFont="1" applyFill="1" applyBorder="1" applyAlignment="1" applyProtection="1">
      <alignment/>
      <protection locked="0"/>
    </xf>
    <xf numFmtId="177" fontId="2" fillId="0" borderId="0" xfId="0" applyNumberFormat="1" applyFont="1" applyFill="1" applyBorder="1" applyAlignment="1" applyProtection="1">
      <alignment/>
      <protection/>
    </xf>
    <xf numFmtId="177" fontId="14" fillId="0" borderId="0" xfId="83" applyNumberFormat="1" applyFont="1" applyFill="1" applyBorder="1" applyAlignment="1" applyProtection="1">
      <alignment/>
      <protection locked="0"/>
    </xf>
    <xf numFmtId="184" fontId="14" fillId="0" borderId="0" xfId="110" applyNumberFormat="1" applyFont="1" applyFill="1" applyBorder="1" applyAlignment="1" applyProtection="1">
      <alignment horizontal="center"/>
      <protection/>
    </xf>
    <xf numFmtId="175" fontId="14" fillId="0" borderId="0" xfId="0" applyNumberFormat="1" applyFont="1" applyFill="1" applyBorder="1" applyAlignment="1" applyProtection="1">
      <alignment horizontal="center"/>
      <protection/>
    </xf>
    <xf numFmtId="184" fontId="14" fillId="0" borderId="0" xfId="110" applyNumberFormat="1" applyFont="1" applyFill="1" applyBorder="1" applyAlignment="1" applyProtection="1">
      <alignment horizontal="center"/>
      <protection locked="0"/>
    </xf>
    <xf numFmtId="0" fontId="56" fillId="0" borderId="0" xfId="0" applyFont="1" applyFill="1" applyBorder="1" applyAlignment="1" applyProtection="1">
      <alignment horizontal="left"/>
      <protection locked="0"/>
    </xf>
    <xf numFmtId="0" fontId="14" fillId="0" borderId="0" xfId="0" applyFont="1" applyFill="1" applyBorder="1" applyAlignment="1" applyProtection="1">
      <alignment/>
      <protection/>
    </xf>
    <xf numFmtId="175" fontId="51" fillId="0" borderId="33" xfId="0" applyNumberFormat="1" applyFont="1" applyFill="1" applyBorder="1" applyAlignment="1" applyProtection="1">
      <alignment/>
      <protection/>
    </xf>
    <xf numFmtId="173" fontId="51" fillId="0" borderId="15" xfId="0" applyNumberFormat="1" applyFont="1" applyFill="1" applyBorder="1" applyAlignment="1" applyProtection="1">
      <alignment horizontal="center"/>
      <protection/>
    </xf>
    <xf numFmtId="173" fontId="51" fillId="0" borderId="34" xfId="0" applyNumberFormat="1" applyFont="1" applyFill="1" applyBorder="1" applyAlignment="1" applyProtection="1">
      <alignment horizontal="center"/>
      <protection/>
    </xf>
    <xf numFmtId="173" fontId="51" fillId="0" borderId="33" xfId="0" applyNumberFormat="1" applyFont="1" applyFill="1" applyBorder="1" applyAlignment="1" applyProtection="1">
      <alignment/>
      <protection/>
    </xf>
    <xf numFmtId="1" fontId="0" fillId="3" borderId="15" xfId="0" applyNumberFormat="1" applyFill="1" applyBorder="1" applyAlignment="1" applyProtection="1">
      <alignment horizontal="center"/>
      <protection locked="0"/>
    </xf>
    <xf numFmtId="1" fontId="0" fillId="3" borderId="34" xfId="0" applyNumberFormat="1" applyFill="1" applyBorder="1" applyAlignment="1" applyProtection="1">
      <alignment horizontal="center"/>
      <protection locked="0"/>
    </xf>
    <xf numFmtId="173" fontId="51" fillId="0" borderId="35" xfId="0" applyNumberFormat="1" applyFont="1" applyFill="1" applyBorder="1" applyAlignment="1" applyProtection="1">
      <alignment/>
      <protection/>
    </xf>
    <xf numFmtId="173" fontId="51" fillId="0" borderId="36" xfId="0" applyNumberFormat="1" applyFont="1" applyFill="1" applyBorder="1" applyAlignment="1" applyProtection="1">
      <alignment/>
      <protection/>
    </xf>
    <xf numFmtId="1" fontId="0" fillId="3" borderId="24" xfId="0" applyNumberFormat="1" applyFill="1" applyBorder="1" applyAlignment="1" applyProtection="1">
      <alignment horizontal="center"/>
      <protection locked="0"/>
    </xf>
    <xf numFmtId="1" fontId="0" fillId="3" borderId="37" xfId="0" applyNumberFormat="1" applyFill="1" applyBorder="1" applyAlignment="1" applyProtection="1">
      <alignment horizontal="center"/>
      <protection locked="0"/>
    </xf>
    <xf numFmtId="0" fontId="0" fillId="0" borderId="38" xfId="0" applyBorder="1" applyAlignment="1" applyProtection="1">
      <alignment/>
      <protection/>
    </xf>
    <xf numFmtId="173" fontId="57" fillId="0" borderId="38" xfId="132" applyNumberFormat="1" applyFont="1" applyFill="1" applyBorder="1" applyAlignment="1" applyProtection="1">
      <alignment/>
      <protection/>
    </xf>
    <xf numFmtId="173" fontId="48" fillId="0" borderId="38" xfId="132" applyNumberFormat="1" applyFont="1" applyFill="1" applyBorder="1" applyAlignment="1" applyProtection="1">
      <alignment vertical="center"/>
      <protection/>
    </xf>
    <xf numFmtId="173" fontId="58" fillId="0" borderId="38" xfId="132" applyNumberFormat="1" applyFont="1" applyFill="1" applyBorder="1" applyAlignment="1" applyProtection="1">
      <alignment vertical="center"/>
      <protection/>
    </xf>
    <xf numFmtId="173" fontId="48" fillId="0" borderId="38" xfId="132" applyNumberFormat="1" applyFont="1" applyFill="1" applyBorder="1" applyAlignment="1" applyProtection="1">
      <alignment horizontal="center" vertical="center"/>
      <protection/>
    </xf>
    <xf numFmtId="173" fontId="48" fillId="13" borderId="39" xfId="132" applyNumberFormat="1" applyFont="1" applyFill="1" applyBorder="1" applyAlignment="1" applyProtection="1">
      <alignment horizontal="center" vertical="center"/>
      <protection/>
    </xf>
    <xf numFmtId="173" fontId="48" fillId="0" borderId="40" xfId="132" applyNumberFormat="1" applyFont="1" applyFill="1" applyBorder="1" applyAlignment="1" applyProtection="1">
      <alignment vertical="center"/>
      <protection/>
    </xf>
    <xf numFmtId="173" fontId="48" fillId="0" borderId="0" xfId="132" applyNumberFormat="1" applyFont="1" applyFill="1" applyBorder="1" applyAlignment="1" applyProtection="1">
      <alignment horizontal="center" vertical="center"/>
      <protection locked="0"/>
    </xf>
    <xf numFmtId="173" fontId="57" fillId="0" borderId="0" xfId="132" applyNumberFormat="1" applyFont="1" applyFill="1" applyBorder="1" applyAlignment="1" applyProtection="1">
      <alignment/>
      <protection/>
    </xf>
    <xf numFmtId="173" fontId="48" fillId="0" borderId="0" xfId="132" applyNumberFormat="1" applyFont="1" applyFill="1" applyBorder="1" applyAlignment="1" applyProtection="1">
      <alignment vertical="center"/>
      <protection/>
    </xf>
    <xf numFmtId="173" fontId="59" fillId="0" borderId="0" xfId="132" applyNumberFormat="1" applyFont="1" applyFill="1" applyBorder="1" applyAlignment="1" applyProtection="1">
      <alignment vertical="center"/>
      <protection/>
    </xf>
    <xf numFmtId="0" fontId="0" fillId="0" borderId="0" xfId="0" applyBorder="1" applyAlignment="1" applyProtection="1">
      <alignment/>
      <protection/>
    </xf>
    <xf numFmtId="0" fontId="18" fillId="0" borderId="0" xfId="0" applyFont="1" applyBorder="1" applyAlignment="1" applyProtection="1">
      <alignment horizontal="center"/>
      <protection/>
    </xf>
    <xf numFmtId="173" fontId="18" fillId="0" borderId="41" xfId="0" applyNumberFormat="1" applyFont="1" applyBorder="1" applyAlignment="1" applyProtection="1">
      <alignment horizontal="center"/>
      <protection/>
    </xf>
    <xf numFmtId="173" fontId="18" fillId="0" borderId="41" xfId="0" applyNumberFormat="1" applyFont="1" applyBorder="1" applyAlignment="1" applyProtection="1">
      <alignment horizontal="center" wrapText="1"/>
      <protection/>
    </xf>
    <xf numFmtId="173" fontId="18" fillId="0" borderId="42"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48" fillId="0" borderId="0" xfId="0" applyFont="1" applyFill="1" applyBorder="1" applyAlignment="1" applyProtection="1">
      <alignment horizontal="center" vertical="center"/>
      <protection/>
    </xf>
    <xf numFmtId="173" fontId="0" fillId="0" borderId="43" xfId="0" applyNumberFormat="1" applyFont="1" applyBorder="1" applyAlignment="1" applyProtection="1">
      <alignment horizontal="left"/>
      <protection/>
    </xf>
    <xf numFmtId="1" fontId="55" fillId="13" borderId="15" xfId="0" applyNumberFormat="1" applyFont="1" applyFill="1" applyBorder="1" applyAlignment="1" applyProtection="1">
      <alignment horizontal="center"/>
      <protection locked="0"/>
    </xf>
    <xf numFmtId="1" fontId="55" fillId="2" borderId="44"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73" fontId="0" fillId="0" borderId="45" xfId="0" applyNumberFormat="1" applyFont="1" applyBorder="1" applyAlignment="1" applyProtection="1">
      <alignment horizontal="left"/>
      <protection/>
    </xf>
    <xf numFmtId="1" fontId="55" fillId="13" borderId="46" xfId="0" applyNumberFormat="1" applyFont="1" applyFill="1" applyBorder="1" applyAlignment="1" applyProtection="1">
      <alignment horizontal="center"/>
      <protection locked="0"/>
    </xf>
    <xf numFmtId="1" fontId="55" fillId="2" borderId="47" xfId="0" applyNumberFormat="1" applyFont="1" applyFill="1" applyBorder="1" applyAlignment="1" applyProtection="1">
      <alignment horizontal="center"/>
      <protection/>
    </xf>
    <xf numFmtId="0" fontId="0" fillId="0" borderId="48" xfId="0" applyBorder="1" applyAlignment="1" applyProtection="1">
      <alignment/>
      <protection/>
    </xf>
    <xf numFmtId="173" fontId="0" fillId="0" borderId="41" xfId="0" applyNumberFormat="1" applyFont="1" applyBorder="1" applyAlignment="1" applyProtection="1">
      <alignment horizontal="center"/>
      <protection/>
    </xf>
    <xf numFmtId="173" fontId="0" fillId="0" borderId="42" xfId="0" applyNumberFormat="1" applyFont="1" applyBorder="1" applyAlignment="1" applyProtection="1">
      <alignment horizontal="center"/>
      <protection/>
    </xf>
    <xf numFmtId="0" fontId="0" fillId="13" borderId="46" xfId="0" applyNumberFormat="1" applyFill="1" applyBorder="1" applyAlignment="1" applyProtection="1">
      <alignment horizontal="center"/>
      <protection locked="0"/>
    </xf>
    <xf numFmtId="0" fontId="0" fillId="0" borderId="47" xfId="0" applyNumberFormat="1" applyFill="1" applyBorder="1" applyAlignment="1" applyProtection="1">
      <alignment horizontal="center"/>
      <protection/>
    </xf>
    <xf numFmtId="0" fontId="44" fillId="0" borderId="0" xfId="0" applyFont="1" applyFill="1" applyBorder="1" applyAlignment="1" applyProtection="1">
      <alignment horizontal="right"/>
      <protection/>
    </xf>
    <xf numFmtId="175" fontId="0" fillId="0" borderId="0" xfId="0" applyNumberFormat="1" applyFont="1" applyFill="1" applyBorder="1" applyAlignment="1" applyProtection="1">
      <alignment horizontal="left"/>
      <protection/>
    </xf>
    <xf numFmtId="173" fontId="0" fillId="0" borderId="42" xfId="0" applyNumberFormat="1" applyFont="1" applyBorder="1" applyAlignment="1" applyProtection="1">
      <alignment horizontal="center" wrapText="1"/>
      <protection/>
    </xf>
    <xf numFmtId="0" fontId="0" fillId="13" borderId="47" xfId="0" applyNumberFormat="1" applyFill="1" applyBorder="1" applyAlignment="1" applyProtection="1">
      <alignment horizontal="center"/>
      <protection locked="0"/>
    </xf>
    <xf numFmtId="175" fontId="0" fillId="0" borderId="0" xfId="0" applyNumberFormat="1" applyFill="1" applyBorder="1" applyAlignment="1" applyProtection="1">
      <alignment horizontal="center"/>
      <protection locked="0"/>
    </xf>
    <xf numFmtId="173" fontId="49" fillId="0" borderId="41" xfId="0" applyNumberFormat="1" applyFont="1" applyBorder="1" applyAlignment="1" applyProtection="1">
      <alignment horizontal="center"/>
      <protection/>
    </xf>
    <xf numFmtId="173" fontId="49" fillId="0" borderId="42" xfId="0" applyNumberFormat="1" applyFont="1" applyBorder="1" applyAlignment="1" applyProtection="1">
      <alignment horizontal="center"/>
      <protection/>
    </xf>
    <xf numFmtId="1" fontId="0" fillId="13" borderId="15" xfId="0" applyNumberFormat="1" applyFill="1" applyBorder="1" applyAlignment="1" applyProtection="1">
      <alignment horizontal="center"/>
      <protection locked="0"/>
    </xf>
    <xf numFmtId="1" fontId="0" fillId="0" borderId="44" xfId="0" applyNumberFormat="1" applyFill="1" applyBorder="1" applyAlignment="1" applyProtection="1">
      <alignment horizontal="center"/>
      <protection/>
    </xf>
    <xf numFmtId="1" fontId="0" fillId="13" borderId="46" xfId="0" applyNumberFormat="1" applyFill="1" applyBorder="1" applyAlignment="1" applyProtection="1">
      <alignment horizontal="center"/>
      <protection locked="0"/>
    </xf>
    <xf numFmtId="0" fontId="0" fillId="0" borderId="49" xfId="0" applyBorder="1" applyAlignment="1" applyProtection="1">
      <alignment/>
      <protection/>
    </xf>
    <xf numFmtId="176" fontId="49" fillId="10" borderId="50" xfId="0" applyNumberFormat="1" applyFont="1" applyFill="1" applyBorder="1" applyAlignment="1" applyProtection="1">
      <alignment horizontal="center"/>
      <protection locked="0"/>
    </xf>
    <xf numFmtId="176" fontId="49" fillId="10" borderId="51" xfId="0" applyNumberFormat="1" applyFont="1" applyFill="1" applyBorder="1" applyAlignment="1" applyProtection="1">
      <alignment horizontal="center"/>
      <protection locked="0"/>
    </xf>
    <xf numFmtId="176" fontId="0" fillId="0" borderId="52" xfId="0" applyNumberFormat="1" applyFont="1" applyFill="1" applyBorder="1" applyAlignment="1" applyProtection="1">
      <alignment horizontal="left"/>
      <protection/>
    </xf>
    <xf numFmtId="179" fontId="0" fillId="13" borderId="53" xfId="0" applyNumberFormat="1" applyFill="1" applyBorder="1" applyAlignment="1" applyProtection="1">
      <alignment horizontal="right" wrapText="1"/>
      <protection/>
    </xf>
    <xf numFmtId="179" fontId="0" fillId="13" borderId="15" xfId="0" applyNumberFormat="1" applyFill="1" applyBorder="1" applyAlignment="1" applyProtection="1">
      <alignment horizontal="right" wrapText="1"/>
      <protection locked="0"/>
    </xf>
    <xf numFmtId="176" fontId="0" fillId="0" borderId="54" xfId="0" applyNumberFormat="1" applyFont="1" applyBorder="1" applyAlignment="1" applyProtection="1">
      <alignment horizontal="left"/>
      <protection/>
    </xf>
    <xf numFmtId="179" fontId="0" fillId="0" borderId="53" xfId="0" applyNumberFormat="1" applyBorder="1" applyAlignment="1" applyProtection="1">
      <alignment horizontal="right" wrapText="1"/>
      <protection/>
    </xf>
    <xf numFmtId="179" fontId="0" fillId="0" borderId="15" xfId="0" applyNumberFormat="1" applyBorder="1" applyAlignment="1" applyProtection="1">
      <alignment horizontal="right" wrapText="1"/>
      <protection/>
    </xf>
    <xf numFmtId="176" fontId="0" fillId="0" borderId="35" xfId="0" applyNumberFormat="1" applyFont="1" applyBorder="1" applyAlignment="1" applyProtection="1">
      <alignment horizontal="left" wrapText="1"/>
      <protection/>
    </xf>
    <xf numFmtId="179" fontId="0" fillId="0" borderId="53" xfId="83"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173" fontId="0" fillId="0" borderId="0" xfId="83" applyFont="1" applyFill="1" applyBorder="1" applyAlignment="1" applyProtection="1">
      <alignment/>
      <protection/>
    </xf>
    <xf numFmtId="173" fontId="0" fillId="0" borderId="0" xfId="0" applyNumberFormat="1" applyFill="1" applyBorder="1" applyAlignment="1" applyProtection="1">
      <alignment/>
      <protection/>
    </xf>
    <xf numFmtId="176" fontId="0" fillId="0" borderId="0" xfId="0" applyNumberFormat="1" applyFont="1" applyBorder="1" applyAlignment="1" applyProtection="1">
      <alignment/>
      <protection/>
    </xf>
    <xf numFmtId="0" fontId="0" fillId="0" borderId="0" xfId="0" applyNumberFormat="1" applyFill="1" applyBorder="1" applyAlignment="1" applyProtection="1">
      <alignment/>
      <protection/>
    </xf>
    <xf numFmtId="173" fontId="60" fillId="0" borderId="55" xfId="132" applyNumberFormat="1" applyFont="1" applyFill="1" applyBorder="1" applyAlignment="1" applyProtection="1">
      <alignment/>
      <protection/>
    </xf>
    <xf numFmtId="173" fontId="61" fillId="0" borderId="55" xfId="132" applyNumberFormat="1" applyFont="1" applyFill="1" applyBorder="1" applyAlignment="1" applyProtection="1">
      <alignment/>
      <protection/>
    </xf>
    <xf numFmtId="173" fontId="48" fillId="0" borderId="55" xfId="132" applyNumberFormat="1" applyFont="1" applyFill="1" applyBorder="1" applyAlignment="1" applyProtection="1">
      <alignment vertical="center"/>
      <protection/>
    </xf>
    <xf numFmtId="173" fontId="62" fillId="0" borderId="55" xfId="132" applyNumberFormat="1" applyFont="1" applyFill="1" applyBorder="1" applyAlignment="1" applyProtection="1">
      <alignment vertical="center"/>
      <protection/>
    </xf>
    <xf numFmtId="173" fontId="5" fillId="0" borderId="55" xfId="132" applyNumberFormat="1" applyFont="1" applyFill="1" applyBorder="1" applyAlignment="1" applyProtection="1">
      <alignment vertical="center"/>
      <protection/>
    </xf>
    <xf numFmtId="0" fontId="0" fillId="0" borderId="55" xfId="0" applyFill="1" applyBorder="1" applyAlignment="1" applyProtection="1">
      <alignment/>
      <protection/>
    </xf>
    <xf numFmtId="173" fontId="61" fillId="0" borderId="55" xfId="132" applyNumberFormat="1" applyFont="1" applyFill="1" applyBorder="1" applyAlignment="1" applyProtection="1">
      <alignment vertical="center"/>
      <protection/>
    </xf>
    <xf numFmtId="0" fontId="0" fillId="0" borderId="55" xfId="0" applyBorder="1" applyAlignment="1" applyProtection="1">
      <alignment/>
      <protection/>
    </xf>
    <xf numFmtId="0" fontId="0" fillId="0" borderId="55" xfId="0" applyBorder="1" applyAlignment="1">
      <alignment/>
    </xf>
    <xf numFmtId="173" fontId="63" fillId="0" borderId="56" xfId="0" applyNumberFormat="1" applyFont="1" applyFill="1" applyBorder="1" applyAlignment="1" applyProtection="1">
      <alignment horizontal="center" vertical="center"/>
      <protection/>
    </xf>
    <xf numFmtId="173" fontId="63" fillId="0" borderId="57" xfId="0" applyNumberFormat="1" applyFont="1" applyFill="1" applyBorder="1" applyAlignment="1" applyProtection="1">
      <alignment horizontal="center" vertical="center" wrapText="1"/>
      <protection/>
    </xf>
    <xf numFmtId="0" fontId="1" fillId="0" borderId="58" xfId="0" applyFont="1" applyFill="1" applyBorder="1" applyAlignment="1" applyProtection="1">
      <alignment horizontal="center"/>
      <protection/>
    </xf>
    <xf numFmtId="176" fontId="18" fillId="10" borderId="59" xfId="0" applyNumberFormat="1" applyFont="1" applyFill="1" applyBorder="1" applyAlignment="1" applyProtection="1">
      <alignment horizontal="center"/>
      <protection locked="0"/>
    </xf>
    <xf numFmtId="173" fontId="63" fillId="0" borderId="60" xfId="0" applyNumberFormat="1" applyFont="1" applyFill="1" applyBorder="1" applyAlignment="1" applyProtection="1">
      <alignment horizontal="center" vertical="center"/>
      <protection/>
    </xf>
    <xf numFmtId="0" fontId="63" fillId="0" borderId="61" xfId="0" applyFont="1" applyFill="1" applyBorder="1" applyAlignment="1" applyProtection="1">
      <alignment horizontal="center" vertical="center"/>
      <protection/>
    </xf>
    <xf numFmtId="173" fontId="63" fillId="0" borderId="62" xfId="0" applyNumberFormat="1" applyFont="1" applyFill="1" applyBorder="1" applyAlignment="1" applyProtection="1">
      <alignment horizontal="center" vertical="center"/>
      <protection/>
    </xf>
    <xf numFmtId="173" fontId="63" fillId="0" borderId="63" xfId="0" applyNumberFormat="1" applyFont="1" applyFill="1" applyBorder="1" applyAlignment="1" applyProtection="1">
      <alignment horizontal="center" vertical="center" wrapText="1"/>
      <protection/>
    </xf>
    <xf numFmtId="0" fontId="1" fillId="0" borderId="64" xfId="0" applyFont="1" applyFill="1" applyBorder="1" applyAlignment="1" applyProtection="1">
      <alignment horizontal="center"/>
      <protection/>
    </xf>
    <xf numFmtId="179" fontId="1" fillId="12" borderId="53" xfId="0" applyNumberFormat="1" applyFont="1" applyFill="1" applyBorder="1" applyAlignment="1" applyProtection="1">
      <alignment horizontal="center" vertical="center" wrapText="1"/>
      <protection/>
    </xf>
    <xf numFmtId="186" fontId="1" fillId="12" borderId="53" xfId="0" applyNumberFormat="1" applyFont="1" applyFill="1" applyBorder="1" applyAlignment="1" applyProtection="1">
      <alignment horizontal="center" vertical="center" wrapText="1"/>
      <protection/>
    </xf>
    <xf numFmtId="0" fontId="39" fillId="0" borderId="0" xfId="0" applyFont="1" applyAlignment="1" applyProtection="1">
      <alignment/>
      <protection/>
    </xf>
    <xf numFmtId="49" fontId="0" fillId="0" borderId="0" xfId="0" applyNumberFormat="1" applyFont="1" applyAlignment="1" applyProtection="1">
      <alignment/>
      <protection/>
    </xf>
    <xf numFmtId="49" fontId="63" fillId="0" borderId="56" xfId="0" applyNumberFormat="1" applyFont="1" applyFill="1" applyBorder="1" applyAlignment="1" applyProtection="1">
      <alignment horizontal="center" vertical="center"/>
      <protection/>
    </xf>
    <xf numFmtId="49" fontId="63" fillId="0" borderId="57" xfId="0" applyNumberFormat="1" applyFont="1" applyFill="1" applyBorder="1" applyAlignment="1" applyProtection="1">
      <alignment horizontal="center" vertical="center" wrapText="1"/>
      <protection/>
    </xf>
    <xf numFmtId="49" fontId="1" fillId="2" borderId="65" xfId="0" applyNumberFormat="1" applyFont="1" applyFill="1" applyBorder="1" applyAlignment="1" applyProtection="1">
      <alignment/>
      <protection/>
    </xf>
    <xf numFmtId="179" fontId="1" fillId="0" borderId="53" xfId="0" applyNumberFormat="1" applyFont="1" applyFill="1" applyBorder="1" applyAlignment="1" applyProtection="1">
      <alignment vertical="center"/>
      <protection/>
    </xf>
    <xf numFmtId="179" fontId="1" fillId="0" borderId="15" xfId="0" applyNumberFormat="1" applyFont="1" applyFill="1" applyBorder="1" applyAlignment="1" applyProtection="1">
      <alignment vertical="center"/>
      <protection/>
    </xf>
    <xf numFmtId="49" fontId="1" fillId="2" borderId="12" xfId="0" applyNumberFormat="1" applyFont="1" applyFill="1" applyBorder="1" applyAlignment="1" applyProtection="1">
      <alignment/>
      <protection/>
    </xf>
    <xf numFmtId="49" fontId="1" fillId="27" borderId="15" xfId="0" applyNumberFormat="1" applyFont="1" applyFill="1" applyBorder="1" applyAlignment="1" applyProtection="1">
      <alignment/>
      <protection/>
    </xf>
    <xf numFmtId="179" fontId="1" fillId="27" borderId="15" xfId="0" applyNumberFormat="1" applyFont="1" applyFill="1" applyBorder="1" applyAlignment="1" applyProtection="1">
      <alignment vertical="center"/>
      <protection/>
    </xf>
    <xf numFmtId="49" fontId="1" fillId="2" borderId="66" xfId="0" applyNumberFormat="1" applyFont="1" applyFill="1" applyBorder="1" applyAlignment="1" applyProtection="1">
      <alignment/>
      <protection/>
    </xf>
    <xf numFmtId="179" fontId="1" fillId="0" borderId="67" xfId="0" applyNumberFormat="1" applyFont="1" applyFill="1" applyBorder="1" applyAlignment="1" applyProtection="1">
      <alignment vertical="center"/>
      <protection/>
    </xf>
    <xf numFmtId="173" fontId="65" fillId="0" borderId="0" xfId="89" applyFont="1" applyFill="1" applyAlignment="1" applyProtection="1">
      <alignment vertical="center"/>
      <protection/>
    </xf>
    <xf numFmtId="0" fontId="55" fillId="0" borderId="0" xfId="0" applyFont="1" applyAlignment="1" applyProtection="1">
      <alignment/>
      <protection/>
    </xf>
    <xf numFmtId="173" fontId="66" fillId="0" borderId="0" xfId="101" applyFont="1" applyFill="1" applyAlignment="1" applyProtection="1">
      <alignment horizontal="right" vertical="center"/>
      <protection/>
    </xf>
    <xf numFmtId="0" fontId="2" fillId="0" borderId="0" xfId="0" applyFont="1" applyFill="1" applyBorder="1" applyAlignment="1" applyProtection="1">
      <alignment horizontal="center"/>
      <protection/>
    </xf>
    <xf numFmtId="0" fontId="67" fillId="0" borderId="0" xfId="0" applyFont="1" applyFill="1" applyBorder="1" applyAlignment="1" applyProtection="1">
      <alignment horizontal="left"/>
      <protection/>
    </xf>
    <xf numFmtId="0" fontId="68" fillId="0" borderId="0" xfId="0" applyFont="1" applyFill="1" applyAlignment="1" applyProtection="1">
      <alignment/>
      <protection/>
    </xf>
    <xf numFmtId="0" fontId="2" fillId="0" borderId="0" xfId="0" applyFont="1" applyAlignment="1" applyProtection="1">
      <alignment/>
      <protection/>
    </xf>
    <xf numFmtId="173" fontId="69" fillId="0" borderId="0" xfId="101" applyFont="1" applyFill="1" applyAlignment="1" applyProtection="1">
      <alignment/>
      <protection/>
    </xf>
    <xf numFmtId="173" fontId="69" fillId="0" borderId="0" xfId="101" applyFont="1" applyFill="1" applyAlignment="1" applyProtection="1">
      <alignment horizontal="center"/>
      <protection/>
    </xf>
    <xf numFmtId="173" fontId="69" fillId="0" borderId="0" xfId="101" applyFont="1" applyFill="1" applyAlignment="1" applyProtection="1">
      <alignment horizontal="right"/>
      <protection/>
    </xf>
    <xf numFmtId="173" fontId="69" fillId="0" borderId="0" xfId="101" applyFont="1" applyFill="1" applyBorder="1" applyAlignment="1" applyProtection="1">
      <alignment horizontal="center"/>
      <protection/>
    </xf>
    <xf numFmtId="173" fontId="0" fillId="0" borderId="0" xfId="100" applyProtection="1">
      <alignment/>
      <protection/>
    </xf>
    <xf numFmtId="0" fontId="2" fillId="0" borderId="0" xfId="0" applyFont="1" applyAlignment="1" applyProtection="1">
      <alignment horizontal="left" indent="1"/>
      <protection/>
    </xf>
    <xf numFmtId="0" fontId="27" fillId="0" borderId="0" xfId="0" applyFont="1" applyAlignment="1" applyProtection="1">
      <alignment horizontal="left" indent="1"/>
      <protection/>
    </xf>
    <xf numFmtId="173" fontId="0" fillId="0" borderId="68" xfId="126" applyNumberFormat="1" applyFont="1" applyFill="1" applyBorder="1" applyAlignment="1" applyProtection="1">
      <alignment horizontal="right"/>
      <protection/>
    </xf>
    <xf numFmtId="189" fontId="39" fillId="13" borderId="68" xfId="126" applyNumberFormat="1" applyFont="1" applyFill="1" applyBorder="1" applyAlignment="1" applyProtection="1">
      <alignment horizontal="center" vertical="center"/>
      <protection/>
    </xf>
    <xf numFmtId="173" fontId="66" fillId="0" borderId="68" xfId="126" applyNumberFormat="1" applyFont="1" applyFill="1" applyBorder="1" applyAlignment="1" applyProtection="1">
      <alignment horizontal="right"/>
      <protection/>
    </xf>
    <xf numFmtId="173" fontId="39" fillId="13" borderId="68" xfId="126" applyNumberFormat="1" applyFont="1" applyFill="1" applyBorder="1" applyAlignment="1" applyProtection="1">
      <alignment horizontal="center" vertical="center"/>
      <protection/>
    </xf>
    <xf numFmtId="175" fontId="39" fillId="13" borderId="68" xfId="126" applyNumberFormat="1" applyFont="1" applyFill="1" applyBorder="1" applyAlignment="1" applyProtection="1">
      <alignment horizontal="center" vertical="center"/>
      <protection/>
    </xf>
    <xf numFmtId="173" fontId="2" fillId="0" borderId="0" xfId="100" applyFont="1" applyProtection="1">
      <alignment/>
      <protection/>
    </xf>
    <xf numFmtId="191" fontId="39" fillId="13" borderId="68" xfId="126" applyNumberFormat="1" applyFont="1" applyFill="1" applyBorder="1" applyAlignment="1" applyProtection="1">
      <alignment horizontal="center"/>
      <protection/>
    </xf>
    <xf numFmtId="179" fontId="39" fillId="13" borderId="68" xfId="126" applyNumberFormat="1" applyFont="1" applyFill="1" applyBorder="1" applyAlignment="1" applyProtection="1">
      <alignment horizontal="center"/>
      <protection/>
    </xf>
    <xf numFmtId="173" fontId="39" fillId="13" borderId="68" xfId="126" applyNumberFormat="1" applyFont="1" applyFill="1" applyBorder="1" applyAlignment="1" applyProtection="1">
      <alignment horizontal="center"/>
      <protection/>
    </xf>
    <xf numFmtId="0" fontId="2" fillId="0" borderId="0" xfId="0" applyFont="1" applyFill="1" applyBorder="1" applyAlignment="1" applyProtection="1">
      <alignment/>
      <protection/>
    </xf>
    <xf numFmtId="175" fontId="39" fillId="13" borderId="68" xfId="126" applyNumberFormat="1" applyFont="1" applyFill="1" applyBorder="1" applyAlignment="1" applyProtection="1">
      <alignment horizontal="center"/>
      <protection/>
    </xf>
    <xf numFmtId="0" fontId="71" fillId="0" borderId="0" xfId="0" applyFont="1" applyFill="1" applyBorder="1" applyAlignment="1" applyProtection="1">
      <alignment/>
      <protection/>
    </xf>
    <xf numFmtId="0" fontId="27" fillId="0" borderId="0" xfId="100" applyNumberFormat="1" applyFont="1" applyBorder="1" applyProtection="1">
      <alignment/>
      <protection/>
    </xf>
    <xf numFmtId="173" fontId="72" fillId="0" borderId="0" xfId="100" applyFont="1" applyProtection="1">
      <alignment/>
      <protection/>
    </xf>
    <xf numFmtId="173" fontId="2" fillId="0" borderId="0" xfId="102" applyFont="1" applyProtection="1">
      <alignment/>
      <protection/>
    </xf>
    <xf numFmtId="173" fontId="72" fillId="0" borderId="0" xfId="102" applyFont="1" applyProtection="1">
      <alignment/>
      <protection/>
    </xf>
    <xf numFmtId="173" fontId="24" fillId="0" borderId="0" xfId="89" applyFont="1" applyFill="1" applyAlignment="1">
      <alignment vertical="center"/>
      <protection/>
    </xf>
    <xf numFmtId="173" fontId="41" fillId="0" borderId="0" xfId="0" applyNumberFormat="1" applyFont="1" applyAlignment="1" applyProtection="1">
      <alignment horizontal="right"/>
      <protection/>
    </xf>
    <xf numFmtId="173" fontId="41" fillId="0" borderId="0" xfId="0" applyNumberFormat="1" applyFont="1" applyBorder="1" applyAlignment="1" applyProtection="1">
      <alignment horizontal="right"/>
      <protection/>
    </xf>
    <xf numFmtId="0" fontId="41" fillId="0" borderId="0" xfId="0" applyNumberFormat="1" applyFont="1" applyAlignment="1" applyProtection="1">
      <alignment horizontal="center"/>
      <protection/>
    </xf>
    <xf numFmtId="0" fontId="71" fillId="0" borderId="0" xfId="0" applyFont="1" applyAlignment="1">
      <alignment/>
    </xf>
    <xf numFmtId="175" fontId="41" fillId="0" borderId="0" xfId="0" applyNumberFormat="1" applyFont="1" applyAlignment="1" applyProtection="1">
      <alignment horizontal="center"/>
      <protection/>
    </xf>
    <xf numFmtId="173" fontId="41" fillId="0" borderId="0" xfId="0" applyNumberFormat="1" applyFont="1" applyAlignment="1" applyProtection="1">
      <alignment/>
      <protection/>
    </xf>
    <xf numFmtId="177" fontId="41" fillId="0" borderId="0" xfId="83" applyNumberFormat="1" applyFont="1" applyFill="1" applyBorder="1" applyAlignment="1" applyProtection="1">
      <alignment horizontal="left"/>
      <protection/>
    </xf>
    <xf numFmtId="173" fontId="41" fillId="0" borderId="0" xfId="0" applyNumberFormat="1" applyFont="1" applyBorder="1" applyAlignment="1" applyProtection="1">
      <alignment/>
      <protection/>
    </xf>
    <xf numFmtId="0" fontId="69" fillId="0" borderId="0" xfId="0" applyFont="1" applyBorder="1" applyAlignment="1" applyProtection="1">
      <alignment horizontal="center"/>
      <protection/>
    </xf>
    <xf numFmtId="0" fontId="69" fillId="0" borderId="0" xfId="0" applyFont="1" applyAlignment="1" applyProtection="1">
      <alignment horizontal="center"/>
      <protection/>
    </xf>
    <xf numFmtId="175" fontId="41" fillId="0" borderId="0" xfId="0" applyNumberFormat="1" applyFont="1" applyAlignment="1" applyProtection="1">
      <alignment horizontal="right"/>
      <protection/>
    </xf>
    <xf numFmtId="175" fontId="41" fillId="0" borderId="0" xfId="0" applyNumberFormat="1" applyFont="1" applyAlignment="1" applyProtection="1">
      <alignment horizontal="left"/>
      <protection/>
    </xf>
    <xf numFmtId="173" fontId="74" fillId="0" borderId="0" xfId="0" applyNumberFormat="1" applyFont="1" applyBorder="1" applyAlignment="1" applyProtection="1">
      <alignment/>
      <protection/>
    </xf>
    <xf numFmtId="0" fontId="75" fillId="0" borderId="0" xfId="0" applyFont="1" applyBorder="1" applyAlignment="1" applyProtection="1">
      <alignment/>
      <protection/>
    </xf>
    <xf numFmtId="0" fontId="2" fillId="0" borderId="0" xfId="0" applyFont="1" applyAlignment="1">
      <alignment/>
    </xf>
    <xf numFmtId="173" fontId="77" fillId="0" borderId="0" xfId="0" applyNumberFormat="1" applyFont="1" applyAlignment="1" applyProtection="1">
      <alignment/>
      <protection/>
    </xf>
    <xf numFmtId="0" fontId="0" fillId="0" borderId="0" xfId="0" applyBorder="1" applyAlignment="1">
      <alignment horizontal="left" wrapText="1"/>
    </xf>
    <xf numFmtId="0" fontId="75" fillId="0" borderId="0" xfId="0" applyFont="1" applyFill="1" applyAlignment="1" applyProtection="1">
      <alignment horizontal="left"/>
      <protection locked="0"/>
    </xf>
    <xf numFmtId="0" fontId="75" fillId="0" borderId="0" xfId="0" applyFont="1" applyFill="1" applyBorder="1" applyAlignment="1" applyProtection="1">
      <alignment horizontal="left"/>
      <protection locked="0"/>
    </xf>
    <xf numFmtId="173" fontId="78" fillId="0" borderId="0" xfId="0" applyNumberFormat="1" applyFont="1" applyBorder="1" applyAlignment="1" applyProtection="1">
      <alignment vertical="center" wrapText="1"/>
      <protection/>
    </xf>
    <xf numFmtId="173" fontId="78" fillId="0" borderId="49" xfId="0" applyNumberFormat="1" applyFont="1" applyFill="1" applyBorder="1" applyAlignment="1" applyProtection="1">
      <alignment horizontal="center" wrapText="1"/>
      <protection/>
    </xf>
    <xf numFmtId="173" fontId="78" fillId="0" borderId="69" xfId="0" applyNumberFormat="1" applyFont="1" applyFill="1" applyBorder="1" applyAlignment="1" applyProtection="1">
      <alignment horizontal="center" wrapText="1"/>
      <protection/>
    </xf>
    <xf numFmtId="0" fontId="78" fillId="0" borderId="0" xfId="0" applyFont="1" applyFill="1" applyBorder="1" applyAlignment="1" applyProtection="1">
      <alignment wrapText="1"/>
      <protection/>
    </xf>
    <xf numFmtId="0" fontId="74" fillId="0" borderId="35" xfId="0" applyFont="1" applyFill="1" applyBorder="1" applyAlignment="1" applyProtection="1">
      <alignment horizontal="center"/>
      <protection/>
    </xf>
    <xf numFmtId="0" fontId="74" fillId="0" borderId="70" xfId="0" applyFont="1" applyFill="1" applyBorder="1" applyAlignment="1" applyProtection="1">
      <alignment horizontal="center"/>
      <protection/>
    </xf>
    <xf numFmtId="0" fontId="49" fillId="3" borderId="71" xfId="0" applyFont="1" applyFill="1" applyBorder="1" applyAlignment="1" applyProtection="1">
      <alignment horizontal="center"/>
      <protection/>
    </xf>
    <xf numFmtId="0" fontId="75" fillId="0" borderId="0" xfId="0" applyFont="1" applyAlignment="1" applyProtection="1">
      <alignment/>
      <protection/>
    </xf>
    <xf numFmtId="173" fontId="0" fillId="0" borderId="0" xfId="0" applyNumberFormat="1" applyAlignment="1">
      <alignment/>
    </xf>
    <xf numFmtId="173" fontId="24" fillId="0" borderId="0" xfId="99" applyFont="1" applyFill="1" applyAlignment="1">
      <alignment vertical="center"/>
      <protection/>
    </xf>
    <xf numFmtId="173" fontId="41" fillId="0" borderId="0" xfId="0" applyNumberFormat="1" applyFont="1" applyAlignment="1">
      <alignment horizontal="right"/>
    </xf>
    <xf numFmtId="173" fontId="41" fillId="0" borderId="0" xfId="0" applyNumberFormat="1" applyFont="1" applyAlignment="1">
      <alignment/>
    </xf>
    <xf numFmtId="173" fontId="77" fillId="0" borderId="0" xfId="0" applyNumberFormat="1" applyFont="1" applyAlignment="1">
      <alignment/>
    </xf>
    <xf numFmtId="0" fontId="75" fillId="0" borderId="0" xfId="0" applyFont="1" applyAlignment="1">
      <alignment/>
    </xf>
    <xf numFmtId="0" fontId="0" fillId="0" borderId="0" xfId="0" applyBorder="1" applyAlignment="1">
      <alignment horizontal="left"/>
    </xf>
    <xf numFmtId="192" fontId="0" fillId="0" borderId="0" xfId="0" applyNumberFormat="1" applyAlignment="1">
      <alignment/>
    </xf>
    <xf numFmtId="0" fontId="18" fillId="0" borderId="0" xfId="0" applyFont="1" applyBorder="1" applyAlignment="1">
      <alignment horizontal="center"/>
    </xf>
    <xf numFmtId="193" fontId="0" fillId="0" borderId="0" xfId="126" applyNumberFormat="1" applyFill="1" applyBorder="1" applyAlignment="1" applyProtection="1">
      <alignment horizontal="center"/>
      <protection locked="0"/>
    </xf>
    <xf numFmtId="193" fontId="0" fillId="0" borderId="0" xfId="0" applyNumberFormat="1" applyFill="1" applyAlignment="1">
      <alignment/>
    </xf>
    <xf numFmtId="175" fontId="0" fillId="0" borderId="0" xfId="0" applyNumberFormat="1" applyFont="1" applyFill="1" applyBorder="1" applyAlignment="1">
      <alignment horizontal="center"/>
    </xf>
    <xf numFmtId="1" fontId="55" fillId="0" borderId="0" xfId="0" applyNumberFormat="1" applyFont="1" applyFill="1" applyBorder="1" applyAlignment="1">
      <alignment horizontal="center"/>
    </xf>
    <xf numFmtId="1" fontId="67" fillId="2"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41" fillId="0" borderId="0" xfId="0" applyFont="1" applyFill="1" applyBorder="1" applyAlignment="1" applyProtection="1">
      <alignment wrapText="1"/>
      <protection/>
    </xf>
    <xf numFmtId="0" fontId="55" fillId="2" borderId="12" xfId="0" applyFont="1" applyFill="1" applyBorder="1" applyAlignment="1" applyProtection="1">
      <alignment/>
      <protection/>
    </xf>
    <xf numFmtId="186" fontId="0" fillId="2" borderId="15" xfId="0" applyNumberFormat="1" applyFill="1" applyBorder="1" applyAlignment="1" applyProtection="1">
      <alignment horizontal="center"/>
      <protection/>
    </xf>
    <xf numFmtId="186" fontId="0" fillId="0" borderId="15" xfId="0" applyNumberFormat="1" applyBorder="1" applyAlignment="1" applyProtection="1">
      <alignment horizontal="center"/>
      <protection/>
    </xf>
    <xf numFmtId="0" fontId="41" fillId="0" borderId="0" xfId="0" applyFont="1" applyAlignment="1" applyProtection="1">
      <alignment horizontal="center"/>
      <protection/>
    </xf>
    <xf numFmtId="173" fontId="41" fillId="0" borderId="0" xfId="0" applyNumberFormat="1" applyFont="1" applyAlignment="1" applyProtection="1">
      <alignment/>
      <protection/>
    </xf>
    <xf numFmtId="175" fontId="41" fillId="0" borderId="0" xfId="0" applyNumberFormat="1" applyFont="1" applyAlignment="1">
      <alignment/>
    </xf>
    <xf numFmtId="0" fontId="16" fillId="0" borderId="0" xfId="0" applyFont="1" applyAlignment="1">
      <alignment/>
    </xf>
    <xf numFmtId="0" fontId="2" fillId="0" borderId="0" xfId="0" applyNumberFormat="1" applyFont="1" applyAlignment="1">
      <alignment/>
    </xf>
    <xf numFmtId="173" fontId="18" fillId="0" borderId="0" xfId="0" applyNumberFormat="1" applyFont="1" applyAlignment="1" applyProtection="1">
      <alignment horizontal="center"/>
      <protection/>
    </xf>
    <xf numFmtId="173" fontId="0" fillId="0" borderId="0" xfId="0" applyNumberFormat="1" applyAlignment="1" applyProtection="1">
      <alignment horizontal="right"/>
      <protection/>
    </xf>
    <xf numFmtId="175" fontId="49" fillId="0" borderId="0" xfId="0" applyNumberFormat="1" applyFont="1" applyAlignment="1" applyProtection="1">
      <alignment horizontal="center"/>
      <protection/>
    </xf>
    <xf numFmtId="0" fontId="75" fillId="0" borderId="15" xfId="0" applyFont="1" applyBorder="1" applyAlignment="1" applyProtection="1">
      <alignment horizontal="center" vertical="center" wrapText="1"/>
      <protection/>
    </xf>
    <xf numFmtId="9" fontId="81" fillId="14" borderId="15" xfId="110" applyFont="1" applyFill="1" applyBorder="1" applyAlignment="1" applyProtection="1">
      <alignment horizontal="center" vertical="center" wrapText="1"/>
      <protection/>
    </xf>
    <xf numFmtId="179" fontId="2" fillId="2" borderId="72" xfId="0" applyNumberFormat="1" applyFont="1" applyFill="1" applyBorder="1" applyAlignment="1">
      <alignment horizontal="right"/>
    </xf>
    <xf numFmtId="179" fontId="2" fillId="2" borderId="72" xfId="83" applyNumberFormat="1" applyFont="1" applyFill="1" applyBorder="1" applyAlignment="1" applyProtection="1">
      <alignment/>
      <protection/>
    </xf>
    <xf numFmtId="9" fontId="2" fillId="2" borderId="72" xfId="110" applyFont="1" applyFill="1" applyBorder="1" applyAlignment="1" applyProtection="1">
      <alignment/>
      <protection/>
    </xf>
    <xf numFmtId="9" fontId="2" fillId="2" borderId="72" xfId="110" applyNumberFormat="1" applyFont="1" applyFill="1" applyBorder="1" applyAlignment="1" applyProtection="1">
      <alignment/>
      <protection/>
    </xf>
    <xf numFmtId="9" fontId="2" fillId="2" borderId="72" xfId="110" applyFont="1" applyFill="1" applyBorder="1" applyAlignment="1" applyProtection="1">
      <alignment horizontal="center"/>
      <protection/>
    </xf>
    <xf numFmtId="179" fontId="2" fillId="0" borderId="0" xfId="0" applyNumberFormat="1" applyFont="1" applyAlignment="1">
      <alignment/>
    </xf>
    <xf numFmtId="179" fontId="2" fillId="2" borderId="72" xfId="0" applyNumberFormat="1" applyFont="1" applyFill="1" applyBorder="1" applyAlignment="1">
      <alignment/>
    </xf>
    <xf numFmtId="173" fontId="2" fillId="0" borderId="0" xfId="0" applyNumberFormat="1" applyFont="1" applyAlignment="1">
      <alignment/>
    </xf>
    <xf numFmtId="0" fontId="51" fillId="0" borderId="0" xfId="0" applyFont="1" applyFill="1" applyBorder="1" applyAlignment="1" applyProtection="1">
      <alignment/>
      <protection/>
    </xf>
    <xf numFmtId="0" fontId="82" fillId="0" borderId="0" xfId="0" applyFont="1" applyAlignment="1">
      <alignment/>
    </xf>
    <xf numFmtId="0" fontId="82" fillId="0" borderId="0" xfId="0" applyFont="1" applyAlignment="1">
      <alignment horizontal="right"/>
    </xf>
    <xf numFmtId="0" fontId="82" fillId="0" borderId="0" xfId="0" applyFont="1" applyAlignment="1" applyProtection="1">
      <alignment/>
      <protection/>
    </xf>
    <xf numFmtId="0" fontId="82" fillId="0" borderId="0" xfId="0" applyFont="1" applyAlignment="1" applyProtection="1">
      <alignment horizontal="right"/>
      <protection/>
    </xf>
    <xf numFmtId="173" fontId="42" fillId="0" borderId="0" xfId="99" applyFont="1" applyFill="1" applyAlignment="1">
      <alignment vertical="center"/>
      <protection/>
    </xf>
    <xf numFmtId="0" fontId="82" fillId="0" borderId="0" xfId="0" applyFont="1" applyBorder="1" applyAlignment="1" applyProtection="1">
      <alignment/>
      <protection/>
    </xf>
    <xf numFmtId="0" fontId="83" fillId="0" borderId="0" xfId="0" applyFont="1" applyBorder="1" applyAlignment="1" applyProtection="1">
      <alignment horizontal="left" vertical="center"/>
      <protection/>
    </xf>
    <xf numFmtId="0" fontId="83" fillId="0" borderId="0" xfId="0" applyFont="1" applyBorder="1" applyAlignment="1" applyProtection="1">
      <alignment horizontal="left"/>
      <protection/>
    </xf>
    <xf numFmtId="195" fontId="83" fillId="0" borderId="0" xfId="0" applyNumberFormat="1" applyFont="1" applyBorder="1" applyAlignment="1" applyProtection="1">
      <alignment horizontal="left"/>
      <protection/>
    </xf>
    <xf numFmtId="0" fontId="82" fillId="0" borderId="0" xfId="0" applyFont="1" applyBorder="1" applyAlignment="1">
      <alignment/>
    </xf>
    <xf numFmtId="0" fontId="85" fillId="0" borderId="0" xfId="0" applyFont="1" applyAlignment="1" applyProtection="1">
      <alignment/>
      <protection/>
    </xf>
    <xf numFmtId="0" fontId="88" fillId="0" borderId="0" xfId="0" applyFont="1" applyFill="1" applyBorder="1" applyAlignment="1" applyProtection="1">
      <alignment horizontal="right"/>
      <protection/>
    </xf>
    <xf numFmtId="0" fontId="85" fillId="0" borderId="0" xfId="0" applyFont="1" applyAlignment="1">
      <alignment/>
    </xf>
    <xf numFmtId="0" fontId="63" fillId="0" borderId="73" xfId="0" applyFont="1" applyFill="1" applyBorder="1" applyAlignment="1" applyProtection="1">
      <alignment horizontal="center" vertical="center" wrapText="1"/>
      <protection/>
    </xf>
    <xf numFmtId="0" fontId="89" fillId="0" borderId="74" xfId="0" applyNumberFormat="1" applyFont="1" applyFill="1" applyBorder="1" applyAlignment="1" applyProtection="1">
      <alignment horizontal="right"/>
      <protection/>
    </xf>
    <xf numFmtId="9" fontId="90" fillId="0" borderId="0" xfId="0" applyNumberFormat="1" applyFont="1" applyFill="1" applyBorder="1" applyAlignment="1" applyProtection="1">
      <alignment/>
      <protection/>
    </xf>
    <xf numFmtId="0" fontId="63" fillId="0" borderId="75" xfId="0" applyFont="1" applyFill="1" applyBorder="1" applyAlignment="1" applyProtection="1">
      <alignment horizontal="center"/>
      <protection/>
    </xf>
    <xf numFmtId="0" fontId="89" fillId="0" borderId="76" xfId="0" applyNumberFormat="1" applyFont="1" applyFill="1" applyBorder="1" applyAlignment="1" applyProtection="1">
      <alignment horizontal="right"/>
      <protection/>
    </xf>
    <xf numFmtId="0" fontId="63" fillId="0" borderId="77" xfId="0" applyFont="1" applyFill="1" applyBorder="1" applyAlignment="1" applyProtection="1">
      <alignment horizontal="center"/>
      <protection/>
    </xf>
    <xf numFmtId="0" fontId="89" fillId="0" borderId="78" xfId="0" applyNumberFormat="1" applyFont="1" applyFill="1" applyBorder="1" applyAlignment="1" applyProtection="1">
      <alignment horizontal="right"/>
      <protection/>
    </xf>
    <xf numFmtId="0" fontId="91" fillId="0" borderId="0" xfId="0" applyFont="1" applyFill="1" applyBorder="1" applyAlignment="1" applyProtection="1">
      <alignment horizontal="center"/>
      <protection/>
    </xf>
    <xf numFmtId="0" fontId="89" fillId="0" borderId="0" xfId="0" applyNumberFormat="1" applyFont="1" applyFill="1" applyBorder="1" applyAlignment="1" applyProtection="1">
      <alignment horizontal="right"/>
      <protection/>
    </xf>
    <xf numFmtId="0" fontId="30" fillId="0" borderId="0" xfId="0" applyFont="1" applyFill="1" applyBorder="1" applyAlignment="1" applyProtection="1">
      <alignment horizontal="center" vertical="center"/>
      <protection/>
    </xf>
    <xf numFmtId="9" fontId="90" fillId="0" borderId="0" xfId="0" applyNumberFormat="1" applyFont="1" applyFill="1" applyBorder="1" applyAlignment="1" applyProtection="1">
      <alignment horizontal="center"/>
      <protection/>
    </xf>
    <xf numFmtId="0" fontId="85" fillId="0" borderId="0" xfId="0" applyFont="1" applyFill="1" applyAlignment="1">
      <alignment/>
    </xf>
    <xf numFmtId="196" fontId="92" fillId="2" borderId="0" xfId="0" applyNumberFormat="1" applyFont="1" applyFill="1" applyBorder="1" applyAlignment="1" applyProtection="1">
      <alignment vertical="center"/>
      <protection/>
    </xf>
    <xf numFmtId="0" fontId="89" fillId="2" borderId="0" xfId="0" applyNumberFormat="1" applyFont="1" applyFill="1" applyBorder="1" applyAlignment="1" applyProtection="1">
      <alignment horizontal="right"/>
      <protection/>
    </xf>
    <xf numFmtId="0" fontId="30" fillId="2" borderId="0" xfId="0" applyFont="1" applyFill="1" applyBorder="1" applyAlignment="1" applyProtection="1">
      <alignment horizontal="center" vertical="center"/>
      <protection/>
    </xf>
    <xf numFmtId="0" fontId="93" fillId="2" borderId="0" xfId="0" applyFont="1" applyFill="1" applyBorder="1" applyAlignment="1" applyProtection="1">
      <alignment horizontal="center" vertical="center"/>
      <protection/>
    </xf>
    <xf numFmtId="186" fontId="92" fillId="2" borderId="0" xfId="110" applyNumberFormat="1" applyFont="1" applyFill="1" applyBorder="1" applyAlignment="1" applyProtection="1">
      <alignment horizontal="right"/>
      <protection/>
    </xf>
    <xf numFmtId="9" fontId="94" fillId="2" borderId="0" xfId="0" applyNumberFormat="1" applyFont="1" applyFill="1" applyBorder="1" applyAlignment="1" applyProtection="1">
      <alignment/>
      <protection/>
    </xf>
    <xf numFmtId="0" fontId="95" fillId="2" borderId="0" xfId="0" applyFont="1" applyFill="1" applyBorder="1" applyAlignment="1" applyProtection="1">
      <alignment horizontal="center" vertical="center"/>
      <protection/>
    </xf>
    <xf numFmtId="9" fontId="94" fillId="2" borderId="0" xfId="0" applyNumberFormat="1" applyFont="1" applyFill="1" applyBorder="1" applyAlignment="1" applyProtection="1">
      <alignment horizontal="left"/>
      <protection/>
    </xf>
    <xf numFmtId="0" fontId="75" fillId="0" borderId="0" xfId="0" applyFont="1" applyBorder="1" applyAlignment="1" applyProtection="1">
      <alignment horizontal="center" vertical="center"/>
      <protection/>
    </xf>
    <xf numFmtId="0" fontId="92" fillId="2" borderId="0" xfId="0" applyFont="1" applyFill="1" applyBorder="1" applyAlignment="1" applyProtection="1">
      <alignment horizontal="left" vertical="center"/>
      <protection/>
    </xf>
    <xf numFmtId="179" fontId="96" fillId="0" borderId="0" xfId="0" applyNumberFormat="1" applyFont="1" applyFill="1" applyBorder="1" applyAlignment="1" applyProtection="1">
      <alignment horizontal="right" vertical="center"/>
      <protection/>
    </xf>
    <xf numFmtId="0" fontId="97" fillId="2" borderId="0" xfId="0" applyFont="1" applyFill="1" applyBorder="1" applyAlignment="1" applyProtection="1">
      <alignment horizontal="left" vertical="center"/>
      <protection/>
    </xf>
    <xf numFmtId="0" fontId="63" fillId="0" borderId="79" xfId="0" applyNumberFormat="1" applyFont="1" applyFill="1" applyBorder="1" applyAlignment="1" applyProtection="1">
      <alignment horizontal="center"/>
      <protection/>
    </xf>
    <xf numFmtId="0" fontId="89" fillId="0" borderId="80" xfId="0" applyNumberFormat="1" applyFont="1" applyFill="1" applyBorder="1" applyAlignment="1" applyProtection="1">
      <alignment horizontal="right"/>
      <protection/>
    </xf>
    <xf numFmtId="9" fontId="94" fillId="0" borderId="0" xfId="0" applyNumberFormat="1" applyFont="1" applyFill="1" applyBorder="1" applyAlignment="1" applyProtection="1">
      <alignment/>
      <protection/>
    </xf>
    <xf numFmtId="0" fontId="63" fillId="0" borderId="81" xfId="0" applyNumberFormat="1" applyFont="1" applyFill="1" applyBorder="1" applyAlignment="1" applyProtection="1">
      <alignment horizontal="center"/>
      <protection/>
    </xf>
    <xf numFmtId="0" fontId="89" fillId="0" borderId="82" xfId="0" applyNumberFormat="1" applyFont="1" applyFill="1" applyBorder="1" applyAlignment="1" applyProtection="1">
      <alignment horizontal="right"/>
      <protection/>
    </xf>
    <xf numFmtId="0" fontId="82" fillId="0" borderId="0" xfId="0" applyNumberFormat="1" applyFont="1" applyBorder="1" applyAlignment="1">
      <alignment/>
    </xf>
    <xf numFmtId="0" fontId="63" fillId="0" borderId="81" xfId="0" applyNumberFormat="1" applyFont="1" applyFill="1" applyBorder="1" applyAlignment="1" applyProtection="1">
      <alignment horizontal="center" vertical="center"/>
      <protection/>
    </xf>
    <xf numFmtId="0" fontId="63" fillId="0" borderId="83" xfId="0" applyNumberFormat="1" applyFont="1" applyFill="1" applyBorder="1" applyAlignment="1" applyProtection="1">
      <alignment horizontal="center" vertical="center"/>
      <protection/>
    </xf>
    <xf numFmtId="0" fontId="89" fillId="0" borderId="84" xfId="0" applyNumberFormat="1" applyFont="1" applyFill="1" applyBorder="1" applyAlignment="1" applyProtection="1">
      <alignment horizontal="right"/>
      <protection/>
    </xf>
    <xf numFmtId="0" fontId="99" fillId="0" borderId="0" xfId="0" applyFont="1" applyFill="1" applyBorder="1" applyAlignment="1" applyProtection="1">
      <alignment/>
      <protection/>
    </xf>
    <xf numFmtId="0" fontId="100" fillId="0" borderId="0" xfId="0" applyFont="1" applyFill="1" applyBorder="1" applyAlignment="1" applyProtection="1">
      <alignment/>
      <protection/>
    </xf>
    <xf numFmtId="0" fontId="101" fillId="0" borderId="0" xfId="0" applyFont="1" applyFill="1" applyBorder="1" applyAlignment="1" applyProtection="1">
      <alignment horizontal="center" vertical="center"/>
      <protection/>
    </xf>
    <xf numFmtId="0" fontId="102" fillId="0" borderId="0" xfId="0" applyFont="1" applyFill="1" applyBorder="1" applyAlignment="1" applyProtection="1">
      <alignment horizontal="center" vertical="center"/>
      <protection/>
    </xf>
    <xf numFmtId="0" fontId="102" fillId="0" borderId="0" xfId="0" applyFont="1" applyFill="1" applyBorder="1" applyAlignment="1" applyProtection="1">
      <alignment horizontal="right" vertical="center" indent="1"/>
      <protection/>
    </xf>
    <xf numFmtId="0" fontId="103" fillId="0" borderId="0" xfId="0" applyFont="1" applyFill="1" applyBorder="1" applyAlignment="1" applyProtection="1">
      <alignment horizontal="center"/>
      <protection/>
    </xf>
    <xf numFmtId="0" fontId="104" fillId="0" borderId="85" xfId="0" applyNumberFormat="1" applyFont="1" applyFill="1" applyBorder="1" applyAlignment="1" applyProtection="1">
      <alignment horizontal="center" vertical="center"/>
      <protection/>
    </xf>
    <xf numFmtId="0" fontId="75" fillId="0" borderId="86" xfId="0" applyNumberFormat="1" applyFont="1" applyFill="1" applyBorder="1" applyAlignment="1" applyProtection="1">
      <alignment vertical="center"/>
      <protection/>
    </xf>
    <xf numFmtId="0" fontId="104" fillId="0" borderId="87" xfId="0" applyNumberFormat="1" applyFont="1" applyFill="1" applyBorder="1" applyAlignment="1" applyProtection="1">
      <alignment horizontal="center" vertical="center"/>
      <protection/>
    </xf>
    <xf numFmtId="0" fontId="75" fillId="0" borderId="88" xfId="0" applyNumberFormat="1" applyFont="1" applyFill="1" applyBorder="1" applyAlignment="1" applyProtection="1">
      <alignment vertical="center"/>
      <protection/>
    </xf>
    <xf numFmtId="0" fontId="104" fillId="0" borderId="89" xfId="0" applyNumberFormat="1" applyFont="1" applyFill="1" applyBorder="1" applyAlignment="1" applyProtection="1">
      <alignment horizontal="center" vertical="center"/>
      <protection/>
    </xf>
    <xf numFmtId="0" fontId="75" fillId="0" borderId="90" xfId="0" applyNumberFormat="1" applyFont="1" applyFill="1" applyBorder="1" applyAlignment="1" applyProtection="1">
      <alignment vertical="center"/>
      <protection/>
    </xf>
    <xf numFmtId="0" fontId="75" fillId="0" borderId="91" xfId="0" applyNumberFormat="1" applyFont="1" applyFill="1" applyBorder="1" applyAlignment="1" applyProtection="1">
      <alignment vertical="center"/>
      <protection/>
    </xf>
    <xf numFmtId="175" fontId="0" fillId="0" borderId="0" xfId="0" applyNumberFormat="1" applyAlignment="1">
      <alignment/>
    </xf>
    <xf numFmtId="0" fontId="25" fillId="0" borderId="0" xfId="0" applyFont="1" applyAlignment="1">
      <alignment horizontal="center"/>
    </xf>
    <xf numFmtId="0" fontId="84" fillId="10" borderId="92" xfId="0" applyNumberFormat="1" applyFont="1" applyFill="1" applyBorder="1" applyAlignment="1">
      <alignment vertical="center"/>
    </xf>
    <xf numFmtId="0" fontId="84" fillId="10" borderId="92" xfId="0" applyFont="1" applyFill="1" applyBorder="1" applyAlignment="1">
      <alignment vertical="center"/>
    </xf>
    <xf numFmtId="0" fontId="18" fillId="0" borderId="0" xfId="0" applyFont="1" applyAlignment="1">
      <alignment/>
    </xf>
    <xf numFmtId="0" fontId="51" fillId="0" borderId="0" xfId="0" applyFont="1" applyAlignment="1">
      <alignment/>
    </xf>
    <xf numFmtId="0" fontId="105" fillId="0" borderId="0" xfId="106" applyNumberFormat="1" applyFont="1" applyFill="1" applyBorder="1" applyAlignment="1">
      <alignment horizontal="center" vertical="center" wrapText="1"/>
      <protection/>
    </xf>
    <xf numFmtId="0" fontId="105" fillId="8" borderId="93" xfId="106" applyNumberFormat="1" applyFont="1" applyFill="1" applyBorder="1" applyAlignment="1">
      <alignment horizontal="center" vertical="center" wrapText="1"/>
      <protection/>
    </xf>
    <xf numFmtId="0" fontId="107" fillId="0" borderId="0" xfId="0" applyNumberFormat="1" applyFont="1" applyAlignment="1">
      <alignment/>
    </xf>
    <xf numFmtId="0" fontId="107" fillId="0" borderId="0" xfId="0" applyFont="1" applyAlignment="1">
      <alignment/>
    </xf>
    <xf numFmtId="0" fontId="107" fillId="0" borderId="0" xfId="0" applyFont="1" applyAlignment="1">
      <alignment horizontal="center"/>
    </xf>
    <xf numFmtId="0" fontId="108" fillId="0" borderId="0" xfId="0" applyFont="1" applyBorder="1" applyAlignment="1">
      <alignment/>
    </xf>
    <xf numFmtId="0" fontId="109" fillId="10" borderId="92" xfId="0" applyFont="1" applyFill="1" applyBorder="1" applyAlignment="1">
      <alignment vertical="center"/>
    </xf>
    <xf numFmtId="0" fontId="50" fillId="0" borderId="0" xfId="0" applyFont="1" applyAlignment="1">
      <alignment/>
    </xf>
    <xf numFmtId="0" fontId="110" fillId="10" borderId="15" xfId="0" applyFont="1" applyFill="1" applyBorder="1" applyAlignment="1" applyProtection="1">
      <alignment horizontal="center"/>
      <protection/>
    </xf>
    <xf numFmtId="0" fontId="110" fillId="10" borderId="15" xfId="0" applyFont="1" applyFill="1" applyBorder="1" applyAlignment="1">
      <alignment horizontal="center"/>
    </xf>
    <xf numFmtId="0" fontId="0" fillId="0" borderId="15" xfId="0" applyNumberFormat="1" applyFont="1" applyBorder="1" applyAlignment="1">
      <alignment/>
    </xf>
    <xf numFmtId="0" fontId="0" fillId="0" borderId="15" xfId="0" applyNumberFormat="1" applyFont="1" applyBorder="1" applyAlignment="1">
      <alignment horizontal="center"/>
    </xf>
    <xf numFmtId="0" fontId="72" fillId="0" borderId="15" xfId="0" applyFont="1" applyFill="1" applyBorder="1" applyAlignment="1" applyProtection="1">
      <alignment horizontal="center"/>
      <protection/>
    </xf>
    <xf numFmtId="0" fontId="72" fillId="0" borderId="15" xfId="0" applyFont="1" applyBorder="1" applyAlignment="1" applyProtection="1">
      <alignment horizontal="center"/>
      <protection/>
    </xf>
    <xf numFmtId="0" fontId="111" fillId="0" borderId="15" xfId="0" applyFont="1" applyBorder="1" applyAlignment="1" applyProtection="1">
      <alignment horizontal="left" indent="1"/>
      <protection/>
    </xf>
    <xf numFmtId="0" fontId="0" fillId="0" borderId="15" xfId="0" applyFont="1" applyBorder="1" applyAlignment="1">
      <alignment horizontal="center"/>
    </xf>
    <xf numFmtId="0" fontId="72" fillId="0" borderId="0" xfId="0" applyFont="1" applyFill="1" applyBorder="1" applyAlignment="1" applyProtection="1">
      <alignment/>
      <protection/>
    </xf>
    <xf numFmtId="0" fontId="72" fillId="0" borderId="15" xfId="0" applyFont="1" applyFill="1" applyBorder="1" applyAlignment="1" applyProtection="1">
      <alignment/>
      <protection/>
    </xf>
    <xf numFmtId="173" fontId="72" fillId="0" borderId="15" xfId="102" applyFont="1" applyBorder="1" applyProtection="1">
      <alignment/>
      <protection/>
    </xf>
    <xf numFmtId="0" fontId="0" fillId="0" borderId="15" xfId="0" applyFont="1" applyBorder="1" applyAlignment="1">
      <alignment/>
    </xf>
    <xf numFmtId="0" fontId="0" fillId="0" borderId="15" xfId="0" applyBorder="1" applyAlignment="1">
      <alignment/>
    </xf>
    <xf numFmtId="3" fontId="41" fillId="28" borderId="94" xfId="0" applyNumberFormat="1" applyFont="1" applyFill="1" applyBorder="1" applyAlignment="1" applyProtection="1">
      <alignment/>
      <protection locked="0"/>
    </xf>
    <xf numFmtId="3" fontId="41" fillId="28" borderId="20" xfId="0" applyNumberFormat="1" applyFont="1" applyFill="1" applyBorder="1" applyAlignment="1" applyProtection="1">
      <alignment/>
      <protection locked="0"/>
    </xf>
    <xf numFmtId="43" fontId="0" fillId="0" borderId="95" xfId="0" applyNumberFormat="1" applyBorder="1" applyAlignment="1" applyProtection="1">
      <alignment/>
      <protection/>
    </xf>
    <xf numFmtId="43" fontId="41" fillId="0" borderId="15" xfId="0" applyNumberFormat="1" applyFont="1" applyFill="1" applyBorder="1" applyAlignment="1" applyProtection="1">
      <alignment/>
      <protection/>
    </xf>
    <xf numFmtId="0" fontId="0" fillId="13" borderId="53" xfId="0" applyNumberFormat="1" applyFill="1" applyBorder="1" applyAlignment="1" applyProtection="1">
      <alignment horizontal="center" vertical="center"/>
      <protection/>
    </xf>
    <xf numFmtId="185" fontId="0" fillId="13" borderId="53" xfId="0" applyNumberFormat="1" applyFill="1" applyBorder="1" applyAlignment="1" applyProtection="1">
      <alignment horizontal="center" vertical="center"/>
      <protection/>
    </xf>
    <xf numFmtId="3" fontId="0" fillId="13" borderId="53" xfId="0" applyNumberFormat="1" applyFill="1" applyBorder="1" applyAlignment="1" applyProtection="1">
      <alignment horizontal="center" vertical="center"/>
      <protection/>
    </xf>
    <xf numFmtId="1" fontId="0" fillId="0" borderId="15" xfId="0" applyNumberFormat="1" applyFill="1" applyBorder="1" applyAlignment="1" applyProtection="1">
      <alignment horizontal="center" vertical="center"/>
      <protection/>
    </xf>
    <xf numFmtId="176" fontId="18" fillId="10" borderId="0" xfId="0" applyNumberFormat="1" applyFont="1" applyFill="1" applyBorder="1" applyAlignment="1" applyProtection="1">
      <alignment horizontal="center"/>
      <protection locked="0"/>
    </xf>
    <xf numFmtId="176" fontId="18" fillId="10" borderId="96" xfId="0" applyNumberFormat="1" applyFont="1" applyFill="1" applyBorder="1" applyAlignment="1" applyProtection="1">
      <alignment horizontal="center"/>
      <protection locked="0"/>
    </xf>
    <xf numFmtId="179" fontId="1" fillId="12" borderId="97" xfId="0" applyNumberFormat="1" applyFont="1" applyFill="1" applyBorder="1" applyAlignment="1" applyProtection="1">
      <alignment horizontal="center" vertical="center" wrapText="1"/>
      <protection/>
    </xf>
    <xf numFmtId="187" fontId="1" fillId="12" borderId="97" xfId="0" applyNumberFormat="1" applyFont="1" applyFill="1" applyBorder="1" applyAlignment="1" applyProtection="1">
      <alignment horizontal="center" vertical="center" wrapText="1"/>
      <protection/>
    </xf>
    <xf numFmtId="179" fontId="1" fillId="12" borderId="97" xfId="0" applyNumberFormat="1" applyFont="1" applyFill="1" applyBorder="1" applyAlignment="1" applyProtection="1">
      <alignment vertical="center"/>
      <protection locked="0"/>
    </xf>
    <xf numFmtId="179" fontId="1" fillId="29" borderId="97" xfId="0" applyNumberFormat="1" applyFont="1" applyFill="1" applyBorder="1" applyAlignment="1" applyProtection="1">
      <alignment vertical="center"/>
      <protection locked="0"/>
    </xf>
    <xf numFmtId="179" fontId="1" fillId="29" borderId="97" xfId="0" applyNumberFormat="1" applyFont="1" applyFill="1" applyBorder="1" applyAlignment="1" applyProtection="1">
      <alignment horizontal="right" vertical="center"/>
      <protection locked="0"/>
    </xf>
    <xf numFmtId="188" fontId="1" fillId="12" borderId="97" xfId="0" applyNumberFormat="1" applyFont="1" applyFill="1" applyBorder="1" applyAlignment="1" applyProtection="1">
      <alignment horizontal="center" vertical="center" wrapText="1"/>
      <protection/>
    </xf>
    <xf numFmtId="185" fontId="1" fillId="12" borderId="97" xfId="0" applyNumberFormat="1" applyFont="1" applyFill="1" applyBorder="1" applyAlignment="1" applyProtection="1">
      <alignment horizontal="center" vertical="center" wrapText="1"/>
      <protection/>
    </xf>
    <xf numFmtId="49" fontId="1" fillId="0" borderId="97" xfId="0" applyNumberFormat="1" applyFont="1" applyFill="1" applyBorder="1" applyAlignment="1" applyProtection="1">
      <alignment horizontal="left"/>
      <protection/>
    </xf>
    <xf numFmtId="49" fontId="1" fillId="30" borderId="97" xfId="0" applyNumberFormat="1" applyFont="1" applyFill="1" applyBorder="1" applyAlignment="1" applyProtection="1">
      <alignment horizontal="left"/>
      <protection/>
    </xf>
    <xf numFmtId="4" fontId="1" fillId="31" borderId="97" xfId="0" applyNumberFormat="1" applyFont="1" applyFill="1" applyBorder="1" applyAlignment="1" applyProtection="1">
      <alignment horizontal="center" vertical="center" wrapText="1"/>
      <protection/>
    </xf>
    <xf numFmtId="3" fontId="1" fillId="31" borderId="97" xfId="0" applyNumberFormat="1" applyFont="1" applyFill="1" applyBorder="1" applyAlignment="1" applyProtection="1">
      <alignment horizontal="center" vertical="center" wrapText="1"/>
      <protection/>
    </xf>
    <xf numFmtId="3" fontId="1" fillId="32" borderId="97" xfId="0" applyNumberFormat="1" applyFont="1" applyFill="1" applyBorder="1" applyAlignment="1" applyProtection="1">
      <alignment horizontal="center" vertical="center" wrapText="1"/>
      <protection/>
    </xf>
    <xf numFmtId="185" fontId="41" fillId="0" borderId="15" xfId="0" applyNumberFormat="1" applyFont="1" applyBorder="1" applyAlignment="1" applyProtection="1">
      <alignment horizontal="center" vertical="center" wrapText="1"/>
      <protection/>
    </xf>
    <xf numFmtId="173" fontId="74" fillId="12" borderId="0" xfId="0" applyNumberFormat="1" applyFont="1" applyFill="1" applyAlignment="1" applyProtection="1">
      <alignment horizontal="left" vertical="top"/>
      <protection locked="0"/>
    </xf>
    <xf numFmtId="0" fontId="77" fillId="12" borderId="0" xfId="0" applyNumberFormat="1" applyFont="1" applyFill="1" applyAlignment="1" applyProtection="1">
      <alignment horizontal="left" vertical="center"/>
      <protection locked="0"/>
    </xf>
    <xf numFmtId="1" fontId="49" fillId="3" borderId="71" xfId="0" applyNumberFormat="1" applyFont="1" applyFill="1" applyBorder="1" applyAlignment="1" applyProtection="1">
      <alignment horizontal="center"/>
      <protection/>
    </xf>
    <xf numFmtId="204" fontId="41" fillId="0" borderId="15" xfId="0" applyNumberFormat="1" applyFont="1" applyBorder="1" applyAlignment="1" applyProtection="1">
      <alignment horizontal="center" vertical="center" wrapText="1"/>
      <protection/>
    </xf>
    <xf numFmtId="0" fontId="77" fillId="12" borderId="0" xfId="0" applyNumberFormat="1" applyFont="1" applyFill="1" applyBorder="1" applyAlignment="1" applyProtection="1">
      <alignment horizontal="left" vertical="center"/>
      <protection locked="0"/>
    </xf>
    <xf numFmtId="0" fontId="114" fillId="12" borderId="0" xfId="0" applyNumberFormat="1" applyFont="1" applyFill="1" applyBorder="1" applyAlignment="1" applyProtection="1">
      <alignment horizontal="left" vertical="center"/>
      <protection locked="0"/>
    </xf>
    <xf numFmtId="179" fontId="2" fillId="2" borderId="98" xfId="0" applyNumberFormat="1" applyFont="1" applyFill="1" applyBorder="1" applyAlignment="1">
      <alignment horizontal="right"/>
    </xf>
    <xf numFmtId="0" fontId="2" fillId="2" borderId="98" xfId="0" applyFont="1" applyFill="1" applyBorder="1" applyAlignment="1">
      <alignment/>
    </xf>
    <xf numFmtId="0" fontId="113" fillId="0" borderId="97" xfId="0" applyFont="1" applyBorder="1" applyAlignment="1">
      <alignment wrapText="1"/>
    </xf>
    <xf numFmtId="0" fontId="0" fillId="0" borderId="99" xfId="0" applyBorder="1" applyAlignment="1">
      <alignment vertical="center" wrapText="1"/>
    </xf>
    <xf numFmtId="0" fontId="0" fillId="0" borderId="97" xfId="0" applyBorder="1" applyAlignment="1">
      <alignment/>
    </xf>
    <xf numFmtId="0" fontId="0" fillId="0" borderId="97" xfId="0" applyBorder="1" applyAlignment="1">
      <alignment wrapText="1"/>
    </xf>
    <xf numFmtId="0" fontId="0" fillId="0" borderId="97" xfId="0" applyFill="1" applyBorder="1" applyAlignment="1">
      <alignment wrapText="1"/>
    </xf>
    <xf numFmtId="44" fontId="1" fillId="0" borderId="0" xfId="86" applyFill="1" applyBorder="1" applyAlignment="1" applyProtection="1">
      <alignment horizontal="center"/>
      <protection/>
    </xf>
    <xf numFmtId="203" fontId="0" fillId="0" borderId="0" xfId="0" applyNumberFormat="1" applyAlignment="1" applyProtection="1">
      <alignment/>
      <protection/>
    </xf>
    <xf numFmtId="0" fontId="55" fillId="0" borderId="0" xfId="0" applyFont="1" applyFill="1" applyBorder="1" applyAlignment="1" applyProtection="1">
      <alignment horizontal="center" wrapText="1"/>
      <protection/>
    </xf>
    <xf numFmtId="2" fontId="0" fillId="0" borderId="0" xfId="0" applyNumberFormat="1" applyBorder="1" applyAlignment="1" applyProtection="1">
      <alignment/>
      <protection/>
    </xf>
    <xf numFmtId="1" fontId="0" fillId="0" borderId="0" xfId="0" applyNumberFormat="1" applyFill="1" applyBorder="1" applyAlignment="1">
      <alignment/>
    </xf>
    <xf numFmtId="0" fontId="0" fillId="13" borderId="100" xfId="0" applyNumberFormat="1" applyFill="1" applyBorder="1" applyAlignment="1" applyProtection="1">
      <alignment horizontal="center" vertical="center"/>
      <protection/>
    </xf>
    <xf numFmtId="0" fontId="0" fillId="13" borderId="101" xfId="0" applyNumberFormat="1" applyFill="1" applyBorder="1" applyAlignment="1" applyProtection="1">
      <alignment horizontal="center" vertical="center"/>
      <protection/>
    </xf>
    <xf numFmtId="173" fontId="0" fillId="13" borderId="97" xfId="0" applyNumberFormat="1" applyFont="1" applyFill="1" applyBorder="1" applyAlignment="1" applyProtection="1">
      <alignment wrapText="1"/>
      <protection locked="0"/>
    </xf>
    <xf numFmtId="173" fontId="0" fillId="13" borderId="97" xfId="0" applyNumberFormat="1" applyFont="1" applyFill="1" applyBorder="1" applyAlignment="1" applyProtection="1">
      <alignment/>
      <protection locked="0"/>
    </xf>
    <xf numFmtId="49" fontId="0" fillId="13" borderId="97" xfId="0" applyNumberFormat="1" applyFont="1" applyFill="1" applyBorder="1" applyAlignment="1" applyProtection="1">
      <alignment horizontal="left" wrapText="1"/>
      <protection locked="0"/>
    </xf>
    <xf numFmtId="49" fontId="0" fillId="13" borderId="97" xfId="0" applyNumberFormat="1" applyFont="1" applyFill="1" applyBorder="1" applyAlignment="1" applyProtection="1">
      <alignment horizontal="left" wrapText="1"/>
      <protection/>
    </xf>
    <xf numFmtId="173" fontId="0" fillId="0" borderId="102" xfId="0" applyNumberFormat="1" applyFont="1" applyFill="1" applyBorder="1" applyAlignment="1" applyProtection="1">
      <alignment horizontal="left"/>
      <protection/>
    </xf>
    <xf numFmtId="173" fontId="0" fillId="0" borderId="103" xfId="0" applyNumberFormat="1" applyFont="1" applyFill="1" applyBorder="1" applyAlignment="1" applyProtection="1">
      <alignment horizontal="center" wrapText="1"/>
      <protection/>
    </xf>
    <xf numFmtId="173" fontId="41" fillId="0" borderId="104" xfId="0" applyNumberFormat="1" applyFont="1" applyBorder="1" applyAlignment="1">
      <alignment horizontal="center" wrapText="1"/>
    </xf>
    <xf numFmtId="173" fontId="0" fillId="0" borderId="104" xfId="0" applyNumberFormat="1" applyFont="1" applyBorder="1" applyAlignment="1">
      <alignment horizontal="center" wrapText="1"/>
    </xf>
    <xf numFmtId="186" fontId="0" fillId="0" borderId="105" xfId="0" applyNumberFormat="1" applyFill="1" applyBorder="1" applyAlignment="1" applyProtection="1">
      <alignment horizontal="center" vertical="center"/>
      <protection/>
    </xf>
    <xf numFmtId="49" fontId="0" fillId="13" borderId="106" xfId="0" applyNumberFormat="1" applyFont="1" applyFill="1" applyBorder="1" applyAlignment="1" applyProtection="1">
      <alignment horizontal="left" wrapText="1"/>
      <protection/>
    </xf>
    <xf numFmtId="0" fontId="0" fillId="13" borderId="107" xfId="0" applyNumberFormat="1" applyFill="1" applyBorder="1" applyAlignment="1" applyProtection="1">
      <alignment horizontal="center" vertical="center"/>
      <protection/>
    </xf>
    <xf numFmtId="0" fontId="55" fillId="2" borderId="108" xfId="0" applyFont="1" applyFill="1" applyBorder="1" applyAlignment="1" applyProtection="1">
      <alignment/>
      <protection/>
    </xf>
    <xf numFmtId="0" fontId="41" fillId="0" borderId="109" xfId="0" applyFont="1" applyFill="1" applyBorder="1" applyAlignment="1" applyProtection="1">
      <alignment horizontal="center" vertical="center" wrapText="1"/>
      <protection/>
    </xf>
    <xf numFmtId="0" fontId="41" fillId="0" borderId="110" xfId="0" applyFont="1" applyFill="1" applyBorder="1" applyAlignment="1" applyProtection="1">
      <alignment horizontal="center" vertical="center" wrapText="1"/>
      <protection/>
    </xf>
    <xf numFmtId="0" fontId="75" fillId="0" borderId="111" xfId="0" applyFont="1" applyFill="1" applyBorder="1" applyAlignment="1" applyProtection="1">
      <alignment horizontal="center" vertical="center" wrapText="1"/>
      <protection/>
    </xf>
    <xf numFmtId="0" fontId="41" fillId="0" borderId="111" xfId="0" applyNumberFormat="1" applyFont="1" applyFill="1" applyBorder="1" applyAlignment="1" applyProtection="1">
      <alignment horizontal="center" vertical="center" wrapText="1"/>
      <protection/>
    </xf>
    <xf numFmtId="0" fontId="75" fillId="0" borderId="112" xfId="0" applyNumberFormat="1" applyFont="1" applyFill="1" applyBorder="1" applyAlignment="1" applyProtection="1">
      <alignment horizontal="center" vertical="center" wrapText="1"/>
      <protection/>
    </xf>
    <xf numFmtId="0" fontId="55" fillId="2" borderId="113" xfId="0" applyFont="1" applyFill="1" applyBorder="1" applyAlignment="1" applyProtection="1">
      <alignment/>
      <protection/>
    </xf>
    <xf numFmtId="186" fontId="2" fillId="33" borderId="114" xfId="0" applyNumberFormat="1" applyFont="1" applyFill="1" applyBorder="1" applyAlignment="1" applyProtection="1">
      <alignment horizontal="center"/>
      <protection/>
    </xf>
    <xf numFmtId="0" fontId="55" fillId="2" borderId="115" xfId="0" applyFont="1" applyFill="1" applyBorder="1" applyAlignment="1" applyProtection="1">
      <alignment/>
      <protection/>
    </xf>
    <xf numFmtId="185" fontId="0" fillId="13" borderId="116" xfId="0" applyNumberFormat="1" applyFill="1" applyBorder="1" applyAlignment="1" applyProtection="1">
      <alignment horizontal="center" vertical="center"/>
      <protection/>
    </xf>
    <xf numFmtId="1" fontId="0" fillId="0" borderId="115" xfId="0" applyNumberFormat="1" applyFill="1" applyBorder="1" applyAlignment="1" applyProtection="1">
      <alignment horizontal="center" vertical="center"/>
      <protection/>
    </xf>
    <xf numFmtId="173" fontId="14" fillId="0" borderId="0" xfId="0" applyNumberFormat="1" applyFont="1" applyFill="1" applyBorder="1" applyAlignment="1" applyProtection="1">
      <alignment/>
      <protection/>
    </xf>
    <xf numFmtId="173" fontId="55" fillId="0" borderId="0" xfId="0" applyNumberFormat="1" applyFont="1" applyFill="1" applyBorder="1" applyAlignment="1" applyProtection="1">
      <alignment/>
      <protection/>
    </xf>
    <xf numFmtId="183" fontId="55" fillId="3" borderId="97" xfId="83" applyNumberFormat="1" applyFont="1" applyFill="1" applyBorder="1" applyAlignment="1" applyProtection="1">
      <alignment/>
      <protection locked="0"/>
    </xf>
    <xf numFmtId="183" fontId="55" fillId="3" borderId="97" xfId="83" applyNumberFormat="1" applyFont="1" applyFill="1" applyBorder="1" applyAlignment="1" applyProtection="1">
      <alignment horizontal="center" vertical="center"/>
      <protection locked="0"/>
    </xf>
    <xf numFmtId="0" fontId="50" fillId="0" borderId="117" xfId="0" applyFont="1" applyBorder="1" applyAlignment="1" applyProtection="1">
      <alignment vertical="distributed" wrapText="1"/>
      <protection/>
    </xf>
    <xf numFmtId="173" fontId="52" fillId="0" borderId="118" xfId="0" applyNumberFormat="1" applyFont="1" applyFill="1" applyBorder="1" applyAlignment="1" applyProtection="1">
      <alignment horizontal="center" vertical="center" wrapText="1"/>
      <protection/>
    </xf>
    <xf numFmtId="175" fontId="52" fillId="0" borderId="119" xfId="0" applyNumberFormat="1" applyFont="1" applyFill="1" applyBorder="1" applyAlignment="1" applyProtection="1">
      <alignment horizontal="center" vertical="center" wrapText="1"/>
      <protection/>
    </xf>
    <xf numFmtId="173" fontId="14" fillId="0" borderId="120" xfId="0" applyNumberFormat="1" applyFont="1" applyBorder="1" applyAlignment="1" applyProtection="1">
      <alignment/>
      <protection/>
    </xf>
    <xf numFmtId="179" fontId="14" fillId="0" borderId="121" xfId="83" applyNumberFormat="1" applyFont="1" applyFill="1" applyBorder="1" applyAlignment="1" applyProtection="1">
      <alignment/>
      <protection/>
    </xf>
    <xf numFmtId="173" fontId="14" fillId="0" borderId="122" xfId="0" applyNumberFormat="1" applyFont="1" applyBorder="1" applyAlignment="1" applyProtection="1">
      <alignment/>
      <protection/>
    </xf>
    <xf numFmtId="183" fontId="55" fillId="3" borderId="123" xfId="83" applyNumberFormat="1" applyFont="1" applyFill="1" applyBorder="1" applyAlignment="1" applyProtection="1">
      <alignment/>
      <protection locked="0"/>
    </xf>
    <xf numFmtId="183" fontId="55" fillId="3" borderId="123" xfId="83" applyNumberFormat="1" applyFont="1" applyFill="1" applyBorder="1" applyAlignment="1" applyProtection="1">
      <alignment horizontal="center" vertical="center"/>
      <protection locked="0"/>
    </xf>
    <xf numFmtId="179" fontId="14" fillId="0" borderId="124" xfId="83" applyNumberFormat="1" applyFont="1" applyFill="1" applyBorder="1" applyAlignment="1" applyProtection="1">
      <alignment/>
      <protection/>
    </xf>
    <xf numFmtId="2" fontId="0" fillId="0" borderId="15" xfId="0" applyNumberFormat="1" applyFill="1" applyBorder="1" applyAlignment="1" applyProtection="1">
      <alignment horizontal="center" vertical="center"/>
      <protection/>
    </xf>
    <xf numFmtId="173" fontId="51" fillId="0" borderId="125" xfId="0" applyNumberFormat="1" applyFont="1" applyFill="1" applyBorder="1" applyAlignment="1" applyProtection="1">
      <alignment/>
      <protection/>
    </xf>
    <xf numFmtId="173" fontId="0" fillId="0" borderId="104" xfId="0" applyNumberFormat="1" applyFont="1" applyBorder="1" applyAlignment="1">
      <alignment horizontal="center" vertical="center" wrapText="1"/>
    </xf>
    <xf numFmtId="173" fontId="0" fillId="0" borderId="126" xfId="0" applyNumberFormat="1" applyFont="1" applyFill="1" applyBorder="1" applyAlignment="1" applyProtection="1">
      <alignment horizontal="center" vertical="center" wrapText="1"/>
      <protection/>
    </xf>
    <xf numFmtId="0" fontId="0" fillId="34" borderId="0" xfId="0" applyFill="1" applyAlignment="1">
      <alignment/>
    </xf>
    <xf numFmtId="185" fontId="137" fillId="35" borderId="53" xfId="0" applyNumberFormat="1" applyFont="1" applyFill="1" applyBorder="1" applyAlignment="1" applyProtection="1">
      <alignment horizontal="center" vertical="center"/>
      <protection/>
    </xf>
    <xf numFmtId="3" fontId="0" fillId="35" borderId="53" xfId="0" applyNumberFormat="1" applyFill="1" applyBorder="1" applyAlignment="1" applyProtection="1">
      <alignment horizontal="center" vertical="center"/>
      <protection/>
    </xf>
    <xf numFmtId="0" fontId="0" fillId="35" borderId="53" xfId="0" applyNumberFormat="1" applyFill="1" applyBorder="1" applyAlignment="1" applyProtection="1">
      <alignment horizontal="center" vertical="center"/>
      <protection/>
    </xf>
    <xf numFmtId="173" fontId="23" fillId="36" borderId="0" xfId="98" applyFont="1" applyFill="1" applyBorder="1" applyAlignment="1">
      <alignment horizontal="center" vertical="center"/>
      <protection/>
    </xf>
    <xf numFmtId="173" fontId="25" fillId="0" borderId="0" xfId="0" applyNumberFormat="1" applyFont="1" applyBorder="1" applyAlignment="1">
      <alignment horizontal="center"/>
    </xf>
    <xf numFmtId="0" fontId="39" fillId="0" borderId="15"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40" fillId="2" borderId="15" xfId="0" applyFont="1" applyFill="1" applyBorder="1" applyAlignment="1" applyProtection="1">
      <alignment vertical="center" wrapText="1"/>
      <protection locked="0"/>
    </xf>
    <xf numFmtId="0" fontId="30" fillId="0" borderId="15" xfId="0" applyFont="1" applyBorder="1" applyAlignment="1" applyProtection="1">
      <alignment horizontal="justify" vertical="center" wrapText="1"/>
      <protection locked="0"/>
    </xf>
    <xf numFmtId="0" fontId="30" fillId="0" borderId="15" xfId="0" applyFont="1" applyBorder="1" applyAlignment="1" applyProtection="1">
      <alignment horizontal="left" vertical="center" wrapText="1"/>
      <protection locked="0"/>
    </xf>
    <xf numFmtId="0" fontId="33" fillId="0" borderId="15" xfId="0" applyFont="1" applyBorder="1" applyAlignment="1" applyProtection="1">
      <alignment vertical="center" wrapText="1"/>
      <protection locked="0"/>
    </xf>
    <xf numFmtId="0" fontId="34" fillId="2" borderId="15" xfId="0" applyFont="1" applyFill="1" applyBorder="1" applyAlignment="1" applyProtection="1">
      <alignment vertical="center" wrapText="1"/>
      <protection locked="0"/>
    </xf>
    <xf numFmtId="0" fontId="30" fillId="0" borderId="15" xfId="0" applyNumberFormat="1" applyFont="1" applyBorder="1" applyAlignment="1" applyProtection="1">
      <alignment horizontal="left" vertical="center" wrapText="1"/>
      <protection locked="0"/>
    </xf>
    <xf numFmtId="0" fontId="34" fillId="12" borderId="15" xfId="0" applyFont="1" applyFill="1" applyBorder="1" applyAlignment="1">
      <alignment vertical="center" wrapText="1"/>
    </xf>
    <xf numFmtId="0" fontId="34" fillId="0" borderId="15" xfId="0" applyFont="1" applyBorder="1" applyAlignment="1" applyProtection="1">
      <alignment vertical="center" wrapText="1"/>
      <protection locked="0"/>
    </xf>
    <xf numFmtId="0" fontId="31" fillId="0" borderId="0" xfId="0" applyNumberFormat="1" applyFont="1" applyBorder="1" applyAlignment="1">
      <alignment horizontal="center"/>
    </xf>
    <xf numFmtId="0" fontId="18" fillId="12" borderId="15" xfId="0" applyNumberFormat="1" applyFont="1" applyFill="1" applyBorder="1" applyAlignment="1">
      <alignment horizontal="center" vertical="center" wrapText="1"/>
    </xf>
    <xf numFmtId="0" fontId="39" fillId="12" borderId="15" xfId="0" applyNumberFormat="1" applyFont="1" applyFill="1" applyBorder="1" applyAlignment="1">
      <alignment horizontal="center" vertical="center"/>
    </xf>
    <xf numFmtId="173" fontId="33" fillId="0" borderId="15" xfId="0" applyNumberFormat="1" applyFont="1" applyBorder="1" applyAlignment="1">
      <alignment horizontal="justify" vertical="center" wrapText="1"/>
    </xf>
    <xf numFmtId="0" fontId="37" fillId="0" borderId="64" xfId="0" applyNumberFormat="1" applyFont="1" applyBorder="1" applyAlignment="1">
      <alignment horizontal="justify" vertical="center" wrapText="1"/>
    </xf>
    <xf numFmtId="0" fontId="37" fillId="0" borderId="15" xfId="0" applyNumberFormat="1" applyFont="1" applyBorder="1" applyAlignment="1">
      <alignment horizontal="left" vertical="center" wrapText="1"/>
    </xf>
    <xf numFmtId="0" fontId="37" fillId="0" borderId="15" xfId="0" applyNumberFormat="1" applyFont="1" applyBorder="1" applyAlignment="1">
      <alignment horizontal="justify" vertical="center" wrapText="1"/>
    </xf>
    <xf numFmtId="173" fontId="33" fillId="0" borderId="15" xfId="0" applyNumberFormat="1" applyFont="1" applyBorder="1" applyAlignment="1">
      <alignment horizontal="left" vertical="center" wrapText="1"/>
    </xf>
    <xf numFmtId="0" fontId="30" fillId="0" borderId="127" xfId="0" applyFont="1" applyBorder="1" applyAlignment="1">
      <alignment horizontal="justify" wrapText="1"/>
    </xf>
    <xf numFmtId="0" fontId="30" fillId="0" borderId="15" xfId="0" applyNumberFormat="1" applyFont="1" applyBorder="1" applyAlignment="1">
      <alignment horizontal="left" vertical="center" wrapText="1"/>
    </xf>
    <xf numFmtId="0" fontId="34" fillId="0" borderId="64" xfId="0" applyFont="1" applyBorder="1" applyAlignment="1">
      <alignment horizontal="justify" vertical="center" wrapText="1"/>
    </xf>
    <xf numFmtId="0" fontId="30" fillId="0" borderId="15" xfId="0" applyNumberFormat="1" applyFont="1" applyBorder="1" applyAlignment="1">
      <alignment horizontal="justify" vertical="center" wrapText="1"/>
    </xf>
    <xf numFmtId="0" fontId="30" fillId="0" borderId="15" xfId="0" applyFont="1" applyBorder="1" applyAlignment="1">
      <alignment horizontal="left" vertical="center" wrapText="1"/>
    </xf>
    <xf numFmtId="0" fontId="30" fillId="0" borderId="15" xfId="0" applyFont="1" applyBorder="1" applyAlignment="1">
      <alignment horizontal="justify" vertical="center" wrapText="1"/>
    </xf>
    <xf numFmtId="0" fontId="34" fillId="0" borderId="15" xfId="0" applyFont="1" applyBorder="1" applyAlignment="1">
      <alignment horizontal="justify" vertical="center" wrapText="1"/>
    </xf>
    <xf numFmtId="0" fontId="32" fillId="13" borderId="15" xfId="0" applyNumberFormat="1"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28" xfId="0" applyBorder="1" applyAlignment="1">
      <alignment horizontal="center"/>
    </xf>
    <xf numFmtId="0" fontId="0" fillId="0" borderId="128" xfId="0" applyBorder="1" applyAlignment="1">
      <alignment horizontal="center" wrapText="1"/>
    </xf>
    <xf numFmtId="9" fontId="34" fillId="0" borderId="15" xfId="110" applyFont="1" applyFill="1" applyBorder="1" applyAlignment="1" applyProtection="1">
      <alignment horizontal="justify" vertical="center" wrapText="1"/>
      <protection/>
    </xf>
    <xf numFmtId="9" fontId="30" fillId="0" borderId="15" xfId="0" applyNumberFormat="1" applyFont="1" applyBorder="1" applyAlignment="1">
      <alignment horizontal="left" vertical="center" wrapText="1"/>
    </xf>
    <xf numFmtId="173" fontId="23" fillId="26" borderId="0" xfId="97" applyFont="1" applyFill="1" applyBorder="1" applyAlignment="1" applyProtection="1">
      <alignment horizontal="center" vertical="center"/>
      <protection/>
    </xf>
    <xf numFmtId="0" fontId="32" fillId="3" borderId="15" xfId="0" applyNumberFormat="1" applyFont="1" applyFill="1" applyBorder="1" applyAlignment="1">
      <alignment horizontal="center"/>
    </xf>
    <xf numFmtId="173" fontId="39" fillId="13" borderId="68" xfId="126" applyNumberFormat="1" applyFont="1" applyFill="1" applyBorder="1" applyAlignment="1" applyProtection="1">
      <alignment horizontal="center"/>
      <protection/>
    </xf>
    <xf numFmtId="173" fontId="0" fillId="0" borderId="68" xfId="126" applyNumberFormat="1" applyFont="1" applyFill="1" applyBorder="1" applyAlignment="1" applyProtection="1">
      <alignment horizontal="right"/>
      <protection/>
    </xf>
    <xf numFmtId="175" fontId="39" fillId="13" borderId="68" xfId="126" applyNumberFormat="1" applyFont="1" applyFill="1" applyBorder="1" applyAlignment="1" applyProtection="1">
      <alignment horizontal="center"/>
      <protection/>
    </xf>
    <xf numFmtId="173" fontId="70" fillId="36" borderId="68" xfId="126" applyNumberFormat="1" applyFont="1" applyFill="1" applyBorder="1" applyAlignment="1" applyProtection="1">
      <alignment horizontal="center"/>
      <protection/>
    </xf>
    <xf numFmtId="190" fontId="39" fillId="13" borderId="68" xfId="126" applyNumberFormat="1" applyFont="1" applyFill="1" applyBorder="1" applyAlignment="1" applyProtection="1">
      <alignment horizontal="center" vertical="center"/>
      <protection/>
    </xf>
    <xf numFmtId="173" fontId="23" fillId="26" borderId="0" xfId="89" applyFont="1" applyFill="1" applyBorder="1" applyAlignment="1" applyProtection="1">
      <alignment horizontal="center" vertical="center"/>
      <protection/>
    </xf>
    <xf numFmtId="173" fontId="25" fillId="13" borderId="0" xfId="101" applyFont="1" applyFill="1" applyBorder="1" applyAlignment="1" applyProtection="1">
      <alignment horizontal="center" vertical="center" wrapText="1"/>
      <protection/>
    </xf>
    <xf numFmtId="173" fontId="66" fillId="0" borderId="0" xfId="101" applyFont="1" applyFill="1" applyBorder="1" applyAlignment="1" applyProtection="1">
      <alignment horizontal="right" vertical="center"/>
      <protection/>
    </xf>
    <xf numFmtId="173" fontId="39" fillId="13" borderId="0" xfId="101" applyFont="1" applyFill="1" applyBorder="1" applyAlignment="1" applyProtection="1">
      <alignment horizontal="center" vertical="center" wrapText="1"/>
      <protection/>
    </xf>
    <xf numFmtId="0" fontId="0" fillId="0" borderId="0" xfId="0" applyAlignment="1" applyProtection="1">
      <alignment horizontal="left" wrapText="1"/>
      <protection/>
    </xf>
    <xf numFmtId="3" fontId="0" fillId="13" borderId="129" xfId="0" applyNumberFormat="1" applyFill="1" applyBorder="1" applyAlignment="1" applyProtection="1">
      <alignment horizontal="center" vertical="center"/>
      <protection/>
    </xf>
    <xf numFmtId="3" fontId="0" fillId="13" borderId="130" xfId="0" applyNumberFormat="1" applyFill="1" applyBorder="1" applyAlignment="1" applyProtection="1">
      <alignment horizontal="center" vertical="center"/>
      <protection/>
    </xf>
    <xf numFmtId="3" fontId="0" fillId="13" borderId="131" xfId="0" applyNumberFormat="1" applyFill="1" applyBorder="1" applyAlignment="1" applyProtection="1">
      <alignment horizontal="center" vertical="center"/>
      <protection/>
    </xf>
    <xf numFmtId="2" fontId="0" fillId="0" borderId="127" xfId="0" applyNumberFormat="1" applyFill="1" applyBorder="1" applyAlignment="1" applyProtection="1">
      <alignment horizontal="center" vertical="center"/>
      <protection/>
    </xf>
    <xf numFmtId="2" fontId="0" fillId="0" borderId="130" xfId="0" applyNumberFormat="1" applyFill="1" applyBorder="1" applyAlignment="1" applyProtection="1">
      <alignment horizontal="center" vertical="center"/>
      <protection/>
    </xf>
    <xf numFmtId="2" fontId="0" fillId="0" borderId="131" xfId="0" applyNumberFormat="1" applyFill="1" applyBorder="1" applyAlignment="1" applyProtection="1">
      <alignment horizontal="center" vertical="center"/>
      <protection/>
    </xf>
    <xf numFmtId="3" fontId="0" fillId="13" borderId="132" xfId="0" applyNumberFormat="1" applyFill="1" applyBorder="1" applyAlignment="1" applyProtection="1">
      <alignment horizontal="center" vertical="center"/>
      <protection/>
    </xf>
    <xf numFmtId="0" fontId="0" fillId="13" borderId="129" xfId="0" applyNumberFormat="1" applyFill="1" applyBorder="1" applyAlignment="1" applyProtection="1">
      <alignment horizontal="center" vertical="center"/>
      <protection/>
    </xf>
    <xf numFmtId="0" fontId="0" fillId="13" borderId="130" xfId="0" applyNumberFormat="1" applyFill="1" applyBorder="1" applyAlignment="1" applyProtection="1">
      <alignment horizontal="center" vertical="center"/>
      <protection/>
    </xf>
    <xf numFmtId="0" fontId="0" fillId="13" borderId="132" xfId="0" applyNumberFormat="1" applyFill="1" applyBorder="1" applyAlignment="1" applyProtection="1">
      <alignment horizontal="center" vertical="center"/>
      <protection/>
    </xf>
    <xf numFmtId="0" fontId="0" fillId="13" borderId="131" xfId="0" applyNumberFormat="1" applyFill="1" applyBorder="1" applyAlignment="1" applyProtection="1">
      <alignment horizontal="center" vertical="center"/>
      <protection/>
    </xf>
    <xf numFmtId="173" fontId="0" fillId="0" borderId="133" xfId="0" applyNumberFormat="1" applyFont="1" applyFill="1" applyBorder="1" applyAlignment="1" applyProtection="1">
      <alignment horizontal="left" vertical="center"/>
      <protection locked="0"/>
    </xf>
    <xf numFmtId="173" fontId="0" fillId="0" borderId="134" xfId="0" applyNumberFormat="1" applyFont="1" applyFill="1" applyBorder="1" applyAlignment="1" applyProtection="1">
      <alignment horizontal="left" vertical="center"/>
      <protection locked="0"/>
    </xf>
    <xf numFmtId="186" fontId="0" fillId="0" borderId="135" xfId="0" applyNumberFormat="1" applyFill="1" applyBorder="1" applyAlignment="1" applyProtection="1">
      <alignment horizontal="center" vertical="center"/>
      <protection/>
    </xf>
    <xf numFmtId="186" fontId="0" fillId="0" borderId="136" xfId="0" applyNumberFormat="1" applyFill="1" applyBorder="1" applyAlignment="1" applyProtection="1">
      <alignment horizontal="center" vertical="center"/>
      <protection/>
    </xf>
    <xf numFmtId="186" fontId="0" fillId="0" borderId="137" xfId="0" applyNumberFormat="1" applyFill="1" applyBorder="1" applyAlignment="1" applyProtection="1">
      <alignment horizontal="center" vertical="center"/>
      <protection/>
    </xf>
    <xf numFmtId="186" fontId="0" fillId="0" borderId="138" xfId="0" applyNumberFormat="1" applyFill="1" applyBorder="1" applyAlignment="1" applyProtection="1">
      <alignment horizontal="center" vertical="center"/>
      <protection/>
    </xf>
    <xf numFmtId="2" fontId="0" fillId="0" borderId="64" xfId="0" applyNumberFormat="1" applyFill="1" applyBorder="1" applyAlignment="1" applyProtection="1">
      <alignment horizontal="center" vertical="center"/>
      <protection/>
    </xf>
    <xf numFmtId="0" fontId="1" fillId="0" borderId="139" xfId="0" applyFont="1" applyFill="1" applyBorder="1" applyAlignment="1" applyProtection="1">
      <alignment horizontal="left" vertical="center" wrapText="1"/>
      <protection/>
    </xf>
    <xf numFmtId="0" fontId="1" fillId="0" borderId="140" xfId="0" applyFont="1" applyFill="1" applyBorder="1" applyAlignment="1" applyProtection="1">
      <alignment horizontal="center" vertical="center" wrapText="1"/>
      <protection/>
    </xf>
    <xf numFmtId="0" fontId="1" fillId="0" borderId="141" xfId="0" applyFont="1" applyFill="1" applyBorder="1" applyAlignment="1" applyProtection="1">
      <alignment horizontal="center" vertical="center" wrapText="1"/>
      <protection/>
    </xf>
    <xf numFmtId="0" fontId="1" fillId="0" borderId="142" xfId="0" applyFont="1" applyFill="1" applyBorder="1" applyAlignment="1" applyProtection="1">
      <alignment horizontal="left" vertical="center" wrapText="1"/>
      <protection/>
    </xf>
    <xf numFmtId="0" fontId="1" fillId="27" borderId="139" xfId="0" applyFont="1" applyFill="1" applyBorder="1" applyAlignment="1" applyProtection="1">
      <alignment horizontal="left" vertical="center" wrapText="1"/>
      <protection/>
    </xf>
    <xf numFmtId="0" fontId="1" fillId="27" borderId="140" xfId="0" applyFont="1" applyFill="1" applyBorder="1" applyAlignment="1" applyProtection="1">
      <alignment horizontal="center" vertical="center" wrapText="1"/>
      <protection/>
    </xf>
    <xf numFmtId="0" fontId="1" fillId="27" borderId="141" xfId="0" applyFont="1" applyFill="1" applyBorder="1" applyAlignment="1" applyProtection="1">
      <alignment horizontal="center" vertical="center" wrapText="1"/>
      <protection/>
    </xf>
    <xf numFmtId="49" fontId="1" fillId="37" borderId="143" xfId="0" applyNumberFormat="1" applyFont="1" applyFill="1" applyBorder="1" applyAlignment="1" applyProtection="1">
      <alignment horizontal="left" vertical="center" wrapText="1"/>
      <protection/>
    </xf>
    <xf numFmtId="49" fontId="1" fillId="37" borderId="144" xfId="0" applyNumberFormat="1" applyFont="1" applyFill="1" applyBorder="1" applyAlignment="1" applyProtection="1">
      <alignment horizontal="left" vertical="center" wrapText="1"/>
      <protection/>
    </xf>
    <xf numFmtId="49" fontId="1" fillId="37" borderId="145" xfId="0" applyNumberFormat="1" applyFont="1" applyFill="1" applyBorder="1" applyAlignment="1" applyProtection="1">
      <alignment horizontal="left" vertical="center" wrapText="1"/>
      <protection/>
    </xf>
    <xf numFmtId="49" fontId="1" fillId="37" borderId="146" xfId="0" applyNumberFormat="1" applyFont="1" applyFill="1" applyBorder="1" applyAlignment="1" applyProtection="1">
      <alignment horizontal="left" vertical="center" wrapText="1"/>
      <protection/>
    </xf>
    <xf numFmtId="49" fontId="1" fillId="37" borderId="147" xfId="0" applyNumberFormat="1" applyFont="1" applyFill="1" applyBorder="1" applyAlignment="1" applyProtection="1">
      <alignment horizontal="left" vertical="center" wrapText="1"/>
      <protection/>
    </xf>
    <xf numFmtId="49" fontId="1" fillId="37" borderId="148" xfId="0" applyNumberFormat="1" applyFont="1" applyFill="1" applyBorder="1" applyAlignment="1" applyProtection="1">
      <alignment horizontal="left" vertical="center" wrapText="1"/>
      <protection/>
    </xf>
    <xf numFmtId="0" fontId="1" fillId="31" borderId="149" xfId="0" applyNumberFormat="1" applyFont="1" applyFill="1" applyBorder="1" applyAlignment="1" applyProtection="1">
      <alignment horizontal="center" vertical="center" wrapText="1"/>
      <protection/>
    </xf>
    <xf numFmtId="0" fontId="1" fillId="31" borderId="150" xfId="0" applyNumberFormat="1" applyFont="1" applyFill="1" applyBorder="1" applyAlignment="1" applyProtection="1">
      <alignment horizontal="center" vertical="center" wrapText="1"/>
      <protection/>
    </xf>
    <xf numFmtId="49" fontId="1" fillId="31" borderId="151" xfId="0" applyNumberFormat="1" applyFont="1" applyFill="1" applyBorder="1" applyAlignment="1" applyProtection="1">
      <alignment horizontal="center" vertical="center" wrapText="1"/>
      <protection/>
    </xf>
    <xf numFmtId="49" fontId="1" fillId="31" borderId="152" xfId="0" applyNumberFormat="1" applyFont="1" applyFill="1" applyBorder="1" applyAlignment="1" applyProtection="1">
      <alignment horizontal="center" vertical="center" wrapText="1"/>
      <protection/>
    </xf>
    <xf numFmtId="49" fontId="1" fillId="38" borderId="143" xfId="0" applyNumberFormat="1" applyFont="1" applyFill="1" applyBorder="1" applyAlignment="1" applyProtection="1">
      <alignment horizontal="left" vertical="center" wrapText="1"/>
      <protection/>
    </xf>
    <xf numFmtId="49" fontId="1" fillId="38" borderId="144" xfId="0" applyNumberFormat="1" applyFont="1" applyFill="1" applyBorder="1" applyAlignment="1" applyProtection="1">
      <alignment horizontal="left" vertical="center" wrapText="1"/>
      <protection/>
    </xf>
    <xf numFmtId="49" fontId="1" fillId="38" borderId="145" xfId="0" applyNumberFormat="1" applyFont="1" applyFill="1" applyBorder="1" applyAlignment="1" applyProtection="1">
      <alignment horizontal="left" vertical="center" wrapText="1"/>
      <protection/>
    </xf>
    <xf numFmtId="49" fontId="1" fillId="38" borderId="146" xfId="0" applyNumberFormat="1" applyFont="1" applyFill="1" applyBorder="1" applyAlignment="1" applyProtection="1">
      <alignment horizontal="left" vertical="center" wrapText="1"/>
      <protection/>
    </xf>
    <xf numFmtId="49" fontId="1" fillId="38" borderId="147" xfId="0" applyNumberFormat="1" applyFont="1" applyFill="1" applyBorder="1" applyAlignment="1" applyProtection="1">
      <alignment horizontal="left" vertical="center" wrapText="1"/>
      <protection/>
    </xf>
    <xf numFmtId="49" fontId="1" fillId="38" borderId="148" xfId="0" applyNumberFormat="1" applyFont="1" applyFill="1" applyBorder="1" applyAlignment="1" applyProtection="1">
      <alignment horizontal="left" vertical="center" wrapText="1"/>
      <protection/>
    </xf>
    <xf numFmtId="49" fontId="1" fillId="31" borderId="143" xfId="0" applyNumberFormat="1" applyFont="1" applyFill="1" applyBorder="1" applyAlignment="1" applyProtection="1">
      <alignment horizontal="left" vertical="center" wrapText="1"/>
      <protection/>
    </xf>
    <xf numFmtId="49" fontId="1" fillId="31" borderId="144" xfId="0" applyNumberFormat="1" applyFont="1" applyFill="1" applyBorder="1" applyAlignment="1" applyProtection="1">
      <alignment horizontal="left" vertical="center" wrapText="1"/>
      <protection/>
    </xf>
    <xf numFmtId="49" fontId="1" fillId="31" borderId="145" xfId="0" applyNumberFormat="1" applyFont="1" applyFill="1" applyBorder="1" applyAlignment="1" applyProtection="1">
      <alignment horizontal="left" vertical="center" wrapText="1"/>
      <protection/>
    </xf>
    <xf numFmtId="49" fontId="1" fillId="31" borderId="146" xfId="0" applyNumberFormat="1" applyFont="1" applyFill="1" applyBorder="1" applyAlignment="1" applyProtection="1">
      <alignment horizontal="left" vertical="center" wrapText="1"/>
      <protection/>
    </xf>
    <xf numFmtId="49" fontId="1" fillId="31" borderId="147" xfId="0" applyNumberFormat="1" applyFont="1" applyFill="1" applyBorder="1" applyAlignment="1" applyProtection="1">
      <alignment horizontal="left" vertical="center" wrapText="1"/>
      <protection/>
    </xf>
    <xf numFmtId="49" fontId="1" fillId="31" borderId="148" xfId="0" applyNumberFormat="1" applyFont="1" applyFill="1" applyBorder="1" applyAlignment="1" applyProtection="1">
      <alignment horizontal="left" vertical="center" wrapText="1"/>
      <protection/>
    </xf>
    <xf numFmtId="0" fontId="1" fillId="38" borderId="143" xfId="0" applyNumberFormat="1" applyFont="1" applyFill="1" applyBorder="1" applyAlignment="1" applyProtection="1">
      <alignment horizontal="left" vertical="center" wrapText="1"/>
      <protection/>
    </xf>
    <xf numFmtId="0" fontId="1" fillId="38" borderId="144" xfId="0" applyNumberFormat="1" applyFont="1" applyFill="1" applyBorder="1" applyAlignment="1" applyProtection="1">
      <alignment horizontal="left" vertical="center" wrapText="1"/>
      <protection/>
    </xf>
    <xf numFmtId="0" fontId="1" fillId="38" borderId="145" xfId="0" applyNumberFormat="1" applyFont="1" applyFill="1" applyBorder="1" applyAlignment="1" applyProtection="1">
      <alignment horizontal="left" vertical="center" wrapText="1"/>
      <protection/>
    </xf>
    <xf numFmtId="0" fontId="1" fillId="38" borderId="146" xfId="0" applyNumberFormat="1" applyFont="1" applyFill="1" applyBorder="1" applyAlignment="1" applyProtection="1">
      <alignment horizontal="left" vertical="center" wrapText="1"/>
      <protection/>
    </xf>
    <xf numFmtId="0" fontId="1" fillId="38" borderId="147" xfId="0" applyNumberFormat="1" applyFont="1" applyFill="1" applyBorder="1" applyAlignment="1" applyProtection="1">
      <alignment horizontal="left" vertical="center" wrapText="1"/>
      <protection/>
    </xf>
    <xf numFmtId="0" fontId="1" fillId="38" borderId="148" xfId="0" applyNumberFormat="1" applyFont="1" applyFill="1" applyBorder="1" applyAlignment="1" applyProtection="1">
      <alignment horizontal="left" vertical="center" wrapText="1"/>
      <protection/>
    </xf>
    <xf numFmtId="0" fontId="1" fillId="31" borderId="143" xfId="0" applyNumberFormat="1" applyFont="1" applyFill="1" applyBorder="1" applyAlignment="1" applyProtection="1">
      <alignment horizontal="left" vertical="center" wrapText="1"/>
      <protection/>
    </xf>
    <xf numFmtId="0" fontId="1" fillId="31" borderId="144" xfId="0" applyNumberFormat="1" applyFont="1" applyFill="1" applyBorder="1" applyAlignment="1" applyProtection="1">
      <alignment horizontal="left" vertical="center" wrapText="1"/>
      <protection/>
    </xf>
    <xf numFmtId="0" fontId="1" fillId="31" borderId="145" xfId="0" applyNumberFormat="1" applyFont="1" applyFill="1" applyBorder="1" applyAlignment="1" applyProtection="1">
      <alignment horizontal="left" vertical="center" wrapText="1"/>
      <protection/>
    </xf>
    <xf numFmtId="0" fontId="1" fillId="31" borderId="146" xfId="0" applyNumberFormat="1" applyFont="1" applyFill="1" applyBorder="1" applyAlignment="1" applyProtection="1">
      <alignment horizontal="left" vertical="center" wrapText="1"/>
      <protection/>
    </xf>
    <xf numFmtId="0" fontId="1" fillId="31" borderId="147" xfId="0" applyNumberFormat="1" applyFont="1" applyFill="1" applyBorder="1" applyAlignment="1" applyProtection="1">
      <alignment horizontal="left" vertical="center" wrapText="1"/>
      <protection/>
    </xf>
    <xf numFmtId="0" fontId="1" fillId="31" borderId="148" xfId="0" applyNumberFormat="1" applyFont="1" applyFill="1" applyBorder="1" applyAlignment="1" applyProtection="1">
      <alignment horizontal="left" vertical="center" wrapText="1"/>
      <protection/>
    </xf>
    <xf numFmtId="173" fontId="63" fillId="0" borderId="56" xfId="0" applyNumberFormat="1" applyFont="1" applyFill="1" applyBorder="1" applyAlignment="1" applyProtection="1">
      <alignment horizontal="center" vertical="center"/>
      <protection/>
    </xf>
    <xf numFmtId="3" fontId="55" fillId="13" borderId="127" xfId="0" applyNumberFormat="1" applyFont="1" applyFill="1" applyBorder="1" applyAlignment="1" applyProtection="1">
      <alignment horizontal="center" vertical="center"/>
      <protection/>
    </xf>
    <xf numFmtId="3" fontId="55" fillId="13" borderId="130" xfId="0" applyNumberFormat="1" applyFont="1" applyFill="1" applyBorder="1" applyAlignment="1" applyProtection="1">
      <alignment horizontal="center" vertical="center"/>
      <protection/>
    </xf>
    <xf numFmtId="3" fontId="55" fillId="13" borderId="132" xfId="0" applyNumberFormat="1" applyFont="1" applyFill="1" applyBorder="1" applyAlignment="1" applyProtection="1">
      <alignment horizontal="center" vertical="center"/>
      <protection/>
    </xf>
    <xf numFmtId="0" fontId="0" fillId="13" borderId="127" xfId="0" applyNumberFormat="1" applyFill="1" applyBorder="1" applyAlignment="1" applyProtection="1">
      <alignment horizontal="center" vertical="center"/>
      <protection/>
    </xf>
    <xf numFmtId="176" fontId="0" fillId="10" borderId="96" xfId="0" applyNumberFormat="1" applyFont="1" applyFill="1" applyBorder="1" applyAlignment="1" applyProtection="1">
      <alignment horizontal="center" vertical="center" textRotation="90"/>
      <protection/>
    </xf>
    <xf numFmtId="173" fontId="44" fillId="0" borderId="125" xfId="0" applyNumberFormat="1" applyFont="1" applyBorder="1" applyAlignment="1" applyProtection="1">
      <alignment horizontal="right"/>
      <protection/>
    </xf>
    <xf numFmtId="49" fontId="18" fillId="0" borderId="15" xfId="0" applyNumberFormat="1" applyFont="1" applyBorder="1" applyAlignment="1" applyProtection="1">
      <alignment horizontal="center"/>
      <protection locked="0"/>
    </xf>
    <xf numFmtId="173" fontId="42" fillId="26" borderId="0" xfId="89" applyFont="1" applyFill="1" applyBorder="1" applyAlignment="1" applyProtection="1">
      <alignment horizontal="center" vertical="center"/>
      <protection/>
    </xf>
    <xf numFmtId="0" fontId="0" fillId="0" borderId="153" xfId="0" applyBorder="1" applyAlignment="1" applyProtection="1">
      <alignment horizontal="center"/>
      <protection/>
    </xf>
    <xf numFmtId="173" fontId="0" fillId="0" borderId="43" xfId="0" applyNumberFormat="1" applyFont="1" applyBorder="1" applyAlignment="1" applyProtection="1">
      <alignment horizontal="left"/>
      <protection/>
    </xf>
    <xf numFmtId="173" fontId="0" fillId="0" borderId="45" xfId="0" applyNumberFormat="1" applyFont="1" applyBorder="1" applyAlignment="1" applyProtection="1">
      <alignment horizontal="left"/>
      <protection/>
    </xf>
    <xf numFmtId="173" fontId="28" fillId="0" borderId="154" xfId="0" applyNumberFormat="1" applyFont="1" applyBorder="1" applyAlignment="1" applyProtection="1">
      <alignment horizontal="right"/>
      <protection/>
    </xf>
    <xf numFmtId="173" fontId="18" fillId="0" borderId="155" xfId="0" applyNumberFormat="1" applyFont="1" applyBorder="1" applyAlignment="1" applyProtection="1">
      <alignment horizontal="center"/>
      <protection/>
    </xf>
    <xf numFmtId="0" fontId="0" fillId="24" borderId="156" xfId="0" applyFill="1" applyBorder="1" applyAlignment="1" applyProtection="1">
      <alignment horizontal="center"/>
      <protection/>
    </xf>
    <xf numFmtId="173" fontId="51" fillId="0" borderId="157" xfId="0" applyNumberFormat="1" applyFont="1" applyBorder="1" applyAlignment="1" applyProtection="1">
      <alignment horizontal="center" wrapText="1"/>
      <protection/>
    </xf>
    <xf numFmtId="173" fontId="44" fillId="0" borderId="130" xfId="0" applyNumberFormat="1" applyFont="1" applyBorder="1" applyAlignment="1" applyProtection="1">
      <alignment horizontal="right"/>
      <protection/>
    </xf>
    <xf numFmtId="173" fontId="0" fillId="0" borderId="15" xfId="0" applyNumberFormat="1" applyFont="1" applyBorder="1" applyAlignment="1" applyProtection="1">
      <alignment horizontal="center"/>
      <protection locked="0"/>
    </xf>
    <xf numFmtId="49" fontId="0" fillId="0" borderId="15" xfId="0" applyNumberFormat="1" applyFont="1" applyBorder="1" applyAlignment="1" applyProtection="1">
      <alignment horizontal="center"/>
      <protection locked="0"/>
    </xf>
    <xf numFmtId="173" fontId="44" fillId="0" borderId="0" xfId="0" applyNumberFormat="1" applyFont="1" applyBorder="1" applyAlignment="1" applyProtection="1">
      <alignment horizontal="right"/>
      <protection/>
    </xf>
    <xf numFmtId="174" fontId="0" fillId="0" borderId="53" xfId="0" applyNumberFormat="1" applyBorder="1" applyAlignment="1" applyProtection="1">
      <alignment horizontal="center"/>
      <protection locked="0"/>
    </xf>
    <xf numFmtId="0" fontId="0" fillId="12" borderId="15" xfId="0" applyFill="1" applyBorder="1" applyAlignment="1" applyProtection="1">
      <alignment horizontal="center"/>
      <protection/>
    </xf>
    <xf numFmtId="173" fontId="45" fillId="0" borderId="130" xfId="0" applyNumberFormat="1" applyFont="1" applyBorder="1" applyAlignment="1" applyProtection="1">
      <alignment horizontal="right"/>
      <protection/>
    </xf>
    <xf numFmtId="173" fontId="2" fillId="22" borderId="15" xfId="126" applyNumberFormat="1" applyFont="1" applyFill="1" applyBorder="1" applyAlignment="1" applyProtection="1">
      <alignment horizontal="center"/>
      <protection locked="0"/>
    </xf>
    <xf numFmtId="173" fontId="44" fillId="0" borderId="16" xfId="0" applyNumberFormat="1" applyFont="1" applyBorder="1" applyAlignment="1" applyProtection="1">
      <alignment horizontal="right"/>
      <protection/>
    </xf>
    <xf numFmtId="49" fontId="0" fillId="0" borderId="53" xfId="0" applyNumberFormat="1" applyFont="1" applyBorder="1" applyAlignment="1" applyProtection="1">
      <alignment horizontal="center"/>
      <protection locked="0"/>
    </xf>
    <xf numFmtId="49" fontId="41" fillId="0" borderId="53" xfId="0" applyNumberFormat="1" applyFont="1" applyBorder="1" applyAlignment="1" applyProtection="1">
      <alignment horizontal="center" wrapText="1"/>
      <protection locked="0"/>
    </xf>
    <xf numFmtId="175" fontId="0" fillId="0" borderId="15" xfId="126" applyNumberFormat="1" applyFont="1" applyFill="1" applyBorder="1" applyAlignment="1" applyProtection="1">
      <alignment horizontal="center"/>
      <protection locked="0"/>
    </xf>
    <xf numFmtId="0" fontId="79" fillId="0" borderId="158" xfId="0" applyFont="1" applyFill="1" applyBorder="1" applyAlignment="1" applyProtection="1">
      <alignment horizontal="left" wrapText="1"/>
      <protection/>
    </xf>
    <xf numFmtId="0" fontId="79" fillId="0" borderId="159" xfId="0" applyFont="1" applyFill="1" applyBorder="1" applyAlignment="1" applyProtection="1">
      <alignment horizontal="left" wrapText="1"/>
      <protection/>
    </xf>
    <xf numFmtId="173" fontId="78" fillId="0" borderId="160" xfId="0" applyNumberFormat="1" applyFont="1" applyBorder="1" applyAlignment="1" applyProtection="1">
      <alignment horizontal="center" vertical="center" wrapText="1"/>
      <protection/>
    </xf>
    <xf numFmtId="173" fontId="78" fillId="0" borderId="161" xfId="0" applyNumberFormat="1" applyFont="1" applyBorder="1" applyAlignment="1" applyProtection="1">
      <alignment horizontal="center" vertical="center" wrapText="1"/>
      <protection/>
    </xf>
    <xf numFmtId="173" fontId="78" fillId="0" borderId="162" xfId="0" applyNumberFormat="1" applyFont="1" applyBorder="1" applyAlignment="1" applyProtection="1">
      <alignment horizontal="center" vertical="center" wrapText="1"/>
      <protection/>
    </xf>
    <xf numFmtId="0" fontId="0" fillId="0" borderId="163" xfId="0" applyBorder="1" applyAlignment="1" applyProtection="1">
      <alignment horizontal="center"/>
      <protection/>
    </xf>
    <xf numFmtId="0" fontId="0" fillId="0" borderId="164" xfId="0" applyBorder="1" applyAlignment="1" applyProtection="1">
      <alignment horizontal="center"/>
      <protection/>
    </xf>
    <xf numFmtId="0" fontId="79" fillId="0" borderId="165" xfId="0" applyFont="1" applyFill="1" applyBorder="1" applyAlignment="1" applyProtection="1">
      <alignment horizontal="left" wrapText="1"/>
      <protection/>
    </xf>
    <xf numFmtId="0" fontId="79" fillId="0" borderId="166" xfId="0" applyFont="1" applyFill="1" applyBorder="1" applyAlignment="1" applyProtection="1">
      <alignment horizontal="left" wrapText="1"/>
      <protection/>
    </xf>
    <xf numFmtId="0" fontId="73" fillId="0" borderId="0" xfId="0" applyFont="1" applyBorder="1" applyAlignment="1" applyProtection="1">
      <alignment horizontal="center"/>
      <protection/>
    </xf>
    <xf numFmtId="0" fontId="113" fillId="12" borderId="53" xfId="0" applyFont="1" applyFill="1" applyBorder="1" applyAlignment="1" applyProtection="1">
      <alignment horizontal="left" vertical="center" wrapText="1"/>
      <protection locked="0"/>
    </xf>
    <xf numFmtId="0" fontId="112" fillId="12" borderId="12" xfId="0" applyFont="1" applyFill="1" applyBorder="1" applyAlignment="1" applyProtection="1">
      <alignment horizontal="left" vertical="center" wrapText="1"/>
      <protection locked="0"/>
    </xf>
    <xf numFmtId="0" fontId="112" fillId="12" borderId="13" xfId="0" applyFont="1" applyFill="1" applyBorder="1" applyAlignment="1" applyProtection="1">
      <alignment horizontal="left" vertical="center" wrapText="1"/>
      <protection locked="0"/>
    </xf>
    <xf numFmtId="0" fontId="112" fillId="12" borderId="14" xfId="0" applyFont="1" applyFill="1" applyBorder="1" applyAlignment="1" applyProtection="1">
      <alignment horizontal="left" vertical="center" wrapText="1"/>
      <protection locked="0"/>
    </xf>
    <xf numFmtId="0" fontId="112" fillId="12" borderId="15" xfId="0" applyFont="1" applyFill="1" applyBorder="1" applyAlignment="1" applyProtection="1">
      <alignment horizontal="left" vertical="center" wrapText="1"/>
      <protection locked="0"/>
    </xf>
    <xf numFmtId="173" fontId="2" fillId="36" borderId="0" xfId="126" applyNumberFormat="1" applyFont="1" applyFill="1" applyBorder="1" applyAlignment="1" applyProtection="1">
      <alignment horizontal="center"/>
      <protection/>
    </xf>
    <xf numFmtId="173" fontId="18" fillId="0" borderId="0" xfId="0" applyNumberFormat="1" applyFont="1" applyBorder="1" applyAlignment="1" applyProtection="1">
      <alignment horizontal="center"/>
      <protection/>
    </xf>
    <xf numFmtId="173" fontId="41" fillId="0" borderId="0" xfId="0" applyNumberFormat="1" applyFont="1" applyBorder="1" applyAlignment="1" applyProtection="1">
      <alignment horizontal="right"/>
      <protection/>
    </xf>
    <xf numFmtId="173" fontId="18" fillId="0" borderId="0" xfId="0" applyNumberFormat="1" applyFont="1" applyBorder="1" applyAlignment="1" applyProtection="1">
      <alignment horizontal="center" wrapText="1"/>
      <protection/>
    </xf>
    <xf numFmtId="173" fontId="41" fillId="0" borderId="0" xfId="0" applyNumberFormat="1" applyFont="1" applyBorder="1" applyAlignment="1" applyProtection="1">
      <alignment horizontal="left"/>
      <protection/>
    </xf>
    <xf numFmtId="0" fontId="75" fillId="12" borderId="12" xfId="0" applyFont="1" applyFill="1" applyBorder="1" applyAlignment="1" applyProtection="1">
      <alignment horizontal="left" vertical="center" wrapText="1"/>
      <protection locked="0"/>
    </xf>
    <xf numFmtId="0" fontId="75" fillId="12" borderId="13" xfId="0" applyFont="1" applyFill="1" applyBorder="1" applyAlignment="1" applyProtection="1">
      <alignment horizontal="left" vertical="center" wrapText="1"/>
      <protection locked="0"/>
    </xf>
    <xf numFmtId="0" fontId="75" fillId="12" borderId="14" xfId="0" applyFont="1" applyFill="1" applyBorder="1" applyAlignment="1" applyProtection="1">
      <alignment horizontal="left" vertical="center" wrapText="1"/>
      <protection locked="0"/>
    </xf>
    <xf numFmtId="0" fontId="0" fillId="0" borderId="167" xfId="0" applyFill="1" applyBorder="1" applyAlignment="1" applyProtection="1">
      <alignment horizontal="center" vertical="center" wrapText="1"/>
      <protection/>
    </xf>
    <xf numFmtId="0" fontId="0" fillId="0" borderId="168" xfId="0" applyFill="1" applyBorder="1" applyAlignment="1" applyProtection="1">
      <alignment horizontal="center" vertical="center" wrapText="1"/>
      <protection/>
    </xf>
    <xf numFmtId="0" fontId="0" fillId="0" borderId="168" xfId="0" applyBorder="1" applyAlignment="1">
      <alignment wrapText="1"/>
    </xf>
    <xf numFmtId="0" fontId="0" fillId="0" borderId="169" xfId="0" applyBorder="1" applyAlignment="1">
      <alignment wrapText="1"/>
    </xf>
    <xf numFmtId="186" fontId="0" fillId="2" borderId="127" xfId="0" applyNumberFormat="1" applyFill="1" applyBorder="1" applyAlignment="1" applyProtection="1">
      <alignment horizontal="center" vertical="center"/>
      <protection/>
    </xf>
    <xf numFmtId="186" fontId="0" fillId="2" borderId="130" xfId="0" applyNumberFormat="1" applyFill="1" applyBorder="1" applyAlignment="1" applyProtection="1">
      <alignment horizontal="center" vertical="center"/>
      <protection/>
    </xf>
    <xf numFmtId="186" fontId="0" fillId="2" borderId="131" xfId="0" applyNumberFormat="1" applyFill="1" applyBorder="1" applyAlignment="1" applyProtection="1">
      <alignment horizontal="center" vertical="center"/>
      <protection/>
    </xf>
    <xf numFmtId="186" fontId="0" fillId="0" borderId="103" xfId="0" applyNumberFormat="1" applyBorder="1" applyAlignment="1" applyProtection="1">
      <alignment horizontal="center" vertical="center"/>
      <protection/>
    </xf>
    <xf numFmtId="186" fontId="0" fillId="0" borderId="130" xfId="0" applyNumberFormat="1" applyBorder="1" applyAlignment="1" applyProtection="1">
      <alignment horizontal="center" vertical="center"/>
      <protection/>
    </xf>
    <xf numFmtId="186" fontId="0" fillId="0" borderId="64" xfId="0" applyNumberFormat="1" applyBorder="1" applyAlignment="1" applyProtection="1">
      <alignment horizontal="center" vertical="center"/>
      <protection/>
    </xf>
    <xf numFmtId="186" fontId="0" fillId="0" borderId="127" xfId="0" applyNumberFormat="1" applyBorder="1" applyAlignment="1" applyProtection="1">
      <alignment horizontal="center" vertical="center"/>
      <protection/>
    </xf>
    <xf numFmtId="186" fontId="2" fillId="33" borderId="170" xfId="0" applyNumberFormat="1" applyFont="1" applyFill="1" applyBorder="1" applyAlignment="1" applyProtection="1">
      <alignment horizontal="center" vertical="center"/>
      <protection/>
    </xf>
    <xf numFmtId="186" fontId="2" fillId="33" borderId="136" xfId="0" applyNumberFormat="1" applyFont="1" applyFill="1" applyBorder="1" applyAlignment="1" applyProtection="1">
      <alignment horizontal="center" vertical="center"/>
      <protection/>
    </xf>
    <xf numFmtId="186" fontId="2" fillId="33" borderId="138" xfId="0" applyNumberFormat="1" applyFont="1" applyFill="1" applyBorder="1" applyAlignment="1" applyProtection="1">
      <alignment horizontal="center" vertical="center"/>
      <protection/>
    </xf>
    <xf numFmtId="186" fontId="0" fillId="0" borderId="131" xfId="0" applyNumberFormat="1" applyBorder="1" applyAlignment="1" applyProtection="1">
      <alignment horizontal="center" vertical="center"/>
      <protection/>
    </xf>
    <xf numFmtId="186" fontId="2" fillId="33" borderId="135" xfId="0" applyNumberFormat="1" applyFont="1" applyFill="1" applyBorder="1" applyAlignment="1" applyProtection="1">
      <alignment horizontal="center" vertical="center"/>
      <protection/>
    </xf>
    <xf numFmtId="186" fontId="2" fillId="33" borderId="137" xfId="0" applyNumberFormat="1" applyFont="1" applyFill="1" applyBorder="1" applyAlignment="1" applyProtection="1">
      <alignment horizontal="center" vertical="center"/>
      <protection/>
    </xf>
    <xf numFmtId="173" fontId="42" fillId="26" borderId="0" xfId="99" applyFont="1" applyFill="1" applyBorder="1" applyAlignment="1">
      <alignment horizontal="center" vertical="center"/>
      <protection/>
    </xf>
    <xf numFmtId="173" fontId="41" fillId="0" borderId="0" xfId="0" applyNumberFormat="1" applyFont="1" applyBorder="1" applyAlignment="1">
      <alignment horizontal="left"/>
    </xf>
    <xf numFmtId="173" fontId="18" fillId="0" borderId="0" xfId="0" applyNumberFormat="1" applyFont="1" applyBorder="1" applyAlignment="1">
      <alignment horizontal="center"/>
    </xf>
    <xf numFmtId="173" fontId="41" fillId="0" borderId="0" xfId="0" applyNumberFormat="1" applyFont="1" applyBorder="1" applyAlignment="1">
      <alignment horizontal="right"/>
    </xf>
    <xf numFmtId="186" fontId="0" fillId="2" borderId="103" xfId="0" applyNumberFormat="1" applyFill="1" applyBorder="1" applyAlignment="1" applyProtection="1">
      <alignment horizontal="center" vertical="center"/>
      <protection/>
    </xf>
    <xf numFmtId="186" fontId="0" fillId="2" borderId="64" xfId="0" applyNumberFormat="1" applyFill="1" applyBorder="1" applyAlignment="1" applyProtection="1">
      <alignment horizontal="center" vertical="center"/>
      <protection/>
    </xf>
    <xf numFmtId="0" fontId="75" fillId="12" borderId="15" xfId="0" applyFont="1" applyFill="1" applyBorder="1" applyAlignment="1" applyProtection="1">
      <alignment horizontal="left" wrapText="1"/>
      <protection locked="0"/>
    </xf>
    <xf numFmtId="0" fontId="73" fillId="0" borderId="0" xfId="0" applyFont="1" applyBorder="1" applyAlignment="1">
      <alignment horizontal="center"/>
    </xf>
    <xf numFmtId="0" fontId="75" fillId="12" borderId="53" xfId="0" applyFont="1" applyFill="1" applyBorder="1" applyAlignment="1" applyProtection="1">
      <alignment horizontal="left" wrapText="1"/>
      <protection locked="0"/>
    </xf>
    <xf numFmtId="0" fontId="18" fillId="0" borderId="0" xfId="0" applyFont="1" applyBorder="1" applyAlignment="1">
      <alignment horizontal="center"/>
    </xf>
    <xf numFmtId="0" fontId="76" fillId="12" borderId="12" xfId="0" applyFont="1" applyFill="1" applyBorder="1" applyAlignment="1" applyProtection="1">
      <alignment horizontal="left" vertical="center" wrapText="1"/>
      <protection locked="0"/>
    </xf>
    <xf numFmtId="0" fontId="76" fillId="12" borderId="13" xfId="0" applyFont="1" applyFill="1" applyBorder="1" applyAlignment="1" applyProtection="1">
      <alignment horizontal="left" vertical="center" wrapText="1"/>
      <protection locked="0"/>
    </xf>
    <xf numFmtId="0" fontId="76" fillId="12" borderId="14" xfId="0" applyFont="1" applyFill="1" applyBorder="1" applyAlignment="1" applyProtection="1">
      <alignment horizontal="left" vertical="center" wrapText="1"/>
      <protection locked="0"/>
    </xf>
    <xf numFmtId="0" fontId="80" fillId="0" borderId="0" xfId="0" applyFont="1" applyBorder="1" applyAlignment="1">
      <alignment horizontal="center" wrapText="1"/>
    </xf>
    <xf numFmtId="0" fontId="138" fillId="0" borderId="0" xfId="0" applyFont="1" applyAlignment="1" applyProtection="1">
      <alignment horizontal="left" vertical="center" wrapText="1"/>
      <protection/>
    </xf>
    <xf numFmtId="0" fontId="75" fillId="0" borderId="12" xfId="0" applyFont="1" applyBorder="1" applyAlignment="1" applyProtection="1">
      <alignment vertical="center" wrapText="1"/>
      <protection/>
    </xf>
    <xf numFmtId="0" fontId="75" fillId="0" borderId="13" xfId="0" applyFont="1" applyBorder="1" applyAlignment="1" applyProtection="1">
      <alignment vertical="center" wrapText="1"/>
      <protection/>
    </xf>
    <xf numFmtId="0" fontId="75" fillId="0" borderId="14" xfId="0" applyFont="1" applyBorder="1" applyAlignment="1" applyProtection="1">
      <alignment vertical="center" wrapText="1"/>
      <protection/>
    </xf>
    <xf numFmtId="9" fontId="41" fillId="0" borderId="12" xfId="110" applyFont="1" applyFill="1" applyBorder="1" applyAlignment="1" applyProtection="1">
      <alignment horizontal="center" vertical="center" wrapText="1"/>
      <protection/>
    </xf>
    <xf numFmtId="9" fontId="41" fillId="0" borderId="13" xfId="110" applyFont="1" applyFill="1" applyBorder="1" applyAlignment="1" applyProtection="1">
      <alignment horizontal="center" vertical="center" wrapText="1"/>
      <protection/>
    </xf>
    <xf numFmtId="9" fontId="41" fillId="0" borderId="14" xfId="110" applyFont="1" applyFill="1" applyBorder="1" applyAlignment="1" applyProtection="1">
      <alignment horizontal="center" vertical="center" wrapText="1"/>
      <protection/>
    </xf>
    <xf numFmtId="9" fontId="75" fillId="31" borderId="171" xfId="110" applyFont="1" applyFill="1" applyBorder="1" applyAlignment="1" applyProtection="1">
      <alignment horizontal="left" vertical="center" wrapText="1"/>
      <protection locked="0"/>
    </xf>
    <xf numFmtId="9" fontId="75" fillId="31" borderId="172" xfId="110" applyFont="1" applyFill="1" applyBorder="1" applyAlignment="1" applyProtection="1">
      <alignment horizontal="left" vertical="center" wrapText="1"/>
      <protection locked="0"/>
    </xf>
    <xf numFmtId="202" fontId="41" fillId="0" borderId="12" xfId="110" applyNumberFormat="1" applyFont="1" applyFill="1" applyBorder="1" applyAlignment="1" applyProtection="1">
      <alignment horizontal="center" vertical="center" wrapText="1"/>
      <protection/>
    </xf>
    <xf numFmtId="202" fontId="41" fillId="0" borderId="13" xfId="110" applyNumberFormat="1" applyFont="1" applyFill="1" applyBorder="1" applyAlignment="1" applyProtection="1">
      <alignment horizontal="center" vertical="center" wrapText="1"/>
      <protection/>
    </xf>
    <xf numFmtId="202" fontId="41" fillId="0" borderId="14" xfId="110" applyNumberFormat="1" applyFont="1" applyFill="1" applyBorder="1" applyAlignment="1" applyProtection="1">
      <alignment horizontal="center" vertical="center" wrapText="1"/>
      <protection/>
    </xf>
    <xf numFmtId="9" fontId="75" fillId="31" borderId="97" xfId="110" applyFont="1" applyFill="1" applyBorder="1" applyAlignment="1" applyProtection="1">
      <alignment horizontal="left" vertical="center" wrapText="1"/>
      <protection locked="0"/>
    </xf>
    <xf numFmtId="9" fontId="75" fillId="31" borderId="173" xfId="110" applyFont="1" applyFill="1" applyBorder="1" applyAlignment="1" applyProtection="1">
      <alignment horizontal="left" vertical="center" wrapText="1"/>
      <protection locked="0"/>
    </xf>
    <xf numFmtId="9" fontId="75" fillId="31" borderId="171" xfId="110" applyFont="1" applyFill="1" applyBorder="1" applyAlignment="1" applyProtection="1">
      <alignment horizontal="left" vertical="top" wrapText="1"/>
      <protection locked="0"/>
    </xf>
    <xf numFmtId="9" fontId="75" fillId="31" borderId="172" xfId="110" applyFont="1" applyFill="1" applyBorder="1" applyAlignment="1" applyProtection="1">
      <alignment horizontal="left" vertical="top" wrapText="1"/>
      <protection locked="0"/>
    </xf>
    <xf numFmtId="9" fontId="75" fillId="31" borderId="173" xfId="110" applyFont="1" applyFill="1" applyBorder="1" applyAlignment="1" applyProtection="1">
      <alignment horizontal="left" vertical="top" wrapText="1"/>
      <protection locked="0"/>
    </xf>
    <xf numFmtId="0" fontId="25" fillId="0" borderId="61" xfId="0" applyFont="1" applyBorder="1" applyAlignment="1" applyProtection="1">
      <alignment horizontal="center"/>
      <protection/>
    </xf>
    <xf numFmtId="0" fontId="75" fillId="0" borderId="12" xfId="0" applyFont="1" applyBorder="1" applyAlignment="1" applyProtection="1">
      <alignment horizontal="center" vertical="center" wrapText="1"/>
      <protection/>
    </xf>
    <xf numFmtId="0" fontId="75" fillId="0" borderId="13" xfId="0" applyFont="1" applyBorder="1" applyAlignment="1" applyProtection="1">
      <alignment horizontal="center" vertical="center" wrapText="1"/>
      <protection/>
    </xf>
    <xf numFmtId="0" fontId="75" fillId="0" borderId="14" xfId="0" applyFont="1" applyBorder="1" applyAlignment="1" applyProtection="1">
      <alignment horizontal="center" vertical="center" wrapText="1"/>
      <protection/>
    </xf>
    <xf numFmtId="9" fontId="74" fillId="24" borderId="12" xfId="110" applyFont="1" applyFill="1" applyBorder="1" applyAlignment="1" applyProtection="1">
      <alignment horizontal="center" vertical="center" wrapText="1"/>
      <protection/>
    </xf>
    <xf numFmtId="9" fontId="74" fillId="24" borderId="14" xfId="110" applyFont="1" applyFill="1" applyBorder="1" applyAlignment="1" applyProtection="1">
      <alignment horizontal="center" vertical="center" wrapText="1"/>
      <protection/>
    </xf>
    <xf numFmtId="9" fontId="74" fillId="39" borderId="12" xfId="110" applyFont="1" applyFill="1" applyBorder="1" applyAlignment="1" applyProtection="1">
      <alignment horizontal="center" vertical="center" wrapText="1"/>
      <protection/>
    </xf>
    <xf numFmtId="9" fontId="74" fillId="39" borderId="14" xfId="110" applyFont="1" applyFill="1" applyBorder="1" applyAlignment="1" applyProtection="1">
      <alignment horizontal="center" vertical="center" wrapText="1"/>
      <protection/>
    </xf>
    <xf numFmtId="173" fontId="42" fillId="26" borderId="0" xfId="99" applyFont="1" applyFill="1" applyBorder="1" applyAlignment="1" applyProtection="1">
      <alignment horizontal="center" vertical="center"/>
      <protection/>
    </xf>
    <xf numFmtId="0" fontId="75" fillId="0" borderId="128" xfId="0" applyFont="1" applyBorder="1" applyAlignment="1" applyProtection="1">
      <alignment horizontal="left" vertical="center"/>
      <protection/>
    </xf>
    <xf numFmtId="0" fontId="112" fillId="0" borderId="174" xfId="0" applyFont="1" applyBorder="1" applyAlignment="1">
      <alignment horizontal="center" vertical="center" wrapText="1"/>
    </xf>
    <xf numFmtId="0" fontId="112" fillId="0" borderId="175" xfId="0" applyFont="1" applyBorder="1" applyAlignment="1">
      <alignment horizontal="center" vertical="center" wrapText="1"/>
    </xf>
    <xf numFmtId="0" fontId="112" fillId="0" borderId="99" xfId="0" applyFont="1" applyBorder="1" applyAlignment="1">
      <alignment horizontal="center" vertical="center" wrapText="1"/>
    </xf>
    <xf numFmtId="173" fontId="2" fillId="36" borderId="0" xfId="127" applyNumberFormat="1" applyFont="1" applyFill="1" applyBorder="1" applyAlignment="1" applyProtection="1">
      <alignment horizontal="center"/>
      <protection/>
    </xf>
    <xf numFmtId="173" fontId="73" fillId="0" borderId="0" xfId="0" applyNumberFormat="1" applyFont="1" applyBorder="1" applyAlignment="1" applyProtection="1">
      <alignment horizontal="center"/>
      <protection/>
    </xf>
    <xf numFmtId="0" fontId="75" fillId="0" borderId="12" xfId="0" applyFont="1" applyBorder="1" applyAlignment="1" applyProtection="1">
      <alignment horizontal="center" vertical="center"/>
      <protection/>
    </xf>
    <xf numFmtId="0" fontId="75" fillId="0" borderId="13" xfId="0" applyFont="1" applyBorder="1" applyAlignment="1" applyProtection="1">
      <alignment horizontal="center" vertical="center"/>
      <protection/>
    </xf>
    <xf numFmtId="9" fontId="1" fillId="0" borderId="176" xfId="110" applyNumberFormat="1" applyFont="1" applyFill="1" applyBorder="1" applyAlignment="1" applyProtection="1">
      <alignment horizontal="left" vertical="center" wrapText="1"/>
      <protection/>
    </xf>
    <xf numFmtId="0" fontId="1" fillId="12" borderId="177" xfId="0" applyFont="1" applyFill="1" applyBorder="1" applyAlignment="1" applyProtection="1">
      <alignment horizontal="center" vertical="top" wrapText="1"/>
      <protection locked="0"/>
    </xf>
    <xf numFmtId="0" fontId="1" fillId="12" borderId="178" xfId="0" applyFont="1" applyFill="1" applyBorder="1" applyAlignment="1" applyProtection="1">
      <alignment horizontal="center" vertical="top" wrapText="1"/>
      <protection locked="0"/>
    </xf>
    <xf numFmtId="0" fontId="1" fillId="0" borderId="176" xfId="110" applyNumberFormat="1" applyFont="1" applyFill="1" applyBorder="1" applyAlignment="1" applyProtection="1">
      <alignment horizontal="left" vertical="center" wrapText="1"/>
      <protection/>
    </xf>
    <xf numFmtId="0" fontId="29" fillId="0" borderId="179" xfId="0" applyNumberFormat="1" applyFont="1" applyFill="1" applyBorder="1" applyAlignment="1" applyProtection="1">
      <alignment horizontal="left" vertical="center" wrapText="1"/>
      <protection/>
    </xf>
    <xf numFmtId="0" fontId="1" fillId="12" borderId="180" xfId="0" applyFont="1" applyFill="1" applyBorder="1" applyAlignment="1" applyProtection="1">
      <alignment horizontal="center" vertical="top" wrapText="1"/>
      <protection locked="0"/>
    </xf>
    <xf numFmtId="179" fontId="84" fillId="10" borderId="92" xfId="0" applyNumberFormat="1" applyFont="1" applyFill="1" applyBorder="1" applyAlignment="1" applyProtection="1">
      <alignment horizontal="center" vertical="center"/>
      <protection/>
    </xf>
    <xf numFmtId="179" fontId="86" fillId="0" borderId="181" xfId="0" applyNumberFormat="1" applyFont="1" applyFill="1" applyBorder="1" applyAlignment="1" applyProtection="1">
      <alignment horizontal="center"/>
      <protection/>
    </xf>
    <xf numFmtId="179" fontId="87" fillId="12" borderId="139" xfId="0" applyNumberFormat="1" applyFont="1" applyFill="1" applyBorder="1" applyAlignment="1" applyProtection="1">
      <alignment horizontal="center" vertical="center"/>
      <protection/>
    </xf>
    <xf numFmtId="0" fontId="29" fillId="0" borderId="182" xfId="0" applyNumberFormat="1" applyFont="1" applyFill="1" applyBorder="1" applyAlignment="1" applyProtection="1">
      <alignment horizontal="left" vertical="top" wrapText="1"/>
      <protection/>
    </xf>
    <xf numFmtId="0" fontId="1" fillId="13" borderId="183" xfId="0" applyFont="1" applyFill="1" applyBorder="1" applyAlignment="1" applyProtection="1">
      <alignment horizontal="center" vertical="top" wrapText="1"/>
      <protection locked="0"/>
    </xf>
    <xf numFmtId="0" fontId="29" fillId="0" borderId="184" xfId="0" applyNumberFormat="1" applyFont="1" applyFill="1" applyBorder="1" applyAlignment="1" applyProtection="1">
      <alignment horizontal="left" vertical="top" wrapText="1"/>
      <protection/>
    </xf>
    <xf numFmtId="0" fontId="1" fillId="13" borderId="185" xfId="0" applyFont="1" applyFill="1" applyBorder="1" applyAlignment="1" applyProtection="1">
      <alignment horizontal="center" vertical="top" wrapText="1"/>
      <protection locked="0"/>
    </xf>
    <xf numFmtId="0" fontId="29" fillId="0" borderId="186" xfId="0" applyNumberFormat="1" applyFont="1" applyFill="1" applyBorder="1" applyAlignment="1" applyProtection="1">
      <alignment horizontal="left" vertical="top" wrapText="1"/>
      <protection/>
    </xf>
    <xf numFmtId="0" fontId="1" fillId="13" borderId="187" xfId="0" applyFont="1" applyFill="1" applyBorder="1" applyAlignment="1" applyProtection="1">
      <alignment horizontal="center" vertical="top" wrapText="1"/>
      <protection locked="0"/>
    </xf>
    <xf numFmtId="179" fontId="86" fillId="0" borderId="188" xfId="0" applyNumberFormat="1" applyFont="1" applyFill="1" applyBorder="1" applyAlignment="1" applyProtection="1">
      <alignment horizontal="center"/>
      <protection/>
    </xf>
    <xf numFmtId="179" fontId="98" fillId="13" borderId="189" xfId="0" applyNumberFormat="1" applyFont="1" applyFill="1" applyBorder="1" applyAlignment="1" applyProtection="1">
      <alignment horizontal="center" vertical="center"/>
      <protection/>
    </xf>
    <xf numFmtId="179" fontId="98" fillId="13" borderId="190" xfId="0" applyNumberFormat="1" applyFont="1" applyFill="1" applyBorder="1" applyAlignment="1" applyProtection="1">
      <alignment horizontal="center" vertical="center"/>
      <protection/>
    </xf>
    <xf numFmtId="0" fontId="29" fillId="0" borderId="191" xfId="0" applyNumberFormat="1" applyFont="1" applyFill="1" applyBorder="1" applyAlignment="1" applyProtection="1">
      <alignment horizontal="left" vertical="top" wrapText="1"/>
      <protection/>
    </xf>
    <xf numFmtId="49" fontId="1" fillId="3" borderId="192" xfId="0" applyNumberFormat="1" applyFont="1" applyFill="1" applyBorder="1" applyAlignment="1" applyProtection="1">
      <alignment horizontal="center" vertical="center"/>
      <protection locked="0"/>
    </xf>
    <xf numFmtId="0" fontId="29" fillId="0" borderId="193" xfId="0" applyNumberFormat="1" applyFont="1" applyFill="1" applyBorder="1" applyAlignment="1" applyProtection="1">
      <alignment horizontal="left" vertical="top" wrapText="1"/>
      <protection/>
    </xf>
    <xf numFmtId="49" fontId="1" fillId="3" borderId="194" xfId="0" applyNumberFormat="1" applyFont="1" applyFill="1" applyBorder="1" applyAlignment="1" applyProtection="1">
      <alignment horizontal="center" vertical="center"/>
      <protection locked="0"/>
    </xf>
    <xf numFmtId="49" fontId="1" fillId="3" borderId="195" xfId="0" applyNumberFormat="1" applyFont="1" applyFill="1" applyBorder="1" applyAlignment="1" applyProtection="1">
      <alignment horizontal="center" vertical="center" wrapText="1"/>
      <protection locked="0"/>
    </xf>
    <xf numFmtId="179" fontId="73" fillId="0" borderId="0" xfId="0" applyNumberFormat="1" applyFont="1" applyBorder="1" applyAlignment="1" applyProtection="1">
      <alignment horizontal="center"/>
      <protection/>
    </xf>
    <xf numFmtId="179" fontId="86" fillId="0" borderId="0" xfId="0" applyNumberFormat="1" applyFont="1" applyFill="1" applyBorder="1" applyAlignment="1" applyProtection="1">
      <alignment horizontal="center"/>
      <protection/>
    </xf>
    <xf numFmtId="179" fontId="87" fillId="3" borderId="18" xfId="0" applyNumberFormat="1" applyFont="1" applyFill="1" applyBorder="1" applyAlignment="1" applyProtection="1">
      <alignment horizontal="center" vertical="center"/>
      <protection/>
    </xf>
    <xf numFmtId="49" fontId="1" fillId="3" borderId="195" xfId="0" applyNumberFormat="1" applyFont="1" applyFill="1" applyBorder="1" applyAlignment="1" applyProtection="1">
      <alignment horizontal="center" vertical="center"/>
      <protection locked="0"/>
    </xf>
    <xf numFmtId="173" fontId="25" fillId="0" borderId="0" xfId="0" applyNumberFormat="1" applyFont="1" applyBorder="1" applyAlignment="1" applyProtection="1">
      <alignment horizontal="center"/>
      <protection/>
    </xf>
    <xf numFmtId="0" fontId="51" fillId="0" borderId="196" xfId="0" applyFont="1" applyFill="1" applyBorder="1" applyAlignment="1" applyProtection="1">
      <alignment horizontal="left"/>
      <protection locked="0"/>
    </xf>
    <xf numFmtId="0" fontId="51" fillId="0" borderId="197" xfId="0" applyFont="1" applyBorder="1" applyAlignment="1" applyProtection="1">
      <alignment horizontal="left"/>
      <protection locked="0"/>
    </xf>
    <xf numFmtId="0" fontId="51" fillId="0" borderId="198" xfId="0" applyFont="1" applyBorder="1" applyAlignment="1" applyProtection="1">
      <alignment horizontal="left"/>
      <protection locked="0"/>
    </xf>
    <xf numFmtId="0" fontId="51" fillId="0" borderId="199" xfId="0" applyFont="1" applyBorder="1" applyAlignment="1" applyProtection="1">
      <alignment horizontal="left"/>
      <protection locked="0"/>
    </xf>
    <xf numFmtId="0" fontId="51" fillId="0" borderId="200" xfId="0" applyFont="1" applyFill="1" applyBorder="1" applyAlignment="1" applyProtection="1">
      <alignment horizontal="left"/>
      <protection locked="0"/>
    </xf>
    <xf numFmtId="0" fontId="51" fillId="0" borderId="201" xfId="0" applyFont="1" applyBorder="1" applyAlignment="1" applyProtection="1">
      <alignment horizontal="left"/>
      <protection locked="0"/>
    </xf>
    <xf numFmtId="0" fontId="51" fillId="0" borderId="202" xfId="0" applyFont="1" applyBorder="1" applyAlignment="1" applyProtection="1">
      <alignment horizontal="left"/>
      <protection locked="0"/>
    </xf>
    <xf numFmtId="0" fontId="51" fillId="0" borderId="203" xfId="0" applyFont="1" applyBorder="1" applyAlignment="1" applyProtection="1">
      <alignment horizontal="left"/>
      <protection locked="0"/>
    </xf>
    <xf numFmtId="0" fontId="105" fillId="8" borderId="204" xfId="106" applyNumberFormat="1" applyFont="1" applyFill="1" applyBorder="1" applyAlignment="1">
      <alignment horizontal="center" vertical="center" wrapText="1"/>
      <protection/>
    </xf>
    <xf numFmtId="0" fontId="105" fillId="8" borderId="205" xfId="106" applyNumberFormat="1" applyFont="1" applyFill="1" applyBorder="1" applyAlignment="1">
      <alignment horizontal="center" vertical="center" wrapText="1"/>
      <protection/>
    </xf>
    <xf numFmtId="0" fontId="105" fillId="8" borderId="206" xfId="106" applyNumberFormat="1" applyFont="1" applyFill="1" applyBorder="1" applyAlignment="1">
      <alignment horizontal="center" vertical="center" wrapText="1"/>
      <protection/>
    </xf>
    <xf numFmtId="0" fontId="106" fillId="8" borderId="15" xfId="0" applyNumberFormat="1" applyFont="1" applyFill="1" applyBorder="1" applyAlignment="1">
      <alignment horizontal="center" vertical="center" textRotation="90"/>
    </xf>
    <xf numFmtId="0" fontId="51" fillId="0" borderId="207" xfId="0" applyFont="1" applyFill="1" applyBorder="1" applyAlignment="1" applyProtection="1">
      <alignment horizontal="left" vertical="top" wrapText="1"/>
      <protection locked="0"/>
    </xf>
    <xf numFmtId="0" fontId="51" fillId="0" borderId="208" xfId="0" applyFont="1" applyBorder="1" applyAlignment="1" applyProtection="1">
      <alignment horizontal="left"/>
      <protection locked="0"/>
    </xf>
    <xf numFmtId="0" fontId="51" fillId="0" borderId="88" xfId="0" applyFont="1" applyBorder="1" applyAlignment="1" applyProtection="1">
      <alignment horizontal="left"/>
      <protection locked="0"/>
    </xf>
    <xf numFmtId="0" fontId="51" fillId="0" borderId="209" xfId="0" applyFont="1" applyBorder="1" applyAlignment="1" applyProtection="1">
      <alignment horizontal="left"/>
      <protection locked="0"/>
    </xf>
    <xf numFmtId="0" fontId="51" fillId="0" borderId="203" xfId="0" applyFont="1" applyFill="1" applyBorder="1" applyAlignment="1" applyProtection="1">
      <alignment horizontal="left"/>
      <protection locked="0"/>
    </xf>
    <xf numFmtId="0" fontId="51" fillId="0" borderId="202" xfId="0" applyFont="1" applyFill="1" applyBorder="1" applyAlignment="1" applyProtection="1">
      <alignment horizontal="left"/>
      <protection locked="0"/>
    </xf>
    <xf numFmtId="0" fontId="51" fillId="0" borderId="210" xfId="0" applyFont="1" applyFill="1" applyBorder="1" applyAlignment="1" applyProtection="1">
      <alignment horizontal="left" vertical="center" wrapText="1"/>
      <protection locked="0"/>
    </xf>
    <xf numFmtId="0" fontId="51" fillId="0" borderId="197" xfId="0" applyFont="1" applyFill="1" applyBorder="1" applyAlignment="1" applyProtection="1">
      <alignment horizontal="left"/>
      <protection locked="0"/>
    </xf>
    <xf numFmtId="0" fontId="51" fillId="0" borderId="198" xfId="0" applyFont="1" applyFill="1" applyBorder="1" applyAlignment="1" applyProtection="1">
      <alignment horizontal="left"/>
      <protection locked="0"/>
    </xf>
    <xf numFmtId="0" fontId="51" fillId="0" borderId="199" xfId="0" applyFont="1" applyFill="1" applyBorder="1" applyAlignment="1" applyProtection="1">
      <alignment horizontal="left"/>
      <protection locked="0"/>
    </xf>
    <xf numFmtId="0" fontId="51" fillId="0" borderId="211" xfId="0" applyFont="1" applyFill="1" applyBorder="1" applyAlignment="1" applyProtection="1">
      <alignment horizontal="left" vertical="center" wrapText="1"/>
      <protection locked="0"/>
    </xf>
    <xf numFmtId="0" fontId="51" fillId="0" borderId="201" xfId="0" applyFont="1" applyFill="1" applyBorder="1" applyAlignment="1" applyProtection="1">
      <alignment horizontal="left"/>
      <protection locked="0"/>
    </xf>
    <xf numFmtId="0" fontId="51" fillId="0" borderId="212" xfId="0" applyFont="1" applyFill="1" applyBorder="1" applyAlignment="1" applyProtection="1">
      <alignment horizontal="left" wrapText="1"/>
      <protection locked="0"/>
    </xf>
    <xf numFmtId="0" fontId="51" fillId="0" borderId="201" xfId="0" applyFont="1" applyFill="1" applyBorder="1" applyAlignment="1" applyProtection="1">
      <alignment horizontal="left" wrapText="1"/>
      <protection locked="0"/>
    </xf>
    <xf numFmtId="0" fontId="51" fillId="0" borderId="202" xfId="0" applyFont="1" applyFill="1" applyBorder="1" applyAlignment="1" applyProtection="1">
      <alignment horizontal="left" wrapText="1"/>
      <protection locked="0"/>
    </xf>
    <xf numFmtId="0" fontId="51" fillId="0" borderId="213" xfId="0" applyFont="1" applyFill="1" applyBorder="1" applyAlignment="1" applyProtection="1">
      <alignment horizontal="left" wrapText="1"/>
      <protection locked="0"/>
    </xf>
    <xf numFmtId="0" fontId="51" fillId="0" borderId="214" xfId="0" applyFont="1" applyFill="1" applyBorder="1" applyAlignment="1" applyProtection="1">
      <alignment horizontal="left" wrapText="1"/>
      <protection locked="0"/>
    </xf>
    <xf numFmtId="0" fontId="51" fillId="0" borderId="201" xfId="0" applyFont="1" applyFill="1" applyBorder="1" applyAlignment="1" applyProtection="1">
      <alignment horizontal="left" vertical="top" wrapText="1"/>
      <protection locked="0"/>
    </xf>
    <xf numFmtId="0" fontId="0" fillId="12" borderId="15" xfId="0" applyFill="1" applyBorder="1" applyAlignment="1" applyProtection="1">
      <alignment horizontal="center"/>
      <protection locked="0"/>
    </xf>
    <xf numFmtId="173" fontId="2" fillId="36" borderId="0" xfId="128" applyNumberFormat="1" applyFont="1" applyFill="1" applyBorder="1" applyAlignment="1" applyProtection="1">
      <alignment horizontal="center"/>
      <protection locked="0"/>
    </xf>
    <xf numFmtId="173" fontId="23" fillId="26" borderId="0" xfId="89" applyFont="1" applyFill="1" applyBorder="1" applyAlignment="1">
      <alignment horizontal="center" vertical="center"/>
      <protection/>
    </xf>
    <xf numFmtId="0" fontId="25" fillId="0" borderId="0" xfId="0" applyFont="1" applyBorder="1" applyAlignment="1">
      <alignment horizontal="center"/>
    </xf>
  </cellXfs>
  <cellStyles count="12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uro" xfId="73"/>
    <cellStyle name="Explanatory Text" xfId="74"/>
    <cellStyle name="Good" xfId="75"/>
    <cellStyle name="Heading 1" xfId="76"/>
    <cellStyle name="Heading 2" xfId="77"/>
    <cellStyle name="Heading 3" xfId="78"/>
    <cellStyle name="Heading 4" xfId="79"/>
    <cellStyle name="Incorrecto" xfId="80"/>
    <cellStyle name="Input" xfId="81"/>
    <cellStyle name="Linked Cell" xfId="82"/>
    <cellStyle name="Comma" xfId="83"/>
    <cellStyle name="Comma [0]" xfId="84"/>
    <cellStyle name="Millares 2" xfId="85"/>
    <cellStyle name="Currency" xfId="86"/>
    <cellStyle name="Currency [0]" xfId="87"/>
    <cellStyle name="Neutral" xfId="88"/>
    <cellStyle name="Normal 2" xfId="89"/>
    <cellStyle name="Normal 2 2" xfId="90"/>
    <cellStyle name="Normal 2 3" xfId="91"/>
    <cellStyle name="Normal 2 4" xfId="92"/>
    <cellStyle name="Normal 2 5" xfId="93"/>
    <cellStyle name="Normal 2 6" xfId="94"/>
    <cellStyle name="Normal 2 7" xfId="95"/>
    <cellStyle name="Normal 2 8" xfId="96"/>
    <cellStyle name="Normal 2_Dashboard ver 2.2 ES" xfId="97"/>
    <cellStyle name="Normal 2_Ficticia HIV Dashboard_ES - Set Up and Maintenance Guide"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orcentual 2" xfId="111"/>
    <cellStyle name="Porcentual 3" xfId="112"/>
    <cellStyle name="Porcentual 4" xfId="113"/>
    <cellStyle name="Porcentual 5" xfId="114"/>
    <cellStyle name="Porcentual 6" xfId="115"/>
    <cellStyle name="Porcentual 7" xfId="116"/>
    <cellStyle name="Porcentual 8" xfId="117"/>
    <cellStyle name="Salida" xfId="118"/>
    <cellStyle name="Texto de advertencia" xfId="119"/>
    <cellStyle name="Texto explicativo" xfId="120"/>
    <cellStyle name="Title" xfId="121"/>
    <cellStyle name="Título" xfId="122"/>
    <cellStyle name="Título 2" xfId="123"/>
    <cellStyle name="Título 3" xfId="124"/>
    <cellStyle name="Título 3 2" xfId="125"/>
    <cellStyle name="Título 3 3" xfId="126"/>
    <cellStyle name="Título 3 3_Prototipo" xfId="127"/>
    <cellStyle name="Título 3 3_PrototipoRep1" xfId="128"/>
    <cellStyle name="Título 3 4" xfId="129"/>
    <cellStyle name="Título 3 5" xfId="130"/>
    <cellStyle name="Título 3 6" xfId="131"/>
    <cellStyle name="Título 3 7" xfId="132"/>
    <cellStyle name="Título 3 8" xfId="133"/>
    <cellStyle name="Total" xfId="134"/>
    <cellStyle name="Warning Text" xfId="135"/>
  </cellStyles>
  <dxfs count="58">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ill>
        <patternFill>
          <fgColor rgb="FF33CC33"/>
          <bgColor rgb="FF33CC33"/>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29"/>
          <bgColor indexed="10"/>
        </patternFill>
      </fill>
    </dxf>
    <dxf>
      <font>
        <b val="0"/>
        <sz val="11"/>
        <color indexed="8"/>
      </font>
      <fill>
        <patternFill patternType="solid">
          <fgColor indexed="51"/>
          <bgColor indexed="13"/>
        </patternFill>
      </fill>
    </dxf>
    <dxf>
      <font>
        <b val="0"/>
        <sz val="11"/>
        <color indexed="8"/>
      </font>
      <fill>
        <patternFill patternType="solid">
          <fgColor indexed="1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28"/>
          <bgColor indexed="9"/>
        </patternFill>
      </fill>
    </dxf>
    <dxf>
      <font>
        <b val="0"/>
        <sz val="11"/>
        <color indexed="8"/>
      </font>
      <fill>
        <patternFill patternType="solid">
          <fgColor indexed="51"/>
          <bgColor indexed="50"/>
        </patternFill>
      </fill>
    </dxf>
    <dxf>
      <font>
        <b val="0"/>
        <sz val="11"/>
        <color indexed="8"/>
      </font>
      <fill>
        <patternFill patternType="solid">
          <fgColor indexed="10"/>
          <bgColor indexed="61"/>
        </patternFill>
      </fill>
    </dxf>
    <dxf>
      <font>
        <b val="0"/>
        <sz val="11"/>
        <color indexed="9"/>
      </font>
      <fill>
        <patternFill patternType="solid">
          <fgColor indexed="58"/>
          <bgColor indexed="8"/>
        </patternFill>
      </fill>
    </dxf>
    <dxf>
      <fill>
        <patternFill>
          <bgColor indexed="42"/>
        </patternFill>
      </fill>
    </dxf>
    <dxf>
      <font>
        <b val="0"/>
        <sz val="11"/>
        <color indexed="8"/>
      </font>
      <fill>
        <patternFill patternType="solid">
          <fgColor indexed="1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0"/>
          <bgColor indexed="61"/>
        </patternFill>
      </fill>
    </dxf>
    <dxf>
      <font>
        <b val="0"/>
        <sz val="11"/>
        <color indexed="9"/>
      </font>
      <fill>
        <patternFill patternType="solid">
          <fgColor indexed="59"/>
          <bgColor indexed="63"/>
        </patternFill>
      </fill>
    </dxf>
    <dxf>
      <font>
        <b val="0"/>
        <sz val="11"/>
        <color indexed="8"/>
      </font>
      <fill>
        <patternFill patternType="solid">
          <fgColor indexed="27"/>
          <bgColor indexed="42"/>
        </patternFill>
      </fill>
    </dxf>
    <dxf>
      <font>
        <b val="0"/>
        <sz val="11"/>
        <color indexed="8"/>
      </font>
      <fill>
        <patternFill patternType="solid">
          <fgColor indexed="27"/>
          <bgColor indexed="42"/>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rgb="FFFFFFFF"/>
      </font>
      <fill>
        <patternFill patternType="solid">
          <fgColor rgb="FFFF8080"/>
          <bgColor rgb="FFFF7171"/>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000000"/>
      </font>
      <fill>
        <patternFill patternType="solid">
          <fgColor rgb="FFCCFFFF"/>
          <bgColor rgb="FFCCFFCC"/>
        </patternFill>
      </fill>
      <border/>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003300"/>
          <bgColor rgb="FF000000"/>
        </patternFill>
      </fill>
      <border/>
    </dxf>
    <dxf>
      <font>
        <b val="0"/>
        <sz val="11"/>
        <color rgb="FF000000"/>
      </font>
      <fill>
        <patternFill patternType="solid">
          <fgColor rgb="FFFF7171"/>
          <bgColor rgb="FFFF5050"/>
        </patternFill>
      </fill>
      <border/>
    </dxf>
    <dxf>
      <font>
        <b val="0"/>
        <sz val="11"/>
        <color rgb="FF000000"/>
      </font>
      <fill>
        <patternFill patternType="solid">
          <fgColor rgb="FFFFCC00"/>
          <bgColor rgb="FF99CC00"/>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CCC1DA"/>
      <rgbColor rgb="0000FFFF"/>
      <rgbColor rgb="00800000"/>
      <rgbColor rgb="00008000"/>
      <rgbColor rgb="00000080"/>
      <rgbColor rgb="0033CC33"/>
      <rgbColor rgb="00800080"/>
      <rgbColor rgb="000070C0"/>
      <rgbColor rgb="00C0C0C0"/>
      <rgbColor rgb="00808080"/>
      <rgbColor rgb="00A6A6A6"/>
      <rgbColor rgb="00993366"/>
      <rgbColor rgb="00FFFFCC"/>
      <rgbColor rgb="00CCFFFF"/>
      <rgbColor rgb="00FFF8EF"/>
      <rgbColor rgb="00FF8080"/>
      <rgbColor rgb="000066CC"/>
      <rgbColor rgb="00CCCCFF"/>
      <rgbColor rgb="00131312"/>
      <rgbColor rgb="00D9D9D9"/>
      <rgbColor rgb="00FFF88F"/>
      <rgbColor rgb="0093CDDD"/>
      <rgbColor rgb="00BFBFBF"/>
      <rgbColor rgb="00800000"/>
      <rgbColor rgb="00376092"/>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3925"/>
          <c:w val="0.943"/>
          <c:h val="0.77725"/>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1203071</c:v>
                </c:pt>
                <c:pt idx="1">
                  <c:v>3380881</c:v>
                </c:pt>
                <c:pt idx="2">
                  <c:v>5665313</c:v>
                </c:pt>
                <c:pt idx="3">
                  <c:v>8896373</c:v>
                </c:pt>
                <c:pt idx="4">
                  <c:v>10994525</c:v>
                </c:pt>
                <c:pt idx="5">
                  <c:v>12931489</c:v>
                </c:pt>
                <c:pt idx="6">
                  <c:v>0</c:v>
                </c:pt>
                <c:pt idx="7">
                  <c:v>0</c:v>
                </c:pt>
                <c:pt idx="8">
                  <c:v>0</c:v>
                </c:pt>
                <c:pt idx="9">
                  <c:v>0</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4765803</c:v>
                </c:pt>
                <c:pt idx="1">
                  <c:v>4765803</c:v>
                </c:pt>
                <c:pt idx="2">
                  <c:v>6414805</c:v>
                </c:pt>
                <c:pt idx="3">
                  <c:v>9439669</c:v>
                </c:pt>
                <c:pt idx="4">
                  <c:v>9439669</c:v>
                </c:pt>
                <c:pt idx="5">
                  <c:v>9439669</c:v>
                </c:pt>
                <c:pt idx="6">
                  <c:v>0</c:v>
                </c:pt>
                <c:pt idx="7">
                  <c:v>0</c:v>
                </c:pt>
                <c:pt idx="8">
                  <c:v>0</c:v>
                </c:pt>
                <c:pt idx="9">
                  <c:v>0</c:v>
                </c:pt>
                <c:pt idx="10">
                  <c:v>0</c:v>
                </c:pt>
                <c:pt idx="11">
                  <c:v>0</c:v>
                </c:pt>
              </c:numCache>
            </c:numRef>
          </c:val>
        </c:ser>
        <c:gapWidth val="70"/>
        <c:axId val="66304525"/>
        <c:axId val="59869814"/>
      </c:barChart>
      <c:catAx>
        <c:axId val="66304525"/>
        <c:scaling>
          <c:orientation val="minMax"/>
        </c:scaling>
        <c:axPos val="b"/>
        <c:title>
          <c:tx>
            <c:rich>
              <a:bodyPr vert="horz" rot="0" anchor="ctr"/>
              <a:lstStyle/>
              <a:p>
                <a:pPr algn="ctr">
                  <a:defRPr/>
                </a:pPr>
                <a:r>
                  <a:rPr lang="en-US" cap="none" sz="575" b="1" i="0" u="none" baseline="0">
                    <a:solidFill>
                      <a:srgbClr val="000000"/>
                    </a:solidFill>
                  </a:rPr>
                  <a:t>Periodo de referencia</a:t>
                </a:r>
              </a:p>
            </c:rich>
          </c:tx>
          <c:layout>
            <c:manualLayout>
              <c:xMode val="factor"/>
              <c:yMode val="factor"/>
              <c:x val="-0.009"/>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59869814"/>
        <c:crossesAt val="0"/>
        <c:auto val="1"/>
        <c:lblOffset val="100"/>
        <c:tickLblSkip val="1"/>
        <c:noMultiLvlLbl val="0"/>
      </c:catAx>
      <c:valAx>
        <c:axId val="5986981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6304525"/>
        <c:crossesAt val="1"/>
        <c:crossBetween val="between"/>
        <c:dispUnits/>
      </c:valAx>
      <c:spPr>
        <a:solidFill>
          <a:srgbClr val="FFFFFF"/>
        </a:solidFill>
        <a:ln w="3175">
          <a:solidFill>
            <a:srgbClr val="000000"/>
          </a:solidFill>
        </a:ln>
      </c:spPr>
    </c:plotArea>
    <c:legend>
      <c:legendPos val="r"/>
      <c:layout>
        <c:manualLayout>
          <c:xMode val="edge"/>
          <c:yMode val="edge"/>
          <c:x val="0.13"/>
          <c:y val="0.88625"/>
          <c:w val="0.68875"/>
          <c:h val="0.108"/>
        </c:manualLayout>
      </c:layout>
      <c:overlay val="0"/>
      <c:spPr>
        <a:solidFill>
          <a:srgbClr val="FFFFFF"/>
        </a:solidFill>
        <a:ln w="3175">
          <a:solidFill>
            <a:srgbClr val="000000"/>
          </a:solidFill>
        </a:ln>
      </c:spPr>
      <c:txPr>
        <a:bodyPr vert="horz" rot="0"/>
        <a:lstStyle/>
        <a:p>
          <a:pPr>
            <a:defRPr lang="en-US" cap="none" sz="30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7375"/>
          <c:w val="0.919"/>
          <c:h val="0.853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datos'!$H$134:$Q$134</c:f>
              <c:numCache>
                <c:ptCount val="10"/>
                <c:pt idx="0">
                  <c:v>220</c:v>
                </c:pt>
                <c:pt idx="1">
                  <c:v>331</c:v>
                </c:pt>
                <c:pt idx="2">
                  <c:v>279</c:v>
                </c:pt>
                <c:pt idx="3">
                  <c:v>819</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datos'!$H$135:$Q$135</c:f>
              <c:numCache>
                <c:ptCount val="10"/>
                <c:pt idx="0">
                  <c:v>34</c:v>
                </c:pt>
                <c:pt idx="1">
                  <c:v>524</c:v>
                </c:pt>
                <c:pt idx="2">
                  <c:v>280</c:v>
                </c:pt>
                <c:pt idx="3">
                  <c:v>719</c:v>
                </c:pt>
              </c:numCache>
            </c:numRef>
          </c:val>
        </c:ser>
        <c:axId val="28322679"/>
        <c:axId val="53577520"/>
      </c:barChart>
      <c:catAx>
        <c:axId val="2832267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3577520"/>
        <c:crossesAt val="0"/>
        <c:auto val="1"/>
        <c:lblOffset val="100"/>
        <c:tickLblSkip val="1"/>
        <c:noMultiLvlLbl val="0"/>
      </c:catAx>
      <c:valAx>
        <c:axId val="53577520"/>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28322679"/>
        <c:crossesAt val="1"/>
        <c:crossBetween val="between"/>
        <c:dispUnits/>
      </c:valAx>
      <c:spPr>
        <a:noFill/>
        <a:ln>
          <a:noFill/>
        </a:ln>
      </c:spPr>
    </c:plotArea>
    <c:legend>
      <c:legendPos val="r"/>
      <c:layout>
        <c:manualLayout>
          <c:xMode val="edge"/>
          <c:yMode val="edge"/>
          <c:x val="0.26075"/>
          <c:y val="0.84625"/>
          <c:w val="0.33575"/>
          <c:h val="0.0825"/>
        </c:manualLayout>
      </c:layout>
      <c:overlay val="0"/>
      <c:spPr>
        <a:solidFill>
          <a:srgbClr val="FFFFFF"/>
        </a:solid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8575"/>
          <c:w val="0.9365"/>
          <c:h val="0.855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datos'!$H$130:$Q$130</c:f>
              <c:numCache>
                <c:ptCount val="10"/>
                <c:pt idx="0">
                  <c:v>1558</c:v>
                </c:pt>
                <c:pt idx="1">
                  <c:v>2336</c:v>
                </c:pt>
                <c:pt idx="2">
                  <c:v>2878</c:v>
                </c:pt>
                <c:pt idx="3">
                  <c:v>6254</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datos'!$H$131:$Q$131</c:f>
              <c:numCache>
                <c:ptCount val="10"/>
                <c:pt idx="0">
                  <c:v>155</c:v>
                </c:pt>
                <c:pt idx="1">
                  <c:v>3973</c:v>
                </c:pt>
                <c:pt idx="2">
                  <c:v>3198</c:v>
                </c:pt>
                <c:pt idx="3">
                  <c:v>6892</c:v>
                </c:pt>
              </c:numCache>
            </c:numRef>
          </c:val>
        </c:ser>
        <c:axId val="12435633"/>
        <c:axId val="44811834"/>
      </c:barChart>
      <c:catAx>
        <c:axId val="1243563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4811834"/>
        <c:crossesAt val="0"/>
        <c:auto val="1"/>
        <c:lblOffset val="100"/>
        <c:tickLblSkip val="1"/>
        <c:noMultiLvlLbl val="0"/>
      </c:catAx>
      <c:valAx>
        <c:axId val="44811834"/>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2435633"/>
        <c:crossesAt val="1"/>
        <c:crossBetween val="between"/>
        <c:dispUnits/>
      </c:valAx>
      <c:spPr>
        <a:noFill/>
        <a:ln>
          <a:noFill/>
        </a:ln>
      </c:spPr>
    </c:plotArea>
    <c:legend>
      <c:legendPos val="r"/>
      <c:layout>
        <c:manualLayout>
          <c:xMode val="edge"/>
          <c:yMode val="edge"/>
          <c:x val="0.10575"/>
          <c:y val="0.88575"/>
          <c:w val="0.548"/>
          <c:h val="0.07075"/>
        </c:manualLayout>
      </c:layout>
      <c:overlay val="0"/>
      <c:spPr>
        <a:solidFill>
          <a:srgbClr val="FFFFFF"/>
        </a:solid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25"/>
          <c:y val="0.01825"/>
          <c:w val="0.809"/>
          <c:h val="0.9815"/>
        </c:manualLayout>
      </c:layout>
      <c:barChart>
        <c:barDir val="col"/>
        <c:grouping val="stacked"/>
        <c:varyColors val="0"/>
        <c:ser>
          <c:idx val="0"/>
          <c:order val="0"/>
          <c:tx>
            <c:strRef>
              <c:f>Financiamiento!$M$16</c:f>
              <c:strCache>
                <c:ptCount val="1"/>
                <c:pt idx="0">
                  <c:v>Periodo Anterior</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datos'!$B$52:$B$57</c:f>
              <c:strCache>
                <c:ptCount val="6"/>
                <c:pt idx="0">
                  <c:v>Desembolsado por el Fondo Mundial</c:v>
                </c:pt>
                <c:pt idx="1">
                  <c:v>Gasto RP + desembolso a SRs</c:v>
                </c:pt>
                <c:pt idx="2">
                  <c:v>Desembolsado a los subreceptores</c:v>
                </c:pt>
                <c:pt idx="3">
                  <c:v>Gastos de los subreceptores</c:v>
                </c:pt>
                <c:pt idx="4">
                  <c:v>Compromisos al 31 de Diciembre*</c:v>
                </c:pt>
                <c:pt idx="5">
                  <c:v>Saldo en caja*</c:v>
                </c:pt>
              </c:strCache>
            </c:strRef>
          </c:cat>
          <c:val>
            <c:numRef>
              <c:f>'Introducción de datos'!$C$52:$C$57</c:f>
              <c:numCache>
                <c:ptCount val="6"/>
                <c:pt idx="0">
                  <c:v>6414805</c:v>
                </c:pt>
                <c:pt idx="1">
                  <c:v>5197456</c:v>
                </c:pt>
                <c:pt idx="2">
                  <c:v>2457704</c:v>
                </c:pt>
                <c:pt idx="3">
                  <c:v>2206154</c:v>
                </c:pt>
              </c:numCache>
            </c:numRef>
          </c:val>
        </c:ser>
        <c:ser>
          <c:idx val="1"/>
          <c:order val="1"/>
          <c:tx>
            <c:strRef>
              <c:f>Financiamiento!$M$15</c:f>
              <c:strCache>
                <c:ptCount val="1"/>
                <c:pt idx="0">
                  <c:v>Periodo Actual</c:v>
                </c:pt>
              </c:strCache>
            </c:strRef>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datos'!$B$52:$B$57</c:f>
              <c:strCache>
                <c:ptCount val="6"/>
                <c:pt idx="0">
                  <c:v>Desembolsado por el Fondo Mundial</c:v>
                </c:pt>
                <c:pt idx="1">
                  <c:v>Gasto RP + desembolso a SRs</c:v>
                </c:pt>
                <c:pt idx="2">
                  <c:v>Desembolsado a los subreceptores</c:v>
                </c:pt>
                <c:pt idx="3">
                  <c:v>Gastos de los subreceptores</c:v>
                </c:pt>
                <c:pt idx="4">
                  <c:v>Compromisos al 31 de Diciembre*</c:v>
                </c:pt>
                <c:pt idx="5">
                  <c:v>Saldo en caja*</c:v>
                </c:pt>
              </c:strCache>
            </c:strRef>
          </c:cat>
          <c:val>
            <c:numRef>
              <c:f>'Introducción de datos'!$D$52:$D$57</c:f>
              <c:numCache>
                <c:ptCount val="6"/>
                <c:pt idx="0">
                  <c:v>3024864</c:v>
                </c:pt>
                <c:pt idx="1">
                  <c:v>2386762</c:v>
                </c:pt>
                <c:pt idx="2">
                  <c:v>1074093</c:v>
                </c:pt>
                <c:pt idx="3">
                  <c:v>1224132</c:v>
                </c:pt>
                <c:pt idx="4">
                  <c:v>462911</c:v>
                </c:pt>
                <c:pt idx="5">
                  <c:v>1901411</c:v>
                </c:pt>
              </c:numCache>
            </c:numRef>
          </c:val>
        </c:ser>
        <c:overlap val="100"/>
        <c:axId val="1957415"/>
        <c:axId val="17616736"/>
      </c:barChart>
      <c:catAx>
        <c:axId val="195741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17616736"/>
        <c:crossesAt val="0"/>
        <c:auto val="1"/>
        <c:lblOffset val="100"/>
        <c:tickLblSkip val="2"/>
        <c:noMultiLvlLbl val="0"/>
      </c:catAx>
      <c:valAx>
        <c:axId val="17616736"/>
        <c:scaling>
          <c:orientation val="minMax"/>
        </c:scaling>
        <c:axPos val="l"/>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195741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
          <c:y val="0.0755"/>
          <c:w val="0.8445"/>
          <c:h val="0.893"/>
        </c:manualLayout>
      </c:layout>
      <c:barChart>
        <c:barDir val="col"/>
        <c:grouping val="clustered"/>
        <c:varyColors val="0"/>
        <c:ser>
          <c:idx val="0"/>
          <c:order val="0"/>
          <c:tx>
            <c:strRef>
              <c:f>Financiamiento!$C$33</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datos'!$C$39:$C$44</c:f>
              <c:numCache>
                <c:ptCount val="6"/>
                <c:pt idx="0">
                  <c:v>5252248</c:v>
                </c:pt>
                <c:pt idx="1">
                  <c:v>425155</c:v>
                </c:pt>
                <c:pt idx="2">
                  <c:v>3218970</c:v>
                </c:pt>
              </c:numCache>
            </c:numRef>
          </c:val>
        </c:ser>
        <c:ser>
          <c:idx val="1"/>
          <c:order val="1"/>
          <c:tx>
            <c:strRef>
              <c:f>Financiamiento!$C$34</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datos'!$D$39:$D$44</c:f>
              <c:numCache>
                <c:ptCount val="6"/>
                <c:pt idx="0">
                  <c:v>4551856</c:v>
                </c:pt>
                <c:pt idx="1">
                  <c:v>352101</c:v>
                </c:pt>
                <c:pt idx="2">
                  <c:v>2698543</c:v>
                </c:pt>
              </c:numCache>
            </c:numRef>
          </c:val>
        </c:ser>
        <c:axId val="24332897"/>
        <c:axId val="17669482"/>
      </c:barChart>
      <c:catAx>
        <c:axId val="243328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17669482"/>
        <c:crossesAt val="0"/>
        <c:auto val="1"/>
        <c:lblOffset val="100"/>
        <c:tickLblSkip val="1"/>
        <c:noMultiLvlLbl val="0"/>
      </c:catAx>
      <c:valAx>
        <c:axId val="1766948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24332897"/>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21075"/>
          <c:w val="0.9645"/>
          <c:h val="0.673"/>
        </c:manualLayout>
      </c:layout>
      <c:barChart>
        <c:barDir val="bar"/>
        <c:grouping val="percentStacked"/>
        <c:varyColors val="0"/>
        <c:ser>
          <c:idx val="0"/>
          <c:order val="0"/>
          <c:tx>
            <c:strRef>
              <c:f>'Introducción de datos'!$D$81</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datos'!$D$82</c:f>
              <c:numCache>
                <c:ptCount val="1"/>
                <c:pt idx="0">
                  <c:v>6</c:v>
                </c:pt>
              </c:numCache>
            </c:numRef>
          </c:val>
        </c:ser>
        <c:ser>
          <c:idx val="1"/>
          <c:order val="1"/>
          <c:tx>
            <c:strRef>
              <c:f>'Introducción de datos'!$E$81</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datos'!$E$82</c:f>
              <c:numCache>
                <c:ptCount val="1"/>
                <c:pt idx="0">
                  <c:v>0</c:v>
                </c:pt>
              </c:numCache>
            </c:numRef>
          </c:val>
        </c:ser>
        <c:overlap val="100"/>
        <c:gapWidth val="79"/>
        <c:axId val="24807611"/>
        <c:axId val="21941908"/>
      </c:barChart>
      <c:catAx>
        <c:axId val="24807611"/>
        <c:scaling>
          <c:orientation val="minMax"/>
        </c:scaling>
        <c:axPos val="l"/>
        <c:delete val="1"/>
        <c:majorTickMark val="out"/>
        <c:minorTickMark val="none"/>
        <c:tickLblPos val="nextTo"/>
        <c:crossAx val="21941908"/>
        <c:crossesAt val="0"/>
        <c:auto val="1"/>
        <c:lblOffset val="100"/>
        <c:tickLblSkip val="1"/>
        <c:noMultiLvlLbl val="0"/>
      </c:catAx>
      <c:valAx>
        <c:axId val="21941908"/>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4807611"/>
        <c:crosses val="max"/>
        <c:crossBetween val="between"/>
        <c:dispUnits/>
      </c:valAx>
      <c:spPr>
        <a:solidFill>
          <a:srgbClr val="FFFFFF"/>
        </a:solidFill>
        <a:ln w="3175">
          <a:noFill/>
        </a:ln>
      </c:spPr>
    </c:plotArea>
    <c:legend>
      <c:legendPos val="r"/>
      <c:layout>
        <c:manualLayout>
          <c:xMode val="edge"/>
          <c:yMode val="edge"/>
          <c:x val="0.2665"/>
          <c:y val="0.80875"/>
          <c:w val="0.437"/>
          <c:h val="0.176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0275"/>
          <c:w val="0.94725"/>
          <c:h val="0.72175"/>
        </c:manualLayout>
      </c:layout>
      <c:barChart>
        <c:barDir val="col"/>
        <c:grouping val="clustered"/>
        <c:varyColors val="0"/>
        <c:ser>
          <c:idx val="0"/>
          <c:order val="0"/>
          <c:tx>
            <c:strRef>
              <c:f>'Introducción de datos'!$C$86</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datos'!$C$87</c:f>
              <c:numCache>
                <c:ptCount val="1"/>
                <c:pt idx="0">
                  <c:v>11</c:v>
                </c:pt>
              </c:numCache>
            </c:numRef>
          </c:val>
        </c:ser>
        <c:ser>
          <c:idx val="1"/>
          <c:order val="1"/>
          <c:tx>
            <c:strRef>
              <c:f>'Introducción de datos'!$D$86</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datos'!$D$87</c:f>
              <c:numCache>
                <c:ptCount val="1"/>
                <c:pt idx="0">
                  <c:v>11</c:v>
                </c:pt>
              </c:numCache>
            </c:numRef>
          </c:val>
        </c:ser>
        <c:ser>
          <c:idx val="2"/>
          <c:order val="2"/>
          <c:tx>
            <c:strRef>
              <c:f>'Introducción de datos'!$E$86</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datos'!$E$87</c:f>
              <c:numCache>
                <c:ptCount val="1"/>
                <c:pt idx="0">
                  <c:v>10</c:v>
                </c:pt>
              </c:numCache>
            </c:numRef>
          </c:val>
        </c:ser>
        <c:ser>
          <c:idx val="3"/>
          <c:order val="3"/>
          <c:tx>
            <c:strRef>
              <c:f>'Introducción de datos'!$F$86</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datos'!$F$87</c:f>
              <c:numCache>
                <c:ptCount val="1"/>
                <c:pt idx="0">
                  <c:v>10</c:v>
                </c:pt>
              </c:numCache>
            </c:numRef>
          </c:val>
        </c:ser>
        <c:ser>
          <c:idx val="4"/>
          <c:order val="4"/>
          <c:tx>
            <c:strRef>
              <c:f>'Introducción de datos'!$G$86</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datos'!$G$87</c:f>
              <c:numCache>
                <c:ptCount val="1"/>
                <c:pt idx="0">
                  <c:v>10</c:v>
                </c:pt>
              </c:numCache>
            </c:numRef>
          </c:val>
        </c:ser>
        <c:overlap val="-20"/>
        <c:axId val="63259445"/>
        <c:axId val="32464094"/>
      </c:barChart>
      <c:catAx>
        <c:axId val="63259445"/>
        <c:scaling>
          <c:orientation val="minMax"/>
        </c:scaling>
        <c:axPos val="b"/>
        <c:delete val="0"/>
        <c:numFmt formatCode="General" sourceLinked="1"/>
        <c:majorTickMark val="none"/>
        <c:minorTickMark val="none"/>
        <c:tickLblPos val="none"/>
        <c:spPr>
          <a:ln w="3175">
            <a:solidFill>
              <a:srgbClr val="000000"/>
            </a:solidFill>
          </a:ln>
        </c:spPr>
        <c:crossAx val="32464094"/>
        <c:crossesAt val="0"/>
        <c:auto val="0"/>
        <c:lblOffset val="100"/>
        <c:tickLblSkip val="1"/>
        <c:noMultiLvlLbl val="0"/>
      </c:catAx>
      <c:valAx>
        <c:axId val="3246409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259445"/>
        <c:crossesAt val="1"/>
        <c:crossBetween val="between"/>
        <c:dispUnits/>
      </c:valAx>
      <c:spPr>
        <a:noFill/>
        <a:ln>
          <a:noFill/>
        </a:ln>
      </c:spPr>
    </c:plotArea>
    <c:legend>
      <c:legendPos val="r"/>
      <c:layout>
        <c:manualLayout>
          <c:xMode val="edge"/>
          <c:yMode val="edge"/>
          <c:x val="0.00225"/>
          <c:y val="0.76625"/>
          <c:w val="0.89425"/>
          <c:h val="0.087"/>
        </c:manualLayout>
      </c:layout>
      <c:overlay val="0"/>
      <c:spPr>
        <a:no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81"/>
          <c:w val="0.78"/>
          <c:h val="0.758"/>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datos'!$D$75:$D$76</c:f>
              <c:numCache>
                <c:ptCount val="2"/>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datos'!$E$75:$E$76</c:f>
              <c:numCache>
                <c:ptCount val="2"/>
                <c:pt idx="0">
                  <c:v>0</c:v>
                </c:pt>
                <c:pt idx="1">
                  <c:v>0</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datos'!$F$75:$F$76</c:f>
              <c:numCache>
                <c:ptCount val="2"/>
                <c:pt idx="0">
                  <c:v>0</c:v>
                </c:pt>
                <c:pt idx="1">
                  <c:v>0</c:v>
                </c:pt>
              </c:numCache>
            </c:numRef>
          </c:val>
        </c:ser>
        <c:overlap val="100"/>
        <c:gapWidth val="70"/>
        <c:axId val="23741391"/>
        <c:axId val="12345928"/>
      </c:barChart>
      <c:catAx>
        <c:axId val="2374139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345928"/>
        <c:crossesAt val="0"/>
        <c:auto val="1"/>
        <c:lblOffset val="100"/>
        <c:tickLblSkip val="1"/>
        <c:noMultiLvlLbl val="0"/>
      </c:catAx>
      <c:valAx>
        <c:axId val="1234592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741391"/>
        <c:crossesAt val="1"/>
        <c:crossBetween val="between"/>
        <c:dispUnits/>
      </c:valAx>
      <c:spPr>
        <a:noFill/>
        <a:ln>
          <a:noFill/>
        </a:ln>
      </c:spPr>
    </c:plotArea>
    <c:legend>
      <c:legendPos val="r"/>
      <c:layout>
        <c:manualLayout>
          <c:xMode val="edge"/>
          <c:yMode val="edge"/>
          <c:x val="0"/>
          <c:y val="0.69625"/>
          <c:w val="0.985"/>
          <c:h val="0.17025"/>
        </c:manualLayout>
      </c:layout>
      <c:overlay val="0"/>
      <c:spPr>
        <a:no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1335"/>
          <c:w val="0.80875"/>
          <c:h val="0.7215"/>
        </c:manualLayout>
      </c:layout>
      <c:barChart>
        <c:barDir val="bar"/>
        <c:grouping val="percentStacked"/>
        <c:varyColors val="0"/>
        <c:ser>
          <c:idx val="0"/>
          <c:order val="0"/>
          <c:tx>
            <c:strRef>
              <c:f>'Introducción de datos'!$D$91</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datos'!$B$92:$B$93</c:f>
              <c:strCache>
                <c:ptCount val="2"/>
                <c:pt idx="0">
                  <c:v>Sub SR al SR</c:v>
                </c:pt>
                <c:pt idx="1">
                  <c:v>SR al RP</c:v>
                </c:pt>
              </c:strCache>
            </c:strRef>
          </c:cat>
          <c:val>
            <c:numRef>
              <c:f>'Introducción de datos'!$D$92:$D$93</c:f>
              <c:numCache>
                <c:ptCount val="2"/>
                <c:pt idx="0">
                  <c:v>0</c:v>
                </c:pt>
                <c:pt idx="1">
                  <c:v>20</c:v>
                </c:pt>
              </c:numCache>
            </c:numRef>
          </c:val>
        </c:ser>
        <c:ser>
          <c:idx val="1"/>
          <c:order val="1"/>
          <c:tx>
            <c:strRef>
              <c:f>'Introducción de datos'!$E$91</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datos'!$B$92:$B$93</c:f>
              <c:strCache>
                <c:ptCount val="2"/>
                <c:pt idx="0">
                  <c:v>Sub SR al SR</c:v>
                </c:pt>
                <c:pt idx="1">
                  <c:v>SR al RP</c:v>
                </c:pt>
              </c:strCache>
            </c:strRef>
          </c:cat>
          <c:val>
            <c:numRef>
              <c:f>'Introducción de datos'!$E$92:$E$93</c:f>
              <c:numCache>
                <c:ptCount val="2"/>
                <c:pt idx="0">
                  <c:v>0</c:v>
                </c:pt>
                <c:pt idx="1">
                  <c:v>0</c:v>
                </c:pt>
              </c:numCache>
            </c:numRef>
          </c:val>
        </c:ser>
        <c:overlap val="100"/>
        <c:gapWidth val="79"/>
        <c:axId val="44004489"/>
        <c:axId val="60496082"/>
      </c:barChart>
      <c:catAx>
        <c:axId val="4400448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60496082"/>
        <c:crossesAt val="0"/>
        <c:auto val="1"/>
        <c:lblOffset val="100"/>
        <c:tickLblSkip val="1"/>
        <c:noMultiLvlLbl val="0"/>
      </c:catAx>
      <c:valAx>
        <c:axId val="60496082"/>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44004489"/>
        <c:crosses val="max"/>
        <c:crossBetween val="between"/>
        <c:dispUnits/>
      </c:valAx>
      <c:spPr>
        <a:solidFill>
          <a:srgbClr val="FFFFFF"/>
        </a:solidFill>
        <a:ln w="3175">
          <a:noFill/>
        </a:ln>
      </c:spPr>
    </c:plotArea>
    <c:legend>
      <c:legendPos val="r"/>
      <c:layout>
        <c:manualLayout>
          <c:xMode val="edge"/>
          <c:yMode val="edge"/>
          <c:x val="0.33175"/>
          <c:y val="0.827"/>
          <c:w val="0.3115"/>
          <c:h val="0.124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09325"/>
          <c:w val="0.875"/>
          <c:h val="0.66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datos'!$C$102:$N$102</c:f>
              <c:numCache>
                <c:ptCount val="12"/>
                <c:pt idx="0">
                  <c:v>0</c:v>
                </c:pt>
                <c:pt idx="1">
                  <c:v>160268</c:v>
                </c:pt>
                <c:pt idx="2">
                  <c:v>160268</c:v>
                </c:pt>
                <c:pt idx="3">
                  <c:v>1190096</c:v>
                </c:pt>
                <c:pt idx="4">
                  <c:v>1202096</c:v>
                </c:pt>
                <c:pt idx="5">
                  <c:v>1202096</c:v>
                </c:pt>
                <c:pt idx="6">
                  <c:v>1202096</c:v>
                </c:pt>
                <c:pt idx="7">
                  <c:v>1202096</c:v>
                </c:pt>
                <c:pt idx="8">
                  <c:v>1202096</c:v>
                </c:pt>
                <c:pt idx="9">
                  <c:v>1202096</c:v>
                </c:pt>
                <c:pt idx="10">
                  <c:v>1202096</c:v>
                </c:pt>
                <c:pt idx="11">
                  <c:v>1202096</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datos'!$C$103:$N$103</c:f>
              <c:numCache>
                <c:ptCount val="12"/>
                <c:pt idx="0">
                  <c:v>0</c:v>
                </c:pt>
                <c:pt idx="1">
                  <c:v>0</c:v>
                </c:pt>
                <c:pt idx="2">
                  <c:v>0</c:v>
                </c:pt>
                <c:pt idx="3">
                  <c:v>48622</c:v>
                </c:pt>
                <c:pt idx="4">
                  <c:v>62482</c:v>
                </c:pt>
                <c:pt idx="5">
                  <c:v>62482</c:v>
                </c:pt>
                <c:pt idx="6">
                  <c:v>62482</c:v>
                </c:pt>
                <c:pt idx="7">
                  <c:v>62482</c:v>
                </c:pt>
                <c:pt idx="8">
                  <c:v>62482</c:v>
                </c:pt>
                <c:pt idx="9">
                  <c:v>62482</c:v>
                </c:pt>
                <c:pt idx="10">
                  <c:v>62482</c:v>
                </c:pt>
                <c:pt idx="11">
                  <c:v>62482</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datos'!$C$104:$N$104</c:f>
              <c:numCache>
                <c:ptCount val="12"/>
                <c:pt idx="0">
                  <c:v>0</c:v>
                </c:pt>
                <c:pt idx="1">
                  <c:v>160268</c:v>
                </c:pt>
                <c:pt idx="2">
                  <c:v>160268</c:v>
                </c:pt>
                <c:pt idx="3">
                  <c:v>856373</c:v>
                </c:pt>
                <c:pt idx="4">
                  <c:v>856373</c:v>
                </c:pt>
                <c:pt idx="5">
                  <c:v>856373</c:v>
                </c:pt>
                <c:pt idx="6">
                  <c:v>856373</c:v>
                </c:pt>
                <c:pt idx="7">
                  <c:v>856373</c:v>
                </c:pt>
                <c:pt idx="8">
                  <c:v>856373</c:v>
                </c:pt>
                <c:pt idx="9">
                  <c:v>856373</c:v>
                </c:pt>
                <c:pt idx="10">
                  <c:v>856373</c:v>
                </c:pt>
                <c:pt idx="11">
                  <c:v>856373</c:v>
                </c:pt>
              </c:numCache>
            </c:numRef>
          </c:val>
          <c:smooth val="0"/>
        </c:ser>
        <c:marker val="1"/>
        <c:axId val="7593827"/>
        <c:axId val="1235580"/>
      </c:lineChart>
      <c:catAx>
        <c:axId val="75938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1235580"/>
        <c:crossesAt val="0"/>
        <c:auto val="1"/>
        <c:lblOffset val="100"/>
        <c:tickLblSkip val="1"/>
        <c:noMultiLvlLbl val="0"/>
      </c:catAx>
      <c:valAx>
        <c:axId val="12355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7593827"/>
        <c:crossesAt val="1"/>
        <c:crossBetween val="midCat"/>
        <c:dispUnits/>
      </c:valAx>
      <c:spPr>
        <a:solidFill>
          <a:srgbClr val="FFFFFF"/>
        </a:solidFill>
        <a:ln w="12700">
          <a:solidFill>
            <a:srgbClr val="808080"/>
          </a:solidFill>
        </a:ln>
      </c:spPr>
    </c:plotArea>
    <c:legend>
      <c:legendPos val="r"/>
      <c:layout>
        <c:manualLayout>
          <c:xMode val="edge"/>
          <c:yMode val="edge"/>
          <c:x val="0"/>
          <c:y val="0.67575"/>
          <c:w val="0.879"/>
          <c:h val="0.2035"/>
        </c:manualLayout>
      </c:layout>
      <c:overlay val="0"/>
      <c:spPr>
        <a:noFill/>
        <a:ln w="3175">
          <a:noFill/>
        </a:ln>
      </c:spPr>
      <c:txPr>
        <a:bodyPr vert="horz" rot="0"/>
        <a:lstStyle/>
        <a:p>
          <a:pPr>
            <a:defRPr lang="en-US" cap="none" sz="45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075"/>
          <c:w val="0.86275"/>
          <c:h val="0.828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datos'!$H$132:$Q$132</c:f>
              <c:numCache>
                <c:ptCount val="10"/>
                <c:pt idx="0">
                  <c:v>1171</c:v>
                </c:pt>
                <c:pt idx="1">
                  <c:v>1175</c:v>
                </c:pt>
                <c:pt idx="2">
                  <c:v>2196</c:v>
                </c:pt>
                <c:pt idx="3">
                  <c:v>4754</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datos'!$H$133:$Q$133</c:f>
              <c:numCache>
                <c:ptCount val="10"/>
                <c:pt idx="0">
                  <c:v>44</c:v>
                </c:pt>
                <c:pt idx="1">
                  <c:v>2918</c:v>
                </c:pt>
                <c:pt idx="2">
                  <c:v>2582</c:v>
                </c:pt>
                <c:pt idx="3">
                  <c:v>4017</c:v>
                </c:pt>
              </c:numCache>
            </c:numRef>
          </c:val>
        </c:ser>
        <c:axId val="11120221"/>
        <c:axId val="32973126"/>
      </c:barChart>
      <c:catAx>
        <c:axId val="1112022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2973126"/>
        <c:crossesAt val="0"/>
        <c:auto val="1"/>
        <c:lblOffset val="100"/>
        <c:tickLblSkip val="1"/>
        <c:noMultiLvlLbl val="0"/>
      </c:catAx>
      <c:valAx>
        <c:axId val="32973126"/>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1120221"/>
        <c:crossesAt val="1"/>
        <c:crossBetween val="between"/>
        <c:dispUnits/>
      </c:valAx>
      <c:spPr>
        <a:noFill/>
        <a:ln>
          <a:noFill/>
        </a:ln>
      </c:spPr>
    </c:plotArea>
    <c:legend>
      <c:legendPos val="r"/>
      <c:layout>
        <c:manualLayout>
          <c:xMode val="edge"/>
          <c:yMode val="edge"/>
          <c:x val="0.11425"/>
          <c:y val="0.8805"/>
          <c:w val="0.5475"/>
          <c:h val="0.07075"/>
        </c:manualLayout>
      </c:layout>
      <c:overlay val="0"/>
      <c:spPr>
        <a:solidFill>
          <a:srgbClr val="FFFFFF"/>
        </a:solid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hyperlink" Target="#Men&#250;!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533400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543800" cy="2819400"/>
        </a:xfrm>
        <a:prstGeom prst="rect">
          <a:avLst/>
        </a:prstGeom>
        <a:noFill/>
        <a:ln w="9525" cmpd="sng">
          <a:noFill/>
        </a:ln>
      </xdr:spPr>
    </xdr:pic>
    <xdr:clientData/>
  </xdr:twoCellAnchor>
  <xdr:twoCellAnchor>
    <xdr:from>
      <xdr:col>7</xdr:col>
      <xdr:colOff>685800</xdr:colOff>
      <xdr:row>7</xdr:row>
      <xdr:rowOff>47625</xdr:rowOff>
    </xdr:from>
    <xdr:to>
      <xdr:col>11</xdr:col>
      <xdr:colOff>447675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16217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B24B48"/>
            </a:gs>
            <a:gs pos="100000">
              <a:srgbClr val="D48886"/>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590550</xdr:colOff>
      <xdr:row>12</xdr:row>
      <xdr:rowOff>38100</xdr:rowOff>
    </xdr:to>
    <xdr:sp>
      <xdr:nvSpPr>
        <xdr:cNvPr id="4" name="AutoShape 26"/>
        <xdr:cNvSpPr>
          <a:spLocks/>
        </xdr:cNvSpPr>
      </xdr:nvSpPr>
      <xdr:spPr>
        <a:xfrm>
          <a:off x="3409950" y="24288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10</xdr:row>
      <xdr:rowOff>85725</xdr:rowOff>
    </xdr:from>
    <xdr:to>
      <xdr:col>6</xdr:col>
      <xdr:colOff>581025</xdr:colOff>
      <xdr:row>12</xdr:row>
      <xdr:rowOff>0</xdr:rowOff>
    </xdr:to>
    <xdr:sp>
      <xdr:nvSpPr>
        <xdr:cNvPr id="5" name="AutoShape 27">
          <a:hlinkClick r:id="rId3"/>
        </xdr:cNvPr>
        <xdr:cNvSpPr>
          <a:spLocks/>
        </xdr:cNvSpPr>
      </xdr:nvSpPr>
      <xdr:spPr>
        <a:xfrm>
          <a:off x="3438525" y="2466975"/>
          <a:ext cx="1028700"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66675</xdr:rowOff>
    </xdr:to>
    <xdr:sp>
      <xdr:nvSpPr>
        <xdr:cNvPr id="6" name="Freeform 28"/>
        <xdr:cNvSpPr>
          <a:spLocks/>
        </xdr:cNvSpPr>
      </xdr:nvSpPr>
      <xdr:spPr>
        <a:xfrm>
          <a:off x="3438525" y="2486025"/>
          <a:ext cx="104775"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171450</xdr:rowOff>
    </xdr:from>
    <xdr:to>
      <xdr:col>6</xdr:col>
      <xdr:colOff>609600</xdr:colOff>
      <xdr:row>17</xdr:row>
      <xdr:rowOff>161925</xdr:rowOff>
    </xdr:to>
    <xdr:sp>
      <xdr:nvSpPr>
        <xdr:cNvPr id="7" name="AutoShape 26"/>
        <xdr:cNvSpPr>
          <a:spLocks/>
        </xdr:cNvSpPr>
      </xdr:nvSpPr>
      <xdr:spPr>
        <a:xfrm>
          <a:off x="3429000" y="3505200"/>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38100</xdr:rowOff>
    </xdr:from>
    <xdr:to>
      <xdr:col>6</xdr:col>
      <xdr:colOff>619125</xdr:colOff>
      <xdr:row>17</xdr:row>
      <xdr:rowOff>123825</xdr:rowOff>
    </xdr:to>
    <xdr:sp>
      <xdr:nvSpPr>
        <xdr:cNvPr id="8" name="AutoShape 27">
          <a:hlinkClick r:id="rId4"/>
        </xdr:cNvPr>
        <xdr:cNvSpPr>
          <a:spLocks/>
        </xdr:cNvSpPr>
      </xdr:nvSpPr>
      <xdr:spPr>
        <a:xfrm>
          <a:off x="3448050" y="3562350"/>
          <a:ext cx="1057275" cy="27622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466725</xdr:colOff>
      <xdr:row>16</xdr:row>
      <xdr:rowOff>190500</xdr:rowOff>
    </xdr:to>
    <xdr:sp>
      <xdr:nvSpPr>
        <xdr:cNvPr id="9" name="Freeform 28"/>
        <xdr:cNvSpPr>
          <a:spLocks/>
        </xdr:cNvSpPr>
      </xdr:nvSpPr>
      <xdr:spPr>
        <a:xfrm>
          <a:off x="3476625" y="355282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9525</xdr:rowOff>
    </xdr:from>
    <xdr:to>
      <xdr:col>6</xdr:col>
      <xdr:colOff>590550</xdr:colOff>
      <xdr:row>15</xdr:row>
      <xdr:rowOff>0</xdr:rowOff>
    </xdr:to>
    <xdr:sp>
      <xdr:nvSpPr>
        <xdr:cNvPr id="10" name="AutoShape 26"/>
        <xdr:cNvSpPr>
          <a:spLocks/>
        </xdr:cNvSpPr>
      </xdr:nvSpPr>
      <xdr:spPr>
        <a:xfrm>
          <a:off x="3409950" y="29622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13</xdr:row>
      <xdr:rowOff>38100</xdr:rowOff>
    </xdr:from>
    <xdr:to>
      <xdr:col>6</xdr:col>
      <xdr:colOff>581025</xdr:colOff>
      <xdr:row>14</xdr:row>
      <xdr:rowOff>161925</xdr:rowOff>
    </xdr:to>
    <xdr:sp>
      <xdr:nvSpPr>
        <xdr:cNvPr id="11" name="AutoShape 27">
          <a:hlinkClick r:id="rId5"/>
        </xdr:cNvPr>
        <xdr:cNvSpPr>
          <a:spLocks/>
        </xdr:cNvSpPr>
      </xdr:nvSpPr>
      <xdr:spPr>
        <a:xfrm>
          <a:off x="3438525" y="2990850"/>
          <a:ext cx="1028700" cy="31432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352425</xdr:colOff>
      <xdr:row>5</xdr:row>
      <xdr:rowOff>0</xdr:rowOff>
    </xdr:from>
    <xdr:to>
      <xdr:col>7</xdr:col>
      <xdr:colOff>390525</xdr:colOff>
      <xdr:row>6</xdr:row>
      <xdr:rowOff>47625</xdr:rowOff>
    </xdr:to>
    <xdr:sp>
      <xdr:nvSpPr>
        <xdr:cNvPr id="13" name="Rectangle 803"/>
        <xdr:cNvSpPr>
          <a:spLocks/>
        </xdr:cNvSpPr>
      </xdr:nvSpPr>
      <xdr:spPr>
        <a:xfrm>
          <a:off x="2714625" y="1428750"/>
          <a:ext cx="2324100"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295275</xdr:colOff>
      <xdr:row>11</xdr:row>
      <xdr:rowOff>0</xdr:rowOff>
    </xdr:from>
    <xdr:to>
      <xdr:col>11</xdr:col>
      <xdr:colOff>133350</xdr:colOff>
      <xdr:row>13</xdr:row>
      <xdr:rowOff>28575</xdr:rowOff>
    </xdr:to>
    <xdr:sp>
      <xdr:nvSpPr>
        <xdr:cNvPr id="14" name="AutoShape 30"/>
        <xdr:cNvSpPr>
          <a:spLocks/>
        </xdr:cNvSpPr>
      </xdr:nvSpPr>
      <xdr:spPr>
        <a:xfrm>
          <a:off x="5705475" y="257175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361950</xdr:colOff>
      <xdr:row>11</xdr:row>
      <xdr:rowOff>47625</xdr:rowOff>
    </xdr:from>
    <xdr:to>
      <xdr:col>11</xdr:col>
      <xdr:colOff>114300</xdr:colOff>
      <xdr:row>13</xdr:row>
      <xdr:rowOff>0</xdr:rowOff>
    </xdr:to>
    <xdr:sp>
      <xdr:nvSpPr>
        <xdr:cNvPr id="15" name="AutoShape 31">
          <a:hlinkClick r:id="rId6"/>
        </xdr:cNvPr>
        <xdr:cNvSpPr>
          <a:spLocks/>
        </xdr:cNvSpPr>
      </xdr:nvSpPr>
      <xdr:spPr>
        <a:xfrm>
          <a:off x="5772150" y="2619375"/>
          <a:ext cx="139065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66675</xdr:rowOff>
    </xdr:from>
    <xdr:to>
      <xdr:col>8</xdr:col>
      <xdr:colOff>495300</xdr:colOff>
      <xdr:row>12</xdr:row>
      <xdr:rowOff>47625</xdr:rowOff>
    </xdr:to>
    <xdr:sp>
      <xdr:nvSpPr>
        <xdr:cNvPr id="16" name="Freeform 32"/>
        <xdr:cNvSpPr>
          <a:spLocks/>
        </xdr:cNvSpPr>
      </xdr:nvSpPr>
      <xdr:spPr>
        <a:xfrm>
          <a:off x="5762625" y="263842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7</xdr:row>
      <xdr:rowOff>85725</xdr:rowOff>
    </xdr:from>
    <xdr:to>
      <xdr:col>4</xdr:col>
      <xdr:colOff>104775</xdr:colOff>
      <xdr:row>18</xdr:row>
      <xdr:rowOff>114300</xdr:rowOff>
    </xdr:to>
    <xdr:sp>
      <xdr:nvSpPr>
        <xdr:cNvPr id="17" name="AutoShape 31"/>
        <xdr:cNvSpPr>
          <a:spLocks/>
        </xdr:cNvSpPr>
      </xdr:nvSpPr>
      <xdr:spPr>
        <a:xfrm>
          <a:off x="323850" y="1895475"/>
          <a:ext cx="2143125" cy="2124075"/>
        </a:xfrm>
        <a:prstGeom prst="roundRect">
          <a:avLst/>
        </a:prstGeom>
        <a:gradFill rotWithShape="1">
          <a:gsLst>
            <a:gs pos="0">
              <a:srgbClr val="4C7BB4"/>
            </a:gs>
            <a:gs pos="100000">
              <a:srgbClr val="87AFD3"/>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14</xdr:row>
      <xdr:rowOff>57150</xdr:rowOff>
    </xdr:from>
    <xdr:to>
      <xdr:col>11</xdr:col>
      <xdr:colOff>123825</xdr:colOff>
      <xdr:row>16</xdr:row>
      <xdr:rowOff>85725</xdr:rowOff>
    </xdr:to>
    <xdr:sp>
      <xdr:nvSpPr>
        <xdr:cNvPr id="19" name="AutoShape 30"/>
        <xdr:cNvSpPr>
          <a:spLocks/>
        </xdr:cNvSpPr>
      </xdr:nvSpPr>
      <xdr:spPr>
        <a:xfrm>
          <a:off x="5695950" y="320040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333375</xdr:colOff>
      <xdr:row>14</xdr:row>
      <xdr:rowOff>114300</xdr:rowOff>
    </xdr:from>
    <xdr:to>
      <xdr:col>11</xdr:col>
      <xdr:colOff>76200</xdr:colOff>
      <xdr:row>16</xdr:row>
      <xdr:rowOff>76200</xdr:rowOff>
    </xdr:to>
    <xdr:sp>
      <xdr:nvSpPr>
        <xdr:cNvPr id="20" name="AutoShape 31">
          <a:hlinkClick r:id="rId7"/>
        </xdr:cNvPr>
        <xdr:cNvSpPr>
          <a:spLocks/>
        </xdr:cNvSpPr>
      </xdr:nvSpPr>
      <xdr:spPr>
        <a:xfrm>
          <a:off x="5743575" y="3257550"/>
          <a:ext cx="1381125" cy="342900"/>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123825</xdr:rowOff>
    </xdr:from>
    <xdr:to>
      <xdr:col>8</xdr:col>
      <xdr:colOff>476250</xdr:colOff>
      <xdr:row>15</xdr:row>
      <xdr:rowOff>104775</xdr:rowOff>
    </xdr:to>
    <xdr:sp>
      <xdr:nvSpPr>
        <xdr:cNvPr id="21" name="Freeform 32"/>
        <xdr:cNvSpPr>
          <a:spLocks/>
        </xdr:cNvSpPr>
      </xdr:nvSpPr>
      <xdr:spPr>
        <a:xfrm>
          <a:off x="5743575" y="326707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15</xdr:row>
      <xdr:rowOff>133350</xdr:rowOff>
    </xdr:from>
    <xdr:to>
      <xdr:col>3</xdr:col>
      <xdr:colOff>495300</xdr:colOff>
      <xdr:row>18</xdr:row>
      <xdr:rowOff>19050</xdr:rowOff>
    </xdr:to>
    <xdr:sp>
      <xdr:nvSpPr>
        <xdr:cNvPr id="22" name="AutoShape 30"/>
        <xdr:cNvSpPr>
          <a:spLocks/>
        </xdr:cNvSpPr>
      </xdr:nvSpPr>
      <xdr:spPr>
        <a:xfrm>
          <a:off x="590550" y="3467100"/>
          <a:ext cx="1504950" cy="457200"/>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180975</xdr:rowOff>
    </xdr:from>
    <xdr:to>
      <xdr:col>3</xdr:col>
      <xdr:colOff>476250</xdr:colOff>
      <xdr:row>17</xdr:row>
      <xdr:rowOff>190500</xdr:rowOff>
    </xdr:to>
    <xdr:sp>
      <xdr:nvSpPr>
        <xdr:cNvPr id="23" name="AutoShape 31">
          <a:hlinkClick r:id="rId8"/>
        </xdr:cNvPr>
        <xdr:cNvSpPr>
          <a:spLocks/>
        </xdr:cNvSpPr>
      </xdr:nvSpPr>
      <xdr:spPr>
        <a:xfrm>
          <a:off x="628650" y="3514725"/>
          <a:ext cx="1447800" cy="390525"/>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10</xdr:row>
      <xdr:rowOff>28575</xdr:rowOff>
    </xdr:from>
    <xdr:to>
      <xdr:col>3</xdr:col>
      <xdr:colOff>495300</xdr:colOff>
      <xdr:row>12</xdr:row>
      <xdr:rowOff>19050</xdr:rowOff>
    </xdr:to>
    <xdr:sp>
      <xdr:nvSpPr>
        <xdr:cNvPr id="25" name="AutoShape 30"/>
        <xdr:cNvSpPr>
          <a:spLocks/>
        </xdr:cNvSpPr>
      </xdr:nvSpPr>
      <xdr:spPr>
        <a:xfrm>
          <a:off x="590550" y="24098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76200</xdr:rowOff>
    </xdr:from>
    <xdr:to>
      <xdr:col>3</xdr:col>
      <xdr:colOff>476250</xdr:colOff>
      <xdr:row>11</xdr:row>
      <xdr:rowOff>190500</xdr:rowOff>
    </xdr:to>
    <xdr:sp>
      <xdr:nvSpPr>
        <xdr:cNvPr id="26" name="AutoShape 31">
          <a:hlinkClick r:id="rId9"/>
        </xdr:cNvPr>
        <xdr:cNvSpPr>
          <a:spLocks/>
        </xdr:cNvSpPr>
      </xdr:nvSpPr>
      <xdr:spPr>
        <a:xfrm>
          <a:off x="628650" y="2457450"/>
          <a:ext cx="1447800"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714375</xdr:colOff>
      <xdr:row>11</xdr:row>
      <xdr:rowOff>57150</xdr:rowOff>
    </xdr:to>
    <xdr:sp>
      <xdr:nvSpPr>
        <xdr:cNvPr id="27" name="Freeform 32"/>
        <xdr:cNvSpPr>
          <a:spLocks/>
        </xdr:cNvSpPr>
      </xdr:nvSpPr>
      <xdr:spPr>
        <a:xfrm>
          <a:off x="647700" y="24669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12</xdr:row>
      <xdr:rowOff>180975</xdr:rowOff>
    </xdr:from>
    <xdr:to>
      <xdr:col>3</xdr:col>
      <xdr:colOff>495300</xdr:colOff>
      <xdr:row>14</xdr:row>
      <xdr:rowOff>171450</xdr:rowOff>
    </xdr:to>
    <xdr:sp>
      <xdr:nvSpPr>
        <xdr:cNvPr id="28" name="AutoShape 30"/>
        <xdr:cNvSpPr>
          <a:spLocks/>
        </xdr:cNvSpPr>
      </xdr:nvSpPr>
      <xdr:spPr>
        <a:xfrm>
          <a:off x="590550" y="29432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476250</xdr:colOff>
      <xdr:row>14</xdr:row>
      <xdr:rowOff>152400</xdr:rowOff>
    </xdr:to>
    <xdr:sp>
      <xdr:nvSpPr>
        <xdr:cNvPr id="29" name="AutoShape 31">
          <a:hlinkClick r:id="rId10"/>
        </xdr:cNvPr>
        <xdr:cNvSpPr>
          <a:spLocks/>
        </xdr:cNvSpPr>
      </xdr:nvSpPr>
      <xdr:spPr>
        <a:xfrm>
          <a:off x="628650" y="2981325"/>
          <a:ext cx="1447800" cy="314325"/>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714375</xdr:colOff>
      <xdr:row>14</xdr:row>
      <xdr:rowOff>19050</xdr:rowOff>
    </xdr:to>
    <xdr:sp>
      <xdr:nvSpPr>
        <xdr:cNvPr id="30" name="Freeform 32"/>
        <xdr:cNvSpPr>
          <a:spLocks/>
        </xdr:cNvSpPr>
      </xdr:nvSpPr>
      <xdr:spPr>
        <a:xfrm>
          <a:off x="647700" y="30003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66675</xdr:rowOff>
    </xdr:from>
    <xdr:to>
      <xdr:col>4</xdr:col>
      <xdr:colOff>104775</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twoCellAnchor>
    <xdr:from>
      <xdr:col>1</xdr:col>
      <xdr:colOff>314325</xdr:colOff>
      <xdr:row>7</xdr:row>
      <xdr:rowOff>114300</xdr:rowOff>
    </xdr:from>
    <xdr:to>
      <xdr:col>4</xdr:col>
      <xdr:colOff>76200</xdr:colOff>
      <xdr:row>10</xdr:row>
      <xdr:rowOff>0</xdr:rowOff>
    </xdr:to>
    <xdr:sp fLocksText="0">
      <xdr:nvSpPr>
        <xdr:cNvPr id="32" name="Text Box 2013"/>
        <xdr:cNvSpPr txBox="1">
          <a:spLocks noChangeArrowheads="1"/>
        </xdr:cNvSpPr>
      </xdr:nvSpPr>
      <xdr:spPr>
        <a:xfrm>
          <a:off x="390525" y="1924050"/>
          <a:ext cx="2047875" cy="457200"/>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247650</xdr:colOff>
      <xdr:row>7</xdr:row>
      <xdr:rowOff>66675</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twoCellAnchor>
    <xdr:from>
      <xdr:col>4</xdr:col>
      <xdr:colOff>619125</xdr:colOff>
      <xdr:row>7</xdr:row>
      <xdr:rowOff>114300</xdr:rowOff>
    </xdr:from>
    <xdr:to>
      <xdr:col>7</xdr:col>
      <xdr:colOff>285750</xdr:colOff>
      <xdr:row>9</xdr:row>
      <xdr:rowOff>114300</xdr:rowOff>
    </xdr:to>
    <xdr:sp fLocksText="0">
      <xdr:nvSpPr>
        <xdr:cNvPr id="34" name="Text Box 2017"/>
        <xdr:cNvSpPr txBox="1">
          <a:spLocks noChangeArrowheads="1"/>
        </xdr:cNvSpPr>
      </xdr:nvSpPr>
      <xdr:spPr>
        <a:xfrm>
          <a:off x="2981325" y="1924050"/>
          <a:ext cx="195262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733425</xdr:colOff>
      <xdr:row>7</xdr:row>
      <xdr:rowOff>76200</xdr:rowOff>
    </xdr:from>
    <xdr:to>
      <xdr:col>11</xdr:col>
      <xdr:colOff>409575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81625" y="1885950"/>
          <a:ext cx="2076450" cy="438150"/>
        </a:xfrm>
        <a:prstGeom prst="rect">
          <a:avLst/>
        </a:prstGeom>
        <a:noFill/>
        <a:ln w="9525" cmpd="sng">
          <a:noFill/>
        </a:ln>
      </xdr:spPr>
    </xdr:pic>
    <xdr:clientData/>
  </xdr:twoCellAnchor>
  <xdr:twoCellAnchor>
    <xdr:from>
      <xdr:col>8</xdr:col>
      <xdr:colOff>76200</xdr:colOff>
      <xdr:row>7</xdr:row>
      <xdr:rowOff>114300</xdr:rowOff>
    </xdr:from>
    <xdr:to>
      <xdr:col>11</xdr:col>
      <xdr:colOff>333375</xdr:colOff>
      <xdr:row>9</xdr:row>
      <xdr:rowOff>114300</xdr:rowOff>
    </xdr:to>
    <xdr:sp fLocksText="0">
      <xdr:nvSpPr>
        <xdr:cNvPr id="36" name="Text Box 2019"/>
        <xdr:cNvSpPr txBox="1">
          <a:spLocks noChangeArrowheads="1"/>
        </xdr:cNvSpPr>
      </xdr:nvSpPr>
      <xdr:spPr>
        <a:xfrm>
          <a:off x="5486400" y="1924050"/>
          <a:ext cx="189547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85725</xdr:rowOff>
    </xdr:to>
    <xdr:pic>
      <xdr:nvPicPr>
        <xdr:cNvPr id="1" name="Picture 2"/>
        <xdr:cNvPicPr preferRelativeResize="1">
          <a:picLocks noChangeAspect="1"/>
        </xdr:cNvPicPr>
      </xdr:nvPicPr>
      <xdr:blipFill>
        <a:blip r:embed="rId1"/>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0</xdr:row>
      <xdr:rowOff>428625</xdr:rowOff>
    </xdr:to>
    <xdr:sp>
      <xdr:nvSpPr>
        <xdr:cNvPr id="1" name="AutoShape 50">
          <a:hlinkClick r:id="rId1"/>
        </xdr:cNvPr>
        <xdr:cNvSpPr>
          <a:spLocks/>
        </xdr:cNvSpPr>
      </xdr:nvSpPr>
      <xdr:spPr>
        <a:xfrm>
          <a:off x="28575" y="28575"/>
          <a:ext cx="1285875" cy="40005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0</xdr:col>
      <xdr:colOff>1190625</xdr:colOff>
      <xdr:row>2</xdr:row>
      <xdr:rowOff>447675</xdr:rowOff>
    </xdr:to>
    <xdr:sp>
      <xdr:nvSpPr>
        <xdr:cNvPr id="1" name="Rectangle 117">
          <a:hlinkClick r:id="rId1"/>
        </xdr:cNvPr>
        <xdr:cNvSpPr>
          <a:spLocks/>
        </xdr:cNvSpPr>
      </xdr:nvSpPr>
      <xdr:spPr>
        <a:xfrm>
          <a:off x="190500" y="590550"/>
          <a:ext cx="100012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76200</xdr:colOff>
      <xdr:row>0</xdr:row>
      <xdr:rowOff>38100</xdr:rowOff>
    </xdr:from>
    <xdr:to>
      <xdr:col>0</xdr:col>
      <xdr:colOff>1000125</xdr:colOff>
      <xdr:row>1</xdr:row>
      <xdr:rowOff>114300</xdr:rowOff>
    </xdr:to>
    <xdr:sp>
      <xdr:nvSpPr>
        <xdr:cNvPr id="2" name="AutoShape 50">
          <a:hlinkClick r:id="rId2"/>
        </xdr:cNvPr>
        <xdr:cNvSpPr>
          <a:spLocks/>
        </xdr:cNvSpPr>
      </xdr:nvSpPr>
      <xdr:spPr>
        <a:xfrm>
          <a:off x="76200" y="38100"/>
          <a:ext cx="923925"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19075" y="542925"/>
          <a:ext cx="9906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53875" y="4743450"/>
          <a:ext cx="0" cy="2314575"/>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0</xdr:row>
      <xdr:rowOff>0</xdr:rowOff>
    </xdr:from>
    <xdr:to>
      <xdr:col>1</xdr:col>
      <xdr:colOff>933450</xdr:colOff>
      <xdr:row>0</xdr:row>
      <xdr:rowOff>333375</xdr:rowOff>
    </xdr:to>
    <xdr:sp>
      <xdr:nvSpPr>
        <xdr:cNvPr id="2" name="AutoShape 50">
          <a:hlinkClick r:id="rId1"/>
        </xdr:cNvPr>
        <xdr:cNvSpPr>
          <a:spLocks/>
        </xdr:cNvSpPr>
      </xdr:nvSpPr>
      <xdr:spPr>
        <a:xfrm>
          <a:off x="171450"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47</xdr:row>
      <xdr:rowOff>38100</xdr:rowOff>
    </xdr:from>
    <xdr:to>
      <xdr:col>6</xdr:col>
      <xdr:colOff>971550</xdr:colOff>
      <xdr:row>48</xdr:row>
      <xdr:rowOff>47625</xdr:rowOff>
    </xdr:to>
    <xdr:grpSp>
      <xdr:nvGrpSpPr>
        <xdr:cNvPr id="3" name="Group 18"/>
        <xdr:cNvGrpSpPr>
          <a:grpSpLocks/>
        </xdr:cNvGrpSpPr>
      </xdr:nvGrpSpPr>
      <xdr:grpSpPr>
        <a:xfrm>
          <a:off x="7953375" y="8524875"/>
          <a:ext cx="4829175" cy="200025"/>
          <a:chOff x="16695" y="12750"/>
          <a:chExt cx="10119" cy="298"/>
        </a:xfrm>
        <a:solidFill>
          <a:srgbClr val="FFFFFF"/>
        </a:solidFill>
      </xdr:grpSpPr>
      <xdr:sp>
        <xdr:nvSpPr>
          <xdr:cNvPr id="4" name="AutoShape 100"/>
          <xdr:cNvSpPr>
            <a:spLocks/>
          </xdr:cNvSpPr>
        </xdr:nvSpPr>
        <xdr:spPr>
          <a:xfrm>
            <a:off x="16723" y="13026"/>
            <a:ext cx="10086"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6695" y="12750"/>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6814" y="12775"/>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6</xdr:col>
      <xdr:colOff>19050</xdr:colOff>
      <xdr:row>20</xdr:row>
      <xdr:rowOff>180975</xdr:rowOff>
    </xdr:to>
    <xdr:graphicFrame>
      <xdr:nvGraphicFramePr>
        <xdr:cNvPr id="1" name="Chart 1"/>
        <xdr:cNvGraphicFramePr/>
      </xdr:nvGraphicFramePr>
      <xdr:xfrm>
        <a:off x="257175" y="3686175"/>
        <a:ext cx="4552950" cy="1762125"/>
      </xdr:xfrm>
      <a:graphic>
        <a:graphicData uri="http://schemas.openxmlformats.org/drawingml/2006/chart">
          <c:chart xmlns:c="http://schemas.openxmlformats.org/drawingml/2006/chart" r:id="rId1"/>
        </a:graphicData>
      </a:graphic>
    </xdr:graphicFrame>
    <xdr:clientData/>
  </xdr:twoCellAnchor>
  <xdr:twoCellAnchor>
    <xdr:from>
      <xdr:col>5</xdr:col>
      <xdr:colOff>895350</xdr:colOff>
      <xdr:row>9</xdr:row>
      <xdr:rowOff>9525</xdr:rowOff>
    </xdr:from>
    <xdr:to>
      <xdr:col>13</xdr:col>
      <xdr:colOff>514350</xdr:colOff>
      <xdr:row>22</xdr:row>
      <xdr:rowOff>76200</xdr:rowOff>
    </xdr:to>
    <xdr:graphicFrame>
      <xdr:nvGraphicFramePr>
        <xdr:cNvPr id="2" name="Chart 2"/>
        <xdr:cNvGraphicFramePr/>
      </xdr:nvGraphicFramePr>
      <xdr:xfrm>
        <a:off x="3819525" y="3590925"/>
        <a:ext cx="6648450" cy="2362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0</xdr:rowOff>
    </xdr:from>
    <xdr:to>
      <xdr:col>5</xdr:col>
      <xdr:colOff>1733550</xdr:colOff>
      <xdr:row>31</xdr:row>
      <xdr:rowOff>38100</xdr:rowOff>
    </xdr:to>
    <xdr:graphicFrame>
      <xdr:nvGraphicFramePr>
        <xdr:cNvPr id="3" name="Chart 3"/>
        <xdr:cNvGraphicFramePr/>
      </xdr:nvGraphicFramePr>
      <xdr:xfrm>
        <a:off x="0" y="7124700"/>
        <a:ext cx="4657725" cy="2019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695325</xdr:colOff>
      <xdr:row>0</xdr:row>
      <xdr:rowOff>333375</xdr:rowOff>
    </xdr:to>
    <xdr:sp>
      <xdr:nvSpPr>
        <xdr:cNvPr id="4" name="AutoShape 50">
          <a:hlinkClick r:id="rId4"/>
        </xdr:cNvPr>
        <xdr:cNvSpPr>
          <a:spLocks/>
        </xdr:cNvSpPr>
      </xdr:nvSpPr>
      <xdr:spPr>
        <a:xfrm>
          <a:off x="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161925</xdr:rowOff>
    </xdr:from>
    <xdr:to>
      <xdr:col>12</xdr:col>
      <xdr:colOff>219075</xdr:colOff>
      <xdr:row>14</xdr:row>
      <xdr:rowOff>152400</xdr:rowOff>
    </xdr:to>
    <xdr:graphicFrame>
      <xdr:nvGraphicFramePr>
        <xdr:cNvPr id="1" name="Chart 1"/>
        <xdr:cNvGraphicFramePr/>
      </xdr:nvGraphicFramePr>
      <xdr:xfrm>
        <a:off x="5705475" y="1924050"/>
        <a:ext cx="5838825" cy="13811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6</xdr:col>
      <xdr:colOff>0</xdr:colOff>
      <xdr:row>25</xdr:row>
      <xdr:rowOff>28575</xdr:rowOff>
    </xdr:to>
    <xdr:graphicFrame>
      <xdr:nvGraphicFramePr>
        <xdr:cNvPr id="2" name="Chart 2"/>
        <xdr:cNvGraphicFramePr/>
      </xdr:nvGraphicFramePr>
      <xdr:xfrm>
        <a:off x="285750" y="3933825"/>
        <a:ext cx="4143375" cy="1838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19050</xdr:rowOff>
    </xdr:from>
    <xdr:to>
      <xdr:col>6</xdr:col>
      <xdr:colOff>95250</xdr:colOff>
      <xdr:row>14</xdr:row>
      <xdr:rowOff>247650</xdr:rowOff>
    </xdr:to>
    <xdr:graphicFrame>
      <xdr:nvGraphicFramePr>
        <xdr:cNvPr id="3" name="Chart 3"/>
        <xdr:cNvGraphicFramePr/>
      </xdr:nvGraphicFramePr>
      <xdr:xfrm>
        <a:off x="0" y="2028825"/>
        <a:ext cx="4524375" cy="1371600"/>
      </xdr:xfrm>
      <a:graphic>
        <a:graphicData uri="http://schemas.openxmlformats.org/drawingml/2006/chart">
          <c:chart xmlns:c="http://schemas.openxmlformats.org/drawingml/2006/chart" r:id="rId3"/>
        </a:graphicData>
      </a:graphic>
    </xdr:graphicFrame>
    <xdr:clientData/>
  </xdr:twoCellAnchor>
  <xdr:twoCellAnchor>
    <xdr:from>
      <xdr:col>6</xdr:col>
      <xdr:colOff>1123950</xdr:colOff>
      <xdr:row>16</xdr:row>
      <xdr:rowOff>9525</xdr:rowOff>
    </xdr:from>
    <xdr:to>
      <xdr:col>13</xdr:col>
      <xdr:colOff>219075</xdr:colOff>
      <xdr:row>25</xdr:row>
      <xdr:rowOff>47625</xdr:rowOff>
    </xdr:to>
    <xdr:graphicFrame>
      <xdr:nvGraphicFramePr>
        <xdr:cNvPr id="4" name="Chart 4"/>
        <xdr:cNvGraphicFramePr/>
      </xdr:nvGraphicFramePr>
      <xdr:xfrm>
        <a:off x="5553075" y="3943350"/>
        <a:ext cx="6600825" cy="184785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6</xdr:col>
      <xdr:colOff>114300</xdr:colOff>
      <xdr:row>35</xdr:row>
      <xdr:rowOff>228600</xdr:rowOff>
    </xdr:to>
    <xdr:graphicFrame>
      <xdr:nvGraphicFramePr>
        <xdr:cNvPr id="5" name="Chart 5"/>
        <xdr:cNvGraphicFramePr/>
      </xdr:nvGraphicFramePr>
      <xdr:xfrm>
        <a:off x="209550" y="6448425"/>
        <a:ext cx="4333875" cy="28479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144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142875</xdr:rowOff>
    </xdr:from>
    <xdr:to>
      <xdr:col>12</xdr:col>
      <xdr:colOff>238125</xdr:colOff>
      <xdr:row>18</xdr:row>
      <xdr:rowOff>19050</xdr:rowOff>
    </xdr:to>
    <xdr:graphicFrame>
      <xdr:nvGraphicFramePr>
        <xdr:cNvPr id="1" name="Chart 1"/>
        <xdr:cNvGraphicFramePr/>
      </xdr:nvGraphicFramePr>
      <xdr:xfrm>
        <a:off x="4400550" y="2724150"/>
        <a:ext cx="4000500" cy="1838325"/>
      </xdr:xfrm>
      <a:graphic>
        <a:graphicData uri="http://schemas.openxmlformats.org/drawingml/2006/chart">
          <c:chart xmlns:c="http://schemas.openxmlformats.org/drawingml/2006/chart" r:id="rId1"/>
        </a:graphicData>
      </a:graphic>
    </xdr:graphicFrame>
    <xdr:clientData/>
  </xdr:twoCellAnchor>
  <xdr:twoCellAnchor>
    <xdr:from>
      <xdr:col>12</xdr:col>
      <xdr:colOff>676275</xdr:colOff>
      <xdr:row>9</xdr:row>
      <xdr:rowOff>200025</xdr:rowOff>
    </xdr:from>
    <xdr:to>
      <xdr:col>19</xdr:col>
      <xdr:colOff>171450</xdr:colOff>
      <xdr:row>18</xdr:row>
      <xdr:rowOff>57150</xdr:rowOff>
    </xdr:to>
    <xdr:graphicFrame>
      <xdr:nvGraphicFramePr>
        <xdr:cNvPr id="2" name="Chart 2"/>
        <xdr:cNvGraphicFramePr/>
      </xdr:nvGraphicFramePr>
      <xdr:xfrm>
        <a:off x="8839200" y="2781300"/>
        <a:ext cx="5162550" cy="1819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895350</xdr:colOff>
      <xdr:row>1</xdr:row>
      <xdr:rowOff>19050</xdr:rowOff>
    </xdr:to>
    <xdr:sp>
      <xdr:nvSpPr>
        <xdr:cNvPr id="3" name="AutoShape 50">
          <a:hlinkClick r:id="rId3"/>
        </xdr:cNvPr>
        <xdr:cNvSpPr>
          <a:spLocks/>
        </xdr:cNvSpPr>
      </xdr:nvSpPr>
      <xdr:spPr>
        <a:xfrm>
          <a:off x="28575" y="19050"/>
          <a:ext cx="8953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2695575"/>
        <a:ext cx="3962400" cy="18383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914400</xdr:colOff>
      <xdr:row>0</xdr:row>
      <xdr:rowOff>381000</xdr:rowOff>
    </xdr:to>
    <xdr:sp>
      <xdr:nvSpPr>
        <xdr:cNvPr id="1" name="AutoShape 50">
          <a:hlinkClick r:id="rId1"/>
        </xdr:cNvPr>
        <xdr:cNvSpPr>
          <a:spLocks/>
        </xdr:cNvSpPr>
      </xdr:nvSpPr>
      <xdr:spPr>
        <a:xfrm>
          <a:off x="47625" y="47625"/>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695325</xdr:colOff>
      <xdr:row>0</xdr:row>
      <xdr:rowOff>352425</xdr:rowOff>
    </xdr:to>
    <xdr:sp>
      <xdr:nvSpPr>
        <xdr:cNvPr id="1" name="AutoShape 50">
          <a:hlinkClick r:id="rId1"/>
        </xdr:cNvPr>
        <xdr:cNvSpPr>
          <a:spLocks/>
        </xdr:cNvSpPr>
      </xdr:nvSpPr>
      <xdr:spPr>
        <a:xfrm>
          <a:off x="28575" y="28575"/>
          <a:ext cx="94297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1">
        <row r="6">
          <cell r="B6" t="str">
            <v>Subvención nº:</v>
          </cell>
          <cell r="C6" t="str">
            <v>FIC-910-G01-H</v>
          </cell>
        </row>
      </sheetData>
      <sheetData sheetId="2">
        <row r="3">
          <cell r="B3" t="str">
            <v>Tablero de mando:  Ficticia - VIH / SIDA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80" zoomScaleNormal="80" zoomScalePageLayoutView="0" workbookViewId="0" topLeftCell="A1">
      <selection activeCell="N7" sqref="N7"/>
    </sheetView>
  </sheetViews>
  <sheetFormatPr defaultColWidth="9.140625" defaultRowHeight="15"/>
  <cols>
    <col min="1" max="1" width="1.1484375" style="0" customWidth="1"/>
    <col min="2" max="10" width="11.421875" style="0" customWidth="1"/>
    <col min="11" max="11" width="1.7109375" style="0" customWidth="1"/>
  </cols>
  <sheetData>
    <row r="1" ht="25.5" customHeight="1"/>
    <row r="2" spans="2:15" ht="36">
      <c r="B2" s="487" t="str">
        <f>+'[1]Información de la subvención'!B3:J3</f>
        <v>Tablero de mando:  Ficticia - VIH / SIDA</v>
      </c>
      <c r="C2" s="487"/>
      <c r="D2" s="487"/>
      <c r="E2" s="487"/>
      <c r="F2" s="487"/>
      <c r="G2" s="487"/>
      <c r="H2" s="487"/>
      <c r="I2" s="487"/>
      <c r="J2" s="487"/>
      <c r="K2" s="487"/>
      <c r="L2" s="487"/>
      <c r="M2" s="1"/>
      <c r="N2" s="1"/>
      <c r="O2" s="1"/>
    </row>
    <row r="4" spans="2:12" ht="21">
      <c r="B4" s="488" t="str">
        <f>+'Introducción de datos'!G6&amp;"  "&amp;+'Introducción de datos'!G8&amp;",  "&amp;+'Introducción de datos'!I8</f>
        <v>VIH / SIDA  Seleccionar,  Seleccionar</v>
      </c>
      <c r="C4" s="488"/>
      <c r="D4" s="488"/>
      <c r="E4" s="488"/>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H21"/>
    </sheetView>
  </sheetViews>
  <sheetFormatPr defaultColWidth="9.14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768" t="str">
        <f>'Información de la subvención'!B3:J3</f>
        <v>Tablero de mando:  El Salvador - VIH / SIDA</v>
      </c>
      <c r="C3" s="768"/>
      <c r="D3" s="768"/>
      <c r="E3" s="768"/>
      <c r="F3" s="768"/>
      <c r="G3" s="768"/>
      <c r="H3" s="768"/>
      <c r="I3" s="248"/>
    </row>
    <row r="6" spans="2:8" ht="18.75">
      <c r="B6" s="769" t="s">
        <v>34</v>
      </c>
      <c r="C6" s="769"/>
      <c r="D6" s="769"/>
      <c r="E6" s="769"/>
      <c r="F6" s="769"/>
      <c r="G6" s="769"/>
      <c r="H6" s="769"/>
    </row>
    <row r="8" spans="2:15" ht="18.75">
      <c r="B8" s="388" t="s">
        <v>35</v>
      </c>
      <c r="C8" s="388" t="s">
        <v>36</v>
      </c>
      <c r="D8" s="388" t="s">
        <v>37</v>
      </c>
      <c r="E8" s="388" t="s">
        <v>38</v>
      </c>
      <c r="F8" s="388" t="s">
        <v>39</v>
      </c>
      <c r="G8" s="388" t="s">
        <v>40</v>
      </c>
      <c r="H8" s="388" t="s">
        <v>41</v>
      </c>
      <c r="I8" s="389" t="s">
        <v>42</v>
      </c>
      <c r="J8" s="389" t="s">
        <v>43</v>
      </c>
      <c r="M8" s="10"/>
      <c r="N8" s="10"/>
      <c r="O8" s="10"/>
    </row>
    <row r="9" spans="2:15" ht="15">
      <c r="B9" s="390" t="s">
        <v>44</v>
      </c>
      <c r="C9" s="390" t="s">
        <v>44</v>
      </c>
      <c r="D9" s="390" t="s">
        <v>44</v>
      </c>
      <c r="E9" s="390" t="s">
        <v>44</v>
      </c>
      <c r="F9" s="390" t="s">
        <v>44</v>
      </c>
      <c r="G9" s="390" t="s">
        <v>44</v>
      </c>
      <c r="H9" s="390" t="s">
        <v>44</v>
      </c>
      <c r="I9" s="391" t="s">
        <v>44</v>
      </c>
      <c r="J9" s="390" t="s">
        <v>44</v>
      </c>
      <c r="M9" s="10"/>
      <c r="N9" s="10"/>
      <c r="O9" s="10"/>
    </row>
    <row r="10" spans="2:15" ht="15">
      <c r="B10" s="392" t="s">
        <v>45</v>
      </c>
      <c r="C10" s="392" t="s">
        <v>205</v>
      </c>
      <c r="D10" s="392" t="s">
        <v>46</v>
      </c>
      <c r="E10" s="392" t="s">
        <v>47</v>
      </c>
      <c r="F10" s="392" t="s">
        <v>16</v>
      </c>
      <c r="G10" s="393" t="s">
        <v>188</v>
      </c>
      <c r="H10" s="394" t="s">
        <v>48</v>
      </c>
      <c r="I10" s="395" t="s">
        <v>270</v>
      </c>
      <c r="J10" s="390" t="s">
        <v>49</v>
      </c>
      <c r="M10" s="10"/>
      <c r="N10" s="10"/>
      <c r="O10" s="10"/>
    </row>
    <row r="11" spans="2:15" ht="15">
      <c r="B11" s="392" t="s">
        <v>50</v>
      </c>
      <c r="C11" s="392" t="s">
        <v>51</v>
      </c>
      <c r="D11" s="392" t="s">
        <v>52</v>
      </c>
      <c r="E11" s="392" t="s">
        <v>183</v>
      </c>
      <c r="F11" s="392" t="s">
        <v>17</v>
      </c>
      <c r="G11" s="393" t="s">
        <v>53</v>
      </c>
      <c r="H11" s="394" t="s">
        <v>54</v>
      </c>
      <c r="I11" s="395" t="s">
        <v>271</v>
      </c>
      <c r="J11" s="390" t="s">
        <v>55</v>
      </c>
      <c r="M11" s="10"/>
      <c r="N11" s="10"/>
      <c r="O11" s="10"/>
    </row>
    <row r="12" spans="2:15" ht="15">
      <c r="B12" s="392" t="s">
        <v>177</v>
      </c>
      <c r="D12" s="392" t="s">
        <v>56</v>
      </c>
      <c r="E12" s="392" t="s">
        <v>57</v>
      </c>
      <c r="F12" s="392" t="s">
        <v>18</v>
      </c>
      <c r="G12" s="393" t="s">
        <v>58</v>
      </c>
      <c r="H12" s="394" t="s">
        <v>59</v>
      </c>
      <c r="I12" s="395" t="s">
        <v>272</v>
      </c>
      <c r="J12" s="390" t="s">
        <v>60</v>
      </c>
      <c r="M12" s="396"/>
      <c r="N12" s="10"/>
      <c r="O12" s="10"/>
    </row>
    <row r="13" spans="2:15" ht="15">
      <c r="B13" s="392" t="s">
        <v>61</v>
      </c>
      <c r="D13" s="392" t="s">
        <v>62</v>
      </c>
      <c r="E13" s="397"/>
      <c r="F13" s="392" t="s">
        <v>19</v>
      </c>
      <c r="G13" s="393" t="s">
        <v>63</v>
      </c>
      <c r="H13" s="394" t="s">
        <v>64</v>
      </c>
      <c r="I13" s="395" t="s">
        <v>273</v>
      </c>
      <c r="J13" s="390" t="s">
        <v>65</v>
      </c>
      <c r="M13" s="396"/>
      <c r="N13" s="10"/>
      <c r="O13" s="10"/>
    </row>
    <row r="14" spans="2:15" ht="15">
      <c r="B14" s="392" t="s">
        <v>66</v>
      </c>
      <c r="D14" s="392" t="s">
        <v>67</v>
      </c>
      <c r="F14" s="392" t="s">
        <v>20</v>
      </c>
      <c r="G14" s="393" t="s">
        <v>68</v>
      </c>
      <c r="H14" s="394" t="s">
        <v>69</v>
      </c>
      <c r="I14" s="395" t="s">
        <v>70</v>
      </c>
      <c r="J14" s="390" t="s">
        <v>71</v>
      </c>
      <c r="M14" s="396"/>
      <c r="N14" s="10"/>
      <c r="O14" s="10"/>
    </row>
    <row r="15" spans="4:15" ht="15">
      <c r="D15" s="392" t="s">
        <v>72</v>
      </c>
      <c r="F15" s="392" t="s">
        <v>21</v>
      </c>
      <c r="H15" s="394" t="s">
        <v>73</v>
      </c>
      <c r="I15" s="395" t="s">
        <v>74</v>
      </c>
      <c r="J15" s="390" t="s">
        <v>75</v>
      </c>
      <c r="M15" s="396"/>
      <c r="N15" s="10"/>
      <c r="O15" s="10"/>
    </row>
    <row r="16" spans="4:15" ht="15">
      <c r="D16" s="392" t="s">
        <v>76</v>
      </c>
      <c r="F16" s="392" t="s">
        <v>22</v>
      </c>
      <c r="H16" s="394" t="s">
        <v>77</v>
      </c>
      <c r="I16" s="395" t="s">
        <v>78</v>
      </c>
      <c r="J16" s="390" t="s">
        <v>79</v>
      </c>
      <c r="M16" s="396"/>
      <c r="N16" s="10"/>
      <c r="O16" s="10"/>
    </row>
    <row r="17" spans="4:15" ht="15">
      <c r="D17" s="392" t="s">
        <v>80</v>
      </c>
      <c r="F17" s="392" t="s">
        <v>23</v>
      </c>
      <c r="H17" s="394" t="s">
        <v>81</v>
      </c>
      <c r="I17" s="395" t="s">
        <v>82</v>
      </c>
      <c r="J17" s="390" t="s">
        <v>83</v>
      </c>
      <c r="M17" s="396"/>
      <c r="N17" s="10"/>
      <c r="O17" s="10"/>
    </row>
    <row r="18" spans="4:15" ht="15">
      <c r="D18" s="392" t="s">
        <v>181</v>
      </c>
      <c r="F18" s="392" t="s">
        <v>209</v>
      </c>
      <c r="H18" s="394" t="s">
        <v>84</v>
      </c>
      <c r="I18" s="395" t="s">
        <v>85</v>
      </c>
      <c r="J18" s="390" t="s">
        <v>86</v>
      </c>
      <c r="M18" s="396"/>
      <c r="N18" s="10"/>
      <c r="O18" s="10"/>
    </row>
    <row r="19" spans="4:15" ht="15">
      <c r="D19" s="392" t="s">
        <v>87</v>
      </c>
      <c r="F19" s="392" t="s">
        <v>210</v>
      </c>
      <c r="H19" s="394" t="s">
        <v>186</v>
      </c>
      <c r="I19" s="395" t="s">
        <v>88</v>
      </c>
      <c r="J19" s="390" t="s">
        <v>89</v>
      </c>
      <c r="M19" s="396"/>
      <c r="N19" s="10"/>
      <c r="O19" s="10"/>
    </row>
    <row r="20" spans="4:15" ht="15">
      <c r="D20" s="398"/>
      <c r="F20" s="392" t="s">
        <v>211</v>
      </c>
      <c r="H20" s="394" t="s">
        <v>90</v>
      </c>
      <c r="I20" s="395" t="s">
        <v>91</v>
      </c>
      <c r="J20" s="390" t="s">
        <v>92</v>
      </c>
      <c r="M20" s="10"/>
      <c r="N20" s="10"/>
      <c r="O20" s="10"/>
    </row>
    <row r="21" spans="4:15" ht="15">
      <c r="D21" s="399"/>
      <c r="F21" s="392" t="s">
        <v>193</v>
      </c>
      <c r="H21" s="399"/>
      <c r="I21" s="395" t="s">
        <v>93</v>
      </c>
      <c r="J21" s="390" t="s">
        <v>94</v>
      </c>
      <c r="M21" s="10"/>
      <c r="N21" s="10"/>
      <c r="O21" s="10"/>
    </row>
    <row r="22" spans="8:15" ht="15">
      <c r="H22" s="399"/>
      <c r="I22" s="395" t="s">
        <v>95</v>
      </c>
      <c r="J22" s="390" t="s">
        <v>96</v>
      </c>
      <c r="M22" s="10"/>
      <c r="N22" s="10"/>
      <c r="O22" s="10"/>
    </row>
    <row r="23" spans="9:15" ht="15">
      <c r="I23" s="395" t="s">
        <v>97</v>
      </c>
      <c r="J23" s="390" t="s">
        <v>98</v>
      </c>
      <c r="M23" s="10"/>
      <c r="N23" s="10"/>
      <c r="O23" s="10"/>
    </row>
    <row r="24" spans="9:15" ht="15">
      <c r="I24" s="395" t="s">
        <v>99</v>
      </c>
      <c r="J24" s="390" t="s">
        <v>100</v>
      </c>
      <c r="M24" s="10"/>
      <c r="N24" s="10"/>
      <c r="O24" s="10"/>
    </row>
    <row r="25" spans="9:10" ht="15">
      <c r="I25" s="400"/>
      <c r="J25" s="390" t="s">
        <v>101</v>
      </c>
    </row>
    <row r="26" spans="9:10" ht="15">
      <c r="I26" s="395" t="s">
        <v>102</v>
      </c>
      <c r="J26" s="390" t="s">
        <v>103</v>
      </c>
    </row>
    <row r="27" spans="9:10" ht="15">
      <c r="I27" s="395" t="s">
        <v>104</v>
      </c>
      <c r="J27" s="390" t="s">
        <v>173</v>
      </c>
    </row>
    <row r="28" spans="9:10" ht="15">
      <c r="I28" s="400" t="s">
        <v>105</v>
      </c>
      <c r="J28" s="390" t="s">
        <v>106</v>
      </c>
    </row>
    <row r="29" spans="9:10" ht="15">
      <c r="I29" s="400" t="s">
        <v>107</v>
      </c>
      <c r="J29" s="390" t="s">
        <v>108</v>
      </c>
    </row>
    <row r="30" spans="9:10" ht="15">
      <c r="I30" s="400" t="s">
        <v>109</v>
      </c>
      <c r="J30" s="390" t="s">
        <v>110</v>
      </c>
    </row>
    <row r="31" ht="15">
      <c r="J31" s="390" t="s">
        <v>111</v>
      </c>
    </row>
    <row r="32" ht="15">
      <c r="J32" s="390" t="s">
        <v>112</v>
      </c>
    </row>
    <row r="33" ht="15">
      <c r="J33" s="390" t="s">
        <v>113</v>
      </c>
    </row>
    <row r="34" ht="15">
      <c r="J34" s="390" t="s">
        <v>114</v>
      </c>
    </row>
    <row r="35" ht="15">
      <c r="J35" s="390" t="s">
        <v>115</v>
      </c>
    </row>
    <row r="36" ht="15">
      <c r="J36" s="390" t="s">
        <v>116</v>
      </c>
    </row>
    <row r="37" ht="15">
      <c r="J37" s="390" t="s">
        <v>117</v>
      </c>
    </row>
    <row r="38" ht="15">
      <c r="J38" s="390" t="s">
        <v>118</v>
      </c>
    </row>
    <row r="39" ht="15">
      <c r="J39" s="390" t="s">
        <v>119</v>
      </c>
    </row>
    <row r="40" ht="15">
      <c r="J40" s="390" t="s">
        <v>120</v>
      </c>
    </row>
    <row r="41" ht="15">
      <c r="J41" s="390" t="s">
        <v>121</v>
      </c>
    </row>
    <row r="42" ht="15">
      <c r="J42" s="390" t="s">
        <v>122</v>
      </c>
    </row>
    <row r="43" ht="15">
      <c r="J43" s="390" t="s">
        <v>123</v>
      </c>
    </row>
    <row r="44" ht="15">
      <c r="J44" s="390" t="s">
        <v>124</v>
      </c>
    </row>
    <row r="45" ht="15">
      <c r="J45" s="390" t="s">
        <v>125</v>
      </c>
    </row>
    <row r="46" ht="15">
      <c r="J46" s="390" t="s">
        <v>126</v>
      </c>
    </row>
    <row r="47" ht="15">
      <c r="J47" s="390" t="s">
        <v>127</v>
      </c>
    </row>
    <row r="48" ht="15">
      <c r="J48" s="390" t="s">
        <v>128</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11.xml><?xml version="1.0" encoding="utf-8"?>
<worksheet xmlns="http://schemas.openxmlformats.org/spreadsheetml/2006/main" xmlns:r="http://schemas.openxmlformats.org/officeDocument/2006/relationships">
  <dimension ref="B3:F12"/>
  <sheetViews>
    <sheetView zoomScalePageLayoutView="0" workbookViewId="0" topLeftCell="A1">
      <selection activeCell="D6" sqref="D6"/>
    </sheetView>
  </sheetViews>
  <sheetFormatPr defaultColWidth="11.421875" defaultRowHeight="15"/>
  <cols>
    <col min="2" max="2" width="22.421875" style="0" customWidth="1"/>
    <col min="3" max="5" width="12.57421875" style="0" customWidth="1"/>
    <col min="6" max="6" width="13.8515625" style="0" customWidth="1"/>
  </cols>
  <sheetData>
    <row r="3" ht="15">
      <c r="B3" t="s">
        <v>336</v>
      </c>
    </row>
    <row r="5" spans="2:6" ht="45">
      <c r="B5" s="434" t="s">
        <v>337</v>
      </c>
      <c r="C5" s="435" t="s">
        <v>339</v>
      </c>
      <c r="D5" s="435" t="s">
        <v>340</v>
      </c>
      <c r="E5" s="435" t="s">
        <v>341</v>
      </c>
      <c r="F5" s="436" t="s">
        <v>344</v>
      </c>
    </row>
    <row r="6" spans="2:6" ht="15">
      <c r="B6" s="434" t="s">
        <v>338</v>
      </c>
      <c r="C6" s="434">
        <v>120</v>
      </c>
      <c r="D6" s="434">
        <v>576</v>
      </c>
      <c r="E6" s="434">
        <v>144</v>
      </c>
      <c r="F6" s="434">
        <f>SUM(C6:E6)</f>
        <v>840</v>
      </c>
    </row>
    <row r="7" spans="2:6" ht="15">
      <c r="B7" s="434" t="s">
        <v>325</v>
      </c>
      <c r="C7" s="434"/>
      <c r="D7" s="434">
        <v>18</v>
      </c>
      <c r="E7" s="434"/>
      <c r="F7" s="434">
        <f>SUM(D7:E7)</f>
        <v>18</v>
      </c>
    </row>
    <row r="10" spans="2:6" ht="46.5" customHeight="1">
      <c r="B10" s="435" t="s">
        <v>342</v>
      </c>
      <c r="C10" s="435" t="s">
        <v>339</v>
      </c>
      <c r="D10" s="435" t="s">
        <v>340</v>
      </c>
      <c r="E10" s="435" t="s">
        <v>341</v>
      </c>
      <c r="F10" s="436" t="s">
        <v>343</v>
      </c>
    </row>
    <row r="11" spans="2:6" ht="15">
      <c r="B11" s="434" t="s">
        <v>338</v>
      </c>
      <c r="C11" s="434">
        <f>120/2</f>
        <v>60</v>
      </c>
      <c r="D11" s="434">
        <f>576/2</f>
        <v>288</v>
      </c>
      <c r="E11" s="434">
        <f>144/2</f>
        <v>72</v>
      </c>
      <c r="F11" s="434">
        <f>SUM(C11:E11)</f>
        <v>420</v>
      </c>
    </row>
    <row r="12" spans="2:6" ht="15">
      <c r="B12" s="434" t="s">
        <v>325</v>
      </c>
      <c r="C12" s="434"/>
      <c r="D12" s="434">
        <f>18/2</f>
        <v>9</v>
      </c>
      <c r="E12" s="434"/>
      <c r="F12" s="434">
        <f>SUM(D12:E12)</f>
        <v>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57" zoomScaleNormal="57" zoomScalePageLayoutView="0" workbookViewId="0" topLeftCell="A1">
      <pane ySplit="2" topLeftCell="A26" activePane="bottomLeft" state="frozen"/>
      <selection pane="topLeft" activeCell="B1" sqref="B1"/>
      <selection pane="bottomLeft" activeCell="M36" sqref="M36"/>
    </sheetView>
  </sheetViews>
  <sheetFormatPr defaultColWidth="9.14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521" t="str">
        <f>+"Cuadro de mando:  "&amp;"  "&amp;+'Introducción de datos'!C4&amp;" - "&amp;'Introducción de datos'!G6</f>
        <v>Cuadro de mando:    El Salvador - VIH / SIDA</v>
      </c>
      <c r="C2" s="521"/>
      <c r="D2" s="521"/>
      <c r="E2" s="521"/>
      <c r="F2" s="521"/>
      <c r="G2" s="521"/>
      <c r="H2" s="521"/>
      <c r="I2" s="521"/>
      <c r="J2" s="521"/>
      <c r="K2" s="521"/>
      <c r="L2" s="521"/>
      <c r="M2" s="521"/>
    </row>
    <row r="3" spans="1:13" ht="15.75" customHeight="1">
      <c r="A3" s="6"/>
      <c r="B3" s="7"/>
      <c r="C3" s="7"/>
      <c r="D3" s="7"/>
      <c r="E3" s="7"/>
      <c r="F3" s="7"/>
      <c r="G3" s="7"/>
      <c r="H3" s="7"/>
      <c r="I3" s="7"/>
      <c r="J3" s="7"/>
      <c r="K3" s="8"/>
      <c r="L3" s="8"/>
      <c r="M3" s="6"/>
    </row>
    <row r="5" spans="2:15" ht="23.25">
      <c r="B5" s="499" t="s">
        <v>129</v>
      </c>
      <c r="C5" s="499"/>
      <c r="D5" s="499"/>
      <c r="E5" s="499"/>
      <c r="F5" s="499"/>
      <c r="G5" s="499"/>
      <c r="H5" s="499"/>
      <c r="I5" s="499"/>
      <c r="J5" s="499"/>
      <c r="K5" s="499"/>
      <c r="L5" s="499"/>
      <c r="M5" s="499"/>
      <c r="N5" s="499"/>
      <c r="O5" s="499"/>
    </row>
    <row r="7" spans="2:15" ht="21">
      <c r="B7" s="522" t="s">
        <v>130</v>
      </c>
      <c r="C7" s="522"/>
      <c r="D7" s="522"/>
      <c r="E7" s="522" t="s">
        <v>131</v>
      </c>
      <c r="F7" s="522"/>
      <c r="G7" s="522"/>
      <c r="H7" s="522"/>
      <c r="I7" s="522"/>
      <c r="J7" s="522" t="s">
        <v>132</v>
      </c>
      <c r="K7" s="522"/>
      <c r="L7" s="522"/>
      <c r="M7" s="522" t="s">
        <v>133</v>
      </c>
      <c r="N7" s="522"/>
      <c r="O7" s="522"/>
    </row>
    <row r="8" spans="2:15" ht="92.25" customHeight="1">
      <c r="B8" s="502" t="str">
        <f>+'Introducción de datos'!B27</f>
        <v>F1: Presupuesto y desembolsos del Fondo Mundial</v>
      </c>
      <c r="C8" s="502"/>
      <c r="D8" s="502"/>
      <c r="E8" s="519" t="s">
        <v>134</v>
      </c>
      <c r="F8" s="519"/>
      <c r="G8" s="519"/>
      <c r="H8" s="519"/>
      <c r="I8" s="519"/>
      <c r="J8" s="520" t="s">
        <v>135</v>
      </c>
      <c r="K8" s="520"/>
      <c r="L8" s="520"/>
      <c r="M8" s="520" t="s">
        <v>136</v>
      </c>
      <c r="N8" s="520"/>
      <c r="O8" s="520"/>
    </row>
    <row r="9" spans="2:15" ht="117.75" customHeight="1">
      <c r="B9" s="502" t="str">
        <f>+'Introducción de datos'!B36</f>
        <v>F2: Presupuesto y gastos reales por objetivo de la subvención</v>
      </c>
      <c r="C9" s="502"/>
      <c r="D9" s="502"/>
      <c r="E9" s="513" t="s">
        <v>137</v>
      </c>
      <c r="F9" s="513"/>
      <c r="G9" s="513"/>
      <c r="H9" s="513"/>
      <c r="I9" s="513"/>
      <c r="J9" s="508" t="s">
        <v>138</v>
      </c>
      <c r="K9" s="508"/>
      <c r="L9" s="508"/>
      <c r="M9" s="508" t="s">
        <v>136</v>
      </c>
      <c r="N9" s="508"/>
      <c r="O9" s="508"/>
    </row>
    <row r="10" spans="2:15" ht="233.25" customHeight="1">
      <c r="B10" s="506" t="str">
        <f>+'Introducción de datos'!B49</f>
        <v>F3: Desembolsos y gastos</v>
      </c>
      <c r="C10" s="506"/>
      <c r="D10" s="506"/>
      <c r="E10" s="513" t="s">
        <v>139</v>
      </c>
      <c r="F10" s="513"/>
      <c r="G10" s="513"/>
      <c r="H10" s="513"/>
      <c r="I10" s="513"/>
      <c r="J10" s="511" t="s">
        <v>140</v>
      </c>
      <c r="K10" s="511"/>
      <c r="L10" s="511"/>
      <c r="M10" s="508" t="s">
        <v>141</v>
      </c>
      <c r="N10" s="508"/>
      <c r="O10" s="508"/>
    </row>
    <row r="11" spans="2:60" ht="279.75" customHeight="1">
      <c r="B11" s="506" t="str">
        <f>+'Introducción de datos'!B61</f>
        <v>F4: Último ciclo de información y desembolso del RP</v>
      </c>
      <c r="C11" s="506"/>
      <c r="D11" s="506"/>
      <c r="E11" s="513" t="s">
        <v>142</v>
      </c>
      <c r="F11" s="513"/>
      <c r="G11" s="513"/>
      <c r="H11" s="513"/>
      <c r="I11" s="513"/>
      <c r="J11" s="511" t="s">
        <v>143</v>
      </c>
      <c r="K11" s="511"/>
      <c r="L11" s="511"/>
      <c r="M11" s="508" t="s">
        <v>144</v>
      </c>
      <c r="N11" s="508"/>
      <c r="O11" s="50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517"/>
      <c r="C12" s="517"/>
      <c r="D12" s="517"/>
      <c r="E12" s="518"/>
      <c r="F12" s="518"/>
      <c r="G12" s="518"/>
      <c r="H12" s="518"/>
      <c r="I12" s="518"/>
      <c r="J12" s="518"/>
      <c r="K12" s="518"/>
      <c r="L12" s="518"/>
      <c r="M12" s="518"/>
      <c r="N12" s="518"/>
      <c r="O12" s="518"/>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515"/>
      <c r="C13" s="515"/>
      <c r="D13" s="515"/>
      <c r="E13" s="516"/>
      <c r="F13" s="516"/>
      <c r="G13" s="516"/>
      <c r="H13" s="516"/>
      <c r="I13" s="516"/>
      <c r="J13" s="516"/>
      <c r="K13" s="516"/>
      <c r="L13" s="516"/>
      <c r="M13" s="516"/>
      <c r="N13" s="516"/>
      <c r="O13" s="516"/>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515"/>
      <c r="C14" s="515"/>
      <c r="D14" s="515"/>
      <c r="E14" s="516"/>
      <c r="F14" s="516"/>
      <c r="G14" s="516"/>
      <c r="H14" s="516"/>
      <c r="I14" s="516"/>
      <c r="J14" s="516"/>
      <c r="K14" s="516"/>
      <c r="L14" s="516"/>
      <c r="M14" s="516"/>
      <c r="N14" s="516"/>
      <c r="O14" s="516"/>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515"/>
      <c r="C15" s="515"/>
      <c r="D15" s="515"/>
      <c r="E15" s="516"/>
      <c r="F15" s="516"/>
      <c r="G15" s="516"/>
      <c r="H15" s="516"/>
      <c r="I15" s="516"/>
      <c r="J15" s="516"/>
      <c r="K15" s="516"/>
      <c r="L15" s="516"/>
      <c r="M15" s="516"/>
      <c r="N15" s="516"/>
      <c r="O15" s="516"/>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99" t="s">
        <v>145</v>
      </c>
      <c r="C16" s="499"/>
      <c r="D16" s="499"/>
      <c r="E16" s="499"/>
      <c r="F16" s="499"/>
      <c r="G16" s="499"/>
      <c r="H16" s="499"/>
      <c r="I16" s="499"/>
      <c r="J16" s="499"/>
      <c r="K16" s="499"/>
      <c r="L16" s="499"/>
      <c r="M16" s="499"/>
      <c r="N16" s="499"/>
      <c r="O16" s="49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14" t="s">
        <v>130</v>
      </c>
      <c r="C18" s="514"/>
      <c r="D18" s="514"/>
      <c r="E18" s="514" t="s">
        <v>131</v>
      </c>
      <c r="F18" s="514"/>
      <c r="G18" s="514"/>
      <c r="H18" s="514"/>
      <c r="I18" s="514"/>
      <c r="J18" s="514" t="s">
        <v>132</v>
      </c>
      <c r="K18" s="514"/>
      <c r="L18" s="514"/>
      <c r="M18" s="514" t="s">
        <v>146</v>
      </c>
      <c r="N18" s="514"/>
      <c r="O18" s="514"/>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502" t="str">
        <f>+'Introducción de datos'!B72</f>
        <v>M1: Estado de las condiciones precedentes y acciones con fecha límite</v>
      </c>
      <c r="C19" s="502"/>
      <c r="D19" s="502"/>
      <c r="E19" s="513" t="s">
        <v>147</v>
      </c>
      <c r="F19" s="513"/>
      <c r="G19" s="513"/>
      <c r="H19" s="513"/>
      <c r="I19" s="513"/>
      <c r="J19" s="508" t="s">
        <v>148</v>
      </c>
      <c r="K19" s="508"/>
      <c r="L19" s="508"/>
      <c r="M19" s="508" t="s">
        <v>149</v>
      </c>
      <c r="N19" s="508"/>
      <c r="O19" s="508"/>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502" t="str">
        <f>+'Introducción de datos'!B79</f>
        <v>M2: Estado de los principales puestos directivos del RP</v>
      </c>
      <c r="C20" s="502"/>
      <c r="D20" s="502"/>
      <c r="E20" s="513" t="s">
        <v>150</v>
      </c>
      <c r="F20" s="513"/>
      <c r="G20" s="513"/>
      <c r="H20" s="513"/>
      <c r="I20" s="513"/>
      <c r="J20" s="508" t="s">
        <v>151</v>
      </c>
      <c r="K20" s="508"/>
      <c r="L20" s="508"/>
      <c r="M20" s="508" t="s">
        <v>152</v>
      </c>
      <c r="N20" s="508"/>
      <c r="O20" s="508"/>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502" t="str">
        <f>+'Introducción de datos'!B84</f>
        <v>M3: Acuerdos contractuales (subreceptores) </v>
      </c>
      <c r="C21" s="502"/>
      <c r="D21" s="502"/>
      <c r="E21" s="512" t="s">
        <v>153</v>
      </c>
      <c r="F21" s="512"/>
      <c r="G21" s="512"/>
      <c r="H21" s="512"/>
      <c r="I21" s="512"/>
      <c r="J21" s="508" t="s">
        <v>154</v>
      </c>
      <c r="K21" s="508"/>
      <c r="L21" s="508"/>
      <c r="M21" s="508" t="s">
        <v>155</v>
      </c>
      <c r="N21" s="508"/>
      <c r="O21" s="508"/>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502" t="str">
        <f>+'Introducción de datos'!B89</f>
        <v>M4: Número de informes completos recibidos a tiempo</v>
      </c>
      <c r="C22" s="502"/>
      <c r="D22" s="502"/>
      <c r="E22" s="510" t="s">
        <v>156</v>
      </c>
      <c r="F22" s="510"/>
      <c r="G22" s="510"/>
      <c r="H22" s="510"/>
      <c r="I22" s="510"/>
      <c r="J22" s="511" t="s">
        <v>157</v>
      </c>
      <c r="K22" s="511"/>
      <c r="L22" s="511"/>
      <c r="M22" s="508" t="s">
        <v>158</v>
      </c>
      <c r="N22" s="508"/>
      <c r="O22" s="50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506" t="str">
        <f>+'Introducción de datos'!B96</f>
        <v>M5: Presupuesto y compra de productos y equipo sanitario, medicamentos y productos farmacéuticos</v>
      </c>
      <c r="C23" s="506"/>
      <c r="D23" s="506"/>
      <c r="E23" s="507" t="s">
        <v>159</v>
      </c>
      <c r="F23" s="507"/>
      <c r="G23" s="507"/>
      <c r="H23" s="507"/>
      <c r="I23" s="507"/>
      <c r="J23" s="508" t="s">
        <v>160</v>
      </c>
      <c r="K23" s="508"/>
      <c r="L23" s="508"/>
      <c r="M23" s="508" t="s">
        <v>161</v>
      </c>
      <c r="N23" s="508"/>
      <c r="O23" s="508"/>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506"/>
      <c r="C24" s="506"/>
      <c r="D24" s="506"/>
      <c r="E24" s="509" t="s">
        <v>162</v>
      </c>
      <c r="F24" s="509"/>
      <c r="G24" s="509"/>
      <c r="H24" s="509"/>
      <c r="I24" s="509"/>
      <c r="J24" s="508"/>
      <c r="K24" s="508"/>
      <c r="L24" s="508"/>
      <c r="M24" s="508"/>
      <c r="N24" s="508"/>
      <c r="O24" s="50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502" t="str">
        <f>+'Introducción de datos'!B109</f>
        <v>M6: Diferencia entre existencias actuales y existencias de seguridad</v>
      </c>
      <c r="C25" s="502"/>
      <c r="D25" s="502"/>
      <c r="E25" s="503" t="s">
        <v>163</v>
      </c>
      <c r="F25" s="503"/>
      <c r="G25" s="503"/>
      <c r="H25" s="503"/>
      <c r="I25" s="503"/>
      <c r="J25" s="504" t="s">
        <v>164</v>
      </c>
      <c r="K25" s="504"/>
      <c r="L25" s="504"/>
      <c r="M25" s="505" t="s">
        <v>165</v>
      </c>
      <c r="N25" s="505"/>
      <c r="O25" s="505"/>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99" t="s">
        <v>166</v>
      </c>
      <c r="C30" s="499"/>
      <c r="D30" s="499"/>
      <c r="E30" s="499"/>
      <c r="F30" s="499"/>
      <c r="G30" s="499"/>
      <c r="H30" s="499"/>
      <c r="I30" s="499"/>
      <c r="J30" s="499"/>
      <c r="K30" s="499"/>
      <c r="L30" s="499"/>
      <c r="M30" s="499"/>
      <c r="N30" s="499"/>
      <c r="O30" s="49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00" t="s">
        <v>167</v>
      </c>
      <c r="C32" s="500"/>
      <c r="D32" s="500"/>
      <c r="E32" s="501" t="s">
        <v>168</v>
      </c>
      <c r="F32" s="501"/>
      <c r="G32" s="501"/>
      <c r="H32" s="501"/>
      <c r="I32" s="501"/>
      <c r="J32" s="501" t="s">
        <v>132</v>
      </c>
      <c r="K32" s="501"/>
      <c r="L32" s="501"/>
      <c r="M32" s="501" t="s">
        <v>146</v>
      </c>
      <c r="N32" s="501"/>
      <c r="O32" s="501"/>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498"/>
      <c r="C33" s="498"/>
      <c r="D33" s="498"/>
      <c r="E33" s="492"/>
      <c r="F33" s="492"/>
      <c r="G33" s="492"/>
      <c r="H33" s="492"/>
      <c r="I33" s="492"/>
      <c r="J33" s="493"/>
      <c r="K33" s="493"/>
      <c r="L33" s="493"/>
      <c r="M33" s="493"/>
      <c r="N33" s="493"/>
      <c r="O33" s="493"/>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498"/>
      <c r="C34" s="498"/>
      <c r="D34" s="498"/>
      <c r="E34" s="492"/>
      <c r="F34" s="492"/>
      <c r="G34" s="492"/>
      <c r="H34" s="492"/>
      <c r="I34" s="492"/>
      <c r="J34" s="493"/>
      <c r="K34" s="493"/>
      <c r="L34" s="493"/>
      <c r="M34" s="493"/>
      <c r="N34" s="493"/>
      <c r="O34" s="493"/>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498"/>
      <c r="C35" s="498"/>
      <c r="D35" s="498"/>
      <c r="E35" s="493"/>
      <c r="F35" s="493"/>
      <c r="G35" s="493"/>
      <c r="H35" s="493"/>
      <c r="I35" s="493"/>
      <c r="J35" s="493"/>
      <c r="K35" s="493"/>
      <c r="L35" s="493"/>
      <c r="M35" s="493"/>
      <c r="N35" s="493"/>
      <c r="O35" s="493"/>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497"/>
      <c r="C36" s="497"/>
      <c r="D36" s="497"/>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498"/>
      <c r="C37" s="498"/>
      <c r="D37" s="498"/>
      <c r="E37" s="493"/>
      <c r="F37" s="493"/>
      <c r="G37" s="493"/>
      <c r="H37" s="493"/>
      <c r="I37" s="493"/>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498"/>
      <c r="C38" s="498"/>
      <c r="D38" s="498"/>
      <c r="E38" s="492"/>
      <c r="F38" s="492"/>
      <c r="G38" s="492"/>
      <c r="H38" s="492"/>
      <c r="I38" s="492"/>
      <c r="J38" s="493"/>
      <c r="K38" s="493"/>
      <c r="L38" s="493"/>
      <c r="M38" s="493"/>
      <c r="N38" s="493"/>
      <c r="O38" s="493"/>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495"/>
      <c r="C39" s="495"/>
      <c r="D39" s="495"/>
      <c r="E39" s="493"/>
      <c r="F39" s="493"/>
      <c r="G39" s="493"/>
      <c r="H39" s="493"/>
      <c r="I39" s="493"/>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491"/>
      <c r="C40" s="491"/>
      <c r="D40" s="491"/>
      <c r="E40" s="496"/>
      <c r="F40" s="496"/>
      <c r="G40" s="496"/>
      <c r="H40" s="496"/>
      <c r="I40" s="496"/>
      <c r="J40" s="493"/>
      <c r="K40" s="493"/>
      <c r="L40" s="493"/>
      <c r="M40" s="493"/>
      <c r="N40" s="493"/>
      <c r="O40" s="493"/>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495"/>
      <c r="C41" s="495"/>
      <c r="D41" s="495"/>
      <c r="E41" s="492"/>
      <c r="F41" s="492"/>
      <c r="G41" s="492"/>
      <c r="H41" s="492"/>
      <c r="I41" s="492"/>
      <c r="J41" s="493"/>
      <c r="K41" s="493"/>
      <c r="L41" s="493"/>
      <c r="M41" s="493"/>
      <c r="N41" s="493"/>
      <c r="O41" s="493"/>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495"/>
      <c r="C42" s="495"/>
      <c r="D42" s="495"/>
      <c r="E42" s="493"/>
      <c r="F42" s="493"/>
      <c r="G42" s="493"/>
      <c r="H42" s="493"/>
      <c r="I42" s="493"/>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495"/>
      <c r="C43" s="495"/>
      <c r="D43" s="495"/>
      <c r="E43" s="492"/>
      <c r="F43" s="492"/>
      <c r="G43" s="492"/>
      <c r="H43" s="492"/>
      <c r="I43" s="492"/>
      <c r="J43" s="493"/>
      <c r="K43" s="493"/>
      <c r="L43" s="493"/>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491"/>
      <c r="C44" s="491"/>
      <c r="D44" s="491"/>
      <c r="E44" s="492"/>
      <c r="F44" s="492"/>
      <c r="G44" s="492"/>
      <c r="H44" s="492"/>
      <c r="I44" s="492"/>
      <c r="J44" s="493"/>
      <c r="K44" s="493"/>
      <c r="L44" s="493"/>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491"/>
      <c r="C45" s="491"/>
      <c r="D45" s="491"/>
      <c r="E45" s="492"/>
      <c r="F45" s="492"/>
      <c r="G45" s="492"/>
      <c r="H45" s="492"/>
      <c r="I45" s="492"/>
      <c r="J45" s="493"/>
      <c r="K45" s="493"/>
      <c r="L45" s="493"/>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494"/>
      <c r="C46" s="494"/>
      <c r="D46" s="494"/>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489" t="s">
        <v>169</v>
      </c>
      <c r="C48" s="489"/>
      <c r="D48" s="489"/>
      <c r="E48" s="489"/>
      <c r="F48" s="489"/>
      <c r="G48" s="489"/>
      <c r="H48" s="489"/>
      <c r="I48" s="489"/>
      <c r="J48" s="489"/>
      <c r="K48" s="489"/>
      <c r="L48" s="489"/>
      <c r="M48" s="490" t="s">
        <v>170</v>
      </c>
      <c r="N48" s="490"/>
      <c r="O48" s="490"/>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8:D8"/>
    <mergeCell ref="E8:I8"/>
    <mergeCell ref="J8:L8"/>
    <mergeCell ref="M8:O8"/>
    <mergeCell ref="B2:M2"/>
    <mergeCell ref="B5:O5"/>
    <mergeCell ref="B7:D7"/>
    <mergeCell ref="E7:I7"/>
    <mergeCell ref="J7:L7"/>
    <mergeCell ref="M7:O7"/>
    <mergeCell ref="B10:D10"/>
    <mergeCell ref="E10:I10"/>
    <mergeCell ref="J10:L10"/>
    <mergeCell ref="M10:O10"/>
    <mergeCell ref="B9:D9"/>
    <mergeCell ref="E9:I9"/>
    <mergeCell ref="J9:L9"/>
    <mergeCell ref="M9:O9"/>
    <mergeCell ref="B12:D12"/>
    <mergeCell ref="E12:I12"/>
    <mergeCell ref="J12:L12"/>
    <mergeCell ref="M12:O12"/>
    <mergeCell ref="B11:D11"/>
    <mergeCell ref="E11:I11"/>
    <mergeCell ref="J11:L11"/>
    <mergeCell ref="M11:O11"/>
    <mergeCell ref="B14:D14"/>
    <mergeCell ref="E14:I14"/>
    <mergeCell ref="J14:L14"/>
    <mergeCell ref="M14:O14"/>
    <mergeCell ref="B13:D13"/>
    <mergeCell ref="E13:I13"/>
    <mergeCell ref="J13:L13"/>
    <mergeCell ref="M13:O13"/>
    <mergeCell ref="B16:O16"/>
    <mergeCell ref="B18:D18"/>
    <mergeCell ref="E18:I18"/>
    <mergeCell ref="J18:L18"/>
    <mergeCell ref="M18:O18"/>
    <mergeCell ref="B15:D15"/>
    <mergeCell ref="E15:I15"/>
    <mergeCell ref="J15:L15"/>
    <mergeCell ref="M15:O15"/>
    <mergeCell ref="B20:D20"/>
    <mergeCell ref="E20:I20"/>
    <mergeCell ref="J20:L20"/>
    <mergeCell ref="M20:O20"/>
    <mergeCell ref="B19:D19"/>
    <mergeCell ref="E19:I19"/>
    <mergeCell ref="J19:L19"/>
    <mergeCell ref="M19:O19"/>
    <mergeCell ref="B22:D22"/>
    <mergeCell ref="E22:I22"/>
    <mergeCell ref="J22:L22"/>
    <mergeCell ref="M22:O22"/>
    <mergeCell ref="B21:D21"/>
    <mergeCell ref="E21:I21"/>
    <mergeCell ref="J21:L21"/>
    <mergeCell ref="M21:O21"/>
    <mergeCell ref="B25:D25"/>
    <mergeCell ref="E25:I25"/>
    <mergeCell ref="J25:L25"/>
    <mergeCell ref="M25:O25"/>
    <mergeCell ref="B23:D24"/>
    <mergeCell ref="E23:I23"/>
    <mergeCell ref="J23:L24"/>
    <mergeCell ref="M23:O24"/>
    <mergeCell ref="E24:I24"/>
    <mergeCell ref="B33:D33"/>
    <mergeCell ref="E33:I33"/>
    <mergeCell ref="J33:L33"/>
    <mergeCell ref="M33:O33"/>
    <mergeCell ref="B30:O30"/>
    <mergeCell ref="B32:D32"/>
    <mergeCell ref="E32:I32"/>
    <mergeCell ref="J32:L32"/>
    <mergeCell ref="M32:O32"/>
    <mergeCell ref="B35:D35"/>
    <mergeCell ref="E35:I35"/>
    <mergeCell ref="J35:L35"/>
    <mergeCell ref="M35:O35"/>
    <mergeCell ref="B34:D34"/>
    <mergeCell ref="E34:I34"/>
    <mergeCell ref="J34:L34"/>
    <mergeCell ref="M34:O34"/>
    <mergeCell ref="J38:L38"/>
    <mergeCell ref="M38:O38"/>
    <mergeCell ref="B39:D39"/>
    <mergeCell ref="E39:I39"/>
    <mergeCell ref="B36:D36"/>
    <mergeCell ref="B37:D37"/>
    <mergeCell ref="E37:I37"/>
    <mergeCell ref="B38:D38"/>
    <mergeCell ref="E38:I38"/>
    <mergeCell ref="B41:D41"/>
    <mergeCell ref="E41:I41"/>
    <mergeCell ref="J41:L41"/>
    <mergeCell ref="M41:O41"/>
    <mergeCell ref="B40:D40"/>
    <mergeCell ref="E40:I40"/>
    <mergeCell ref="J40:L40"/>
    <mergeCell ref="M40:O40"/>
    <mergeCell ref="J43:L43"/>
    <mergeCell ref="B44:D44"/>
    <mergeCell ref="E44:I44"/>
    <mergeCell ref="J44:L44"/>
    <mergeCell ref="B42:D42"/>
    <mergeCell ref="E42:I42"/>
    <mergeCell ref="B43:D43"/>
    <mergeCell ref="E43:I43"/>
    <mergeCell ref="B48:L48"/>
    <mergeCell ref="M48:O48"/>
    <mergeCell ref="B45:D45"/>
    <mergeCell ref="E45:I45"/>
    <mergeCell ref="J45:L45"/>
    <mergeCell ref="B46:D46"/>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70" zoomScaleNormal="70" zoomScaleSheetLayoutView="100" zoomScalePageLayoutView="0" workbookViewId="0" topLeftCell="A1">
      <selection activeCell="I9" sqref="I9:J9"/>
    </sheetView>
  </sheetViews>
  <sheetFormatPr defaultColWidth="11.421875" defaultRowHeight="15"/>
  <cols>
    <col min="1" max="1" width="21.140625" style="6" customWidth="1"/>
    <col min="2" max="2" width="12.57421875" style="6" customWidth="1"/>
    <col min="3" max="3" width="20.57421875" style="6" customWidth="1"/>
    <col min="4" max="4" width="15.28125" style="6" customWidth="1"/>
    <col min="5" max="5" width="11.7109375" style="6" customWidth="1"/>
    <col min="6" max="6" width="18.71093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11.421875" style="6" customWidth="1"/>
  </cols>
  <sheetData>
    <row r="1" spans="1:10" ht="21" customHeight="1">
      <c r="A1" s="141"/>
      <c r="B1" s="141"/>
      <c r="C1" s="141"/>
      <c r="D1" s="141"/>
      <c r="E1" s="141"/>
      <c r="F1" s="141"/>
      <c r="G1" s="40"/>
      <c r="H1" s="141"/>
      <c r="I1" s="141"/>
      <c r="J1" s="141"/>
    </row>
    <row r="2" ht="25.5" customHeight="1"/>
    <row r="3" spans="2:20" ht="36">
      <c r="B3" s="528" t="str">
        <f>+"Tablero de mando: "&amp;" "&amp;+'Introducción de datos'!C4&amp;" - "&amp;+'Introducción de datos'!G6</f>
        <v>Tablero de mando:  El Salvador - VIH / SIDA</v>
      </c>
      <c r="C3" s="528"/>
      <c r="D3" s="528"/>
      <c r="E3" s="528"/>
      <c r="F3" s="528"/>
      <c r="G3" s="528"/>
      <c r="H3" s="528"/>
      <c r="I3" s="528"/>
      <c r="J3" s="528"/>
      <c r="K3" s="218"/>
      <c r="L3" s="218"/>
      <c r="M3" s="218"/>
      <c r="N3" s="219"/>
      <c r="O3" s="219"/>
      <c r="P3" s="219"/>
      <c r="Q3" s="219"/>
      <c r="R3" s="219"/>
      <c r="S3" s="219"/>
      <c r="T3" s="219"/>
    </row>
    <row r="4" spans="12:20" ht="15" customHeight="1">
      <c r="L4" s="219"/>
      <c r="M4" s="219"/>
      <c r="N4" s="219"/>
      <c r="O4" s="219"/>
      <c r="P4" s="219"/>
      <c r="Q4" s="219"/>
      <c r="R4" s="219"/>
      <c r="S4" s="219"/>
      <c r="T4" s="219"/>
    </row>
    <row r="5" spans="12:20" ht="15">
      <c r="L5" s="219"/>
      <c r="M5" s="219"/>
      <c r="N5" s="219"/>
      <c r="O5" s="219"/>
      <c r="P5" s="219"/>
      <c r="Q5" s="219"/>
      <c r="R5" s="219"/>
      <c r="S5" s="219"/>
      <c r="T5" s="219"/>
    </row>
    <row r="6" spans="1:21" ht="32.25" customHeight="1">
      <c r="A6" s="220" t="s">
        <v>172</v>
      </c>
      <c r="B6" s="529" t="str">
        <f>+'Introducción de datos'!C4</f>
        <v>El Salvador</v>
      </c>
      <c r="C6" s="529"/>
      <c r="D6" s="530" t="s">
        <v>174</v>
      </c>
      <c r="E6" s="530"/>
      <c r="F6" s="531" t="str">
        <f>+'Introducción de datos'!G4</f>
        <v>INNOVANDO SERVICIOS, REDUCIENDO RIESGOS, RENOVANDO VIDAS EN EL SALVADOR</v>
      </c>
      <c r="G6" s="531"/>
      <c r="H6" s="531"/>
      <c r="I6" s="531"/>
      <c r="J6" s="531"/>
      <c r="K6" s="221"/>
      <c r="L6" s="222"/>
      <c r="M6" s="221"/>
      <c r="N6" s="221"/>
      <c r="O6" s="221"/>
      <c r="P6" s="223"/>
      <c r="Q6" s="224"/>
      <c r="R6" s="224"/>
      <c r="S6" s="224"/>
      <c r="T6" s="224"/>
      <c r="U6" s="224"/>
    </row>
    <row r="7" spans="2:21" ht="8.25" customHeight="1">
      <c r="B7" s="225"/>
      <c r="C7" s="226"/>
      <c r="D7" s="226"/>
      <c r="E7" s="227"/>
      <c r="F7" s="227"/>
      <c r="G7" s="228"/>
      <c r="H7" s="228"/>
      <c r="K7" s="221"/>
      <c r="L7" s="221"/>
      <c r="M7" s="221"/>
      <c r="N7" s="221"/>
      <c r="O7" s="221"/>
      <c r="P7" s="223"/>
      <c r="Q7" s="224"/>
      <c r="R7" s="224"/>
      <c r="S7" s="224"/>
      <c r="T7" s="224"/>
      <c r="U7" s="224"/>
    </row>
    <row r="8" spans="3:21" ht="3.75" customHeight="1">
      <c r="C8" s="229"/>
      <c r="D8" s="229"/>
      <c r="E8" s="229"/>
      <c r="F8" s="229"/>
      <c r="G8" s="229"/>
      <c r="H8" s="229"/>
      <c r="I8" s="229"/>
      <c r="J8" s="229"/>
      <c r="K8" s="221"/>
      <c r="L8" s="221"/>
      <c r="M8" s="221"/>
      <c r="N8" s="221"/>
      <c r="O8" s="230"/>
      <c r="P8" s="223"/>
      <c r="Q8" s="230"/>
      <c r="R8" s="231"/>
      <c r="S8" s="224"/>
      <c r="T8" s="224"/>
      <c r="U8" s="224"/>
    </row>
    <row r="9" spans="1:24" ht="25.5" customHeight="1">
      <c r="A9" s="232" t="s">
        <v>176</v>
      </c>
      <c r="B9" s="233" t="str">
        <f>+'Introducción de datos'!G6</f>
        <v>VIH / SIDA</v>
      </c>
      <c r="C9" s="234" t="s">
        <v>175</v>
      </c>
      <c r="D9" s="235" t="str">
        <f>+'Introducción de datos'!C6</f>
        <v>SLV-H-PLAN</v>
      </c>
      <c r="E9" s="524" t="s">
        <v>284</v>
      </c>
      <c r="F9" s="524"/>
      <c r="G9" s="236">
        <f>+'Introducción de datos'!C10</f>
        <v>41640</v>
      </c>
      <c r="H9" s="232" t="s">
        <v>285</v>
      </c>
      <c r="I9" s="527" t="str">
        <f>+'Introducción de datos'!I6</f>
        <v>12,931,489</v>
      </c>
      <c r="J9" s="527"/>
      <c r="K9" s="221"/>
      <c r="L9" s="221"/>
      <c r="M9" s="221"/>
      <c r="N9" s="221"/>
      <c r="O9" s="230"/>
      <c r="P9" s="223"/>
      <c r="Q9" s="230"/>
      <c r="R9" s="231"/>
      <c r="S9" s="224"/>
      <c r="T9" s="237"/>
      <c r="U9" s="237"/>
      <c r="V9" s="229"/>
      <c r="W9" s="229"/>
      <c r="X9" s="229"/>
    </row>
    <row r="10" spans="1:21" ht="25.5" customHeight="1">
      <c r="A10" s="232" t="s">
        <v>180</v>
      </c>
      <c r="B10" s="238" t="str">
        <f>IF(ISBLANK('Introducción de datos'!G8),"",'Introducción de datos'!G8)</f>
        <v>Seleccionar</v>
      </c>
      <c r="C10" s="234" t="s">
        <v>182</v>
      </c>
      <c r="D10" s="239" t="str">
        <f>+'Introducción de datos'!I8</f>
        <v>Seleccionar</v>
      </c>
      <c r="E10" s="524" t="s">
        <v>286</v>
      </c>
      <c r="F10" s="524"/>
      <c r="G10" s="523" t="str">
        <f>+'Introducción de datos'!C8</f>
        <v>PLAN  INTERNACIONAL</v>
      </c>
      <c r="H10" s="523"/>
      <c r="I10" s="523"/>
      <c r="J10" s="523"/>
      <c r="K10" s="241"/>
      <c r="L10" s="241"/>
      <c r="M10" s="221"/>
      <c r="N10" s="241"/>
      <c r="O10" s="230"/>
      <c r="P10" s="223"/>
      <c r="Q10" s="237"/>
      <c r="R10" s="231"/>
      <c r="S10" s="224"/>
      <c r="T10" s="237"/>
      <c r="U10" s="237"/>
    </row>
    <row r="11" spans="1:21" ht="25.5" customHeight="1">
      <c r="A11" s="232" t="s">
        <v>287</v>
      </c>
      <c r="B11" s="240" t="str">
        <f>+'Introducción de datos'!C16</f>
        <v>P4</v>
      </c>
      <c r="C11" s="234" t="s">
        <v>288</v>
      </c>
      <c r="D11" s="242">
        <f>+'Introducción de datos'!E16</f>
        <v>42186</v>
      </c>
      <c r="E11" s="524" t="s">
        <v>289</v>
      </c>
      <c r="F11" s="524"/>
      <c r="G11" s="242">
        <f>+'Introducción de datos'!G16</f>
        <v>42369</v>
      </c>
      <c r="H11" s="232" t="s">
        <v>290</v>
      </c>
      <c r="I11" s="526" t="str">
        <f>+'Introducción de datos'!C12</f>
        <v>A1</v>
      </c>
      <c r="J11" s="526"/>
      <c r="K11" s="243"/>
      <c r="L11" s="241"/>
      <c r="M11" s="221"/>
      <c r="N11" s="241"/>
      <c r="O11" s="241"/>
      <c r="P11" s="223"/>
      <c r="Q11" s="237"/>
      <c r="R11" s="231"/>
      <c r="S11" s="224"/>
      <c r="T11" s="244"/>
      <c r="U11" s="237"/>
    </row>
    <row r="12" spans="1:24" ht="25.5" customHeight="1">
      <c r="A12" s="232" t="s">
        <v>185</v>
      </c>
      <c r="B12" s="523" t="str">
        <f>+'Introducción de datos'!G10</f>
        <v>GRUPO JACOBS</v>
      </c>
      <c r="C12" s="523"/>
      <c r="D12" s="523"/>
      <c r="E12" s="524" t="s">
        <v>189</v>
      </c>
      <c r="F12" s="524"/>
      <c r="G12" s="523" t="str">
        <f>+'Introducción de datos'!G12</f>
        <v>Giulia Perrone</v>
      </c>
      <c r="H12" s="523"/>
      <c r="I12" s="523"/>
      <c r="J12" s="523"/>
      <c r="K12" s="241"/>
      <c r="L12" s="241"/>
      <c r="M12" s="221"/>
      <c r="N12" s="241"/>
      <c r="O12" s="224"/>
      <c r="P12" s="223"/>
      <c r="Q12" s="237"/>
      <c r="R12" s="231"/>
      <c r="S12" s="224"/>
      <c r="T12" s="237"/>
      <c r="U12" s="245"/>
      <c r="V12" s="237"/>
      <c r="W12" s="244"/>
      <c r="X12" s="237"/>
    </row>
    <row r="13" spans="1:21" ht="25.5" customHeight="1">
      <c r="A13" s="232" t="s">
        <v>197</v>
      </c>
      <c r="B13" s="523" t="str">
        <f>+'Introducción de datos'!D18</f>
        <v>UCP/PLAN </v>
      </c>
      <c r="C13" s="523"/>
      <c r="D13" s="523"/>
      <c r="E13" s="524" t="s">
        <v>291</v>
      </c>
      <c r="F13" s="524"/>
      <c r="G13" s="525">
        <f>+'Introducción de datos'!J16</f>
        <v>0</v>
      </c>
      <c r="H13" s="525"/>
      <c r="I13" s="525"/>
      <c r="J13" s="525"/>
      <c r="K13" s="224"/>
      <c r="L13" s="246"/>
      <c r="M13" s="246"/>
      <c r="N13" s="246"/>
      <c r="O13" s="224"/>
      <c r="P13" s="246"/>
      <c r="Q13" s="246"/>
      <c r="R13" s="231"/>
      <c r="S13" s="224"/>
      <c r="T13" s="246"/>
      <c r="U13" s="247"/>
    </row>
  </sheetData>
  <sheetProtection/>
  <mergeCells count="16">
    <mergeCell ref="E9:F9"/>
    <mergeCell ref="I9:J9"/>
    <mergeCell ref="E10:F10"/>
    <mergeCell ref="G10:J10"/>
    <mergeCell ref="B3:J3"/>
    <mergeCell ref="B6:C6"/>
    <mergeCell ref="D6:E6"/>
    <mergeCell ref="F6:J6"/>
    <mergeCell ref="B13:D13"/>
    <mergeCell ref="E13:F13"/>
    <mergeCell ref="G13:J13"/>
    <mergeCell ref="E11:F11"/>
    <mergeCell ref="I11:J11"/>
    <mergeCell ref="B12:D12"/>
    <mergeCell ref="E12:F12"/>
    <mergeCell ref="G12:J12"/>
  </mergeCells>
  <conditionalFormatting sqref="I11:J11">
    <cfRule type="cellIs" priority="1" dxfId="41" operator="equal" stopIfTrue="1">
      <formula>"C"</formula>
    </cfRule>
    <cfRule type="cellIs" priority="2" dxfId="42" operator="equal" stopIfTrue="1">
      <formula>"B2"</formula>
    </cfRule>
    <cfRule type="cellIs" priority="3" dxfId="43" operator="equal" stopIfTrue="1">
      <formula>"B1"</formula>
    </cfRule>
  </conditionalFormatting>
  <dataValidations count="2">
    <dataValidation type="date" operator="greaterThan" allowBlank="1" showErrorMessage="1" error="the date can´t be earlier than the start date" sqref="G11">
      <formula1>D11</formula1>
    </dataValidation>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AD173"/>
  <sheetViews>
    <sheetView showGridLines="0" zoomScale="69" zoomScaleNormal="69" zoomScalePageLayoutView="0" workbookViewId="0" topLeftCell="A107">
      <selection activeCell="J109" sqref="J109"/>
    </sheetView>
  </sheetViews>
  <sheetFormatPr defaultColWidth="9.140625" defaultRowHeight="15"/>
  <cols>
    <col min="1" max="1" width="2.71093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8.57421875" style="0" customWidth="1"/>
    <col min="12" max="12" width="15.28125" style="0" customWidth="1"/>
    <col min="13" max="13" width="20.57421875" style="0" customWidth="1"/>
    <col min="14" max="14" width="14.28125" style="5" customWidth="1"/>
    <col min="15" max="15" width="16.140625" style="0" customWidth="1"/>
    <col min="16" max="16" width="13.7109375" style="0" customWidth="1"/>
    <col min="17" max="17" width="13.421875" style="0" customWidth="1"/>
    <col min="18" max="18" width="11.421875" style="0" customWidth="1"/>
    <col min="19" max="19" width="2.28125" style="0" customWidth="1"/>
    <col min="20" max="20" width="1.1484375" style="0" customWidth="1"/>
    <col min="21" max="21" width="3.28125" style="0" customWidth="1"/>
    <col min="22" max="22" width="17.00390625" style="0" customWidth="1"/>
    <col min="23" max="23" width="15.00390625" style="0" customWidth="1"/>
    <col min="24" max="24" width="11.421875" style="0" customWidth="1"/>
    <col min="25" max="25" width="13.57421875" style="0" customWidth="1"/>
    <col min="26" max="26" width="16.8515625" style="0" customWidth="1"/>
    <col min="27" max="27" width="11.421875" style="0" customWidth="1"/>
    <col min="28" max="28" width="2.00390625" style="5" customWidth="1"/>
    <col min="29" max="29" width="3.28125" style="5" customWidth="1"/>
    <col min="30" max="30" width="2.28125" style="5" customWidth="1"/>
    <col min="31" max="31" width="40.71093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600" t="s">
        <v>171</v>
      </c>
      <c r="C2" s="600"/>
      <c r="D2" s="600"/>
      <c r="E2" s="600"/>
      <c r="F2" s="600"/>
      <c r="G2" s="600"/>
      <c r="H2" s="600"/>
      <c r="I2" s="600"/>
      <c r="J2" s="600"/>
      <c r="K2" s="33"/>
      <c r="L2" s="33"/>
      <c r="M2" s="33"/>
    </row>
    <row r="3" spans="1:13" ht="4.5" customHeight="1">
      <c r="A3" s="6"/>
      <c r="B3" s="6"/>
      <c r="C3" s="6"/>
      <c r="D3" s="6"/>
      <c r="E3" s="6"/>
      <c r="F3" s="6"/>
      <c r="G3" s="6"/>
      <c r="H3" s="6"/>
      <c r="I3" s="6"/>
      <c r="J3" s="6"/>
      <c r="K3" s="6"/>
      <c r="L3" s="6"/>
      <c r="M3" s="6"/>
    </row>
    <row r="4" spans="1:13" ht="28.5" customHeight="1">
      <c r="A4" s="6"/>
      <c r="B4" s="34" t="s">
        <v>172</v>
      </c>
      <c r="C4" s="609" t="s">
        <v>173</v>
      </c>
      <c r="D4" s="609"/>
      <c r="E4" s="611" t="s">
        <v>174</v>
      </c>
      <c r="F4" s="611"/>
      <c r="G4" s="618" t="s">
        <v>321</v>
      </c>
      <c r="H4" s="618"/>
      <c r="I4" s="618"/>
      <c r="J4" s="618"/>
      <c r="K4" s="6"/>
      <c r="L4" s="6"/>
      <c r="M4" s="6"/>
    </row>
    <row r="5" spans="1:13" ht="3" customHeight="1">
      <c r="A5" s="6"/>
      <c r="B5" s="37"/>
      <c r="C5" s="6"/>
      <c r="D5" s="6"/>
      <c r="E5" s="38"/>
      <c r="F5" s="38"/>
      <c r="G5" s="6"/>
      <c r="H5" s="6"/>
      <c r="I5" s="6"/>
      <c r="J5" s="6"/>
      <c r="K5" s="6"/>
      <c r="L5" s="6"/>
      <c r="M5" s="6"/>
    </row>
    <row r="6" spans="1:13" ht="15">
      <c r="A6" s="6"/>
      <c r="B6" s="34" t="s">
        <v>175</v>
      </c>
      <c r="C6" s="610" t="s">
        <v>319</v>
      </c>
      <c r="D6" s="610"/>
      <c r="E6" s="611" t="s">
        <v>176</v>
      </c>
      <c r="F6" s="611"/>
      <c r="G6" s="35" t="s">
        <v>45</v>
      </c>
      <c r="H6" s="39" t="s">
        <v>178</v>
      </c>
      <c r="I6" s="612" t="s">
        <v>381</v>
      </c>
      <c r="J6" s="612"/>
      <c r="K6" s="6"/>
      <c r="L6" s="6"/>
      <c r="M6" s="6"/>
    </row>
    <row r="7" spans="1:13" ht="3" customHeight="1">
      <c r="A7" s="6"/>
      <c r="B7" s="37"/>
      <c r="C7" s="6"/>
      <c r="D7" s="6"/>
      <c r="E7" s="38"/>
      <c r="F7" s="38"/>
      <c r="G7" s="6"/>
      <c r="H7" s="37"/>
      <c r="I7" s="6"/>
      <c r="J7" s="6"/>
      <c r="K7" s="6"/>
      <c r="L7" s="6"/>
      <c r="M7" s="6"/>
    </row>
    <row r="8" spans="1:13" ht="15">
      <c r="A8" s="6"/>
      <c r="B8" s="34" t="s">
        <v>179</v>
      </c>
      <c r="C8" s="610" t="s">
        <v>320</v>
      </c>
      <c r="D8" s="610"/>
      <c r="E8" s="40"/>
      <c r="F8" s="36" t="s">
        <v>180</v>
      </c>
      <c r="G8" s="35" t="s">
        <v>44</v>
      </c>
      <c r="H8" s="36" t="s">
        <v>182</v>
      </c>
      <c r="I8" s="609" t="s">
        <v>44</v>
      </c>
      <c r="J8" s="609"/>
      <c r="K8" s="6"/>
      <c r="L8" s="6"/>
      <c r="M8" s="6"/>
    </row>
    <row r="9" spans="1:13" ht="3" customHeight="1">
      <c r="A9" s="6"/>
      <c r="B9" s="38"/>
      <c r="C9" s="41">
        <v>39825</v>
      </c>
      <c r="D9" s="6"/>
      <c r="E9" s="38"/>
      <c r="F9" s="38"/>
      <c r="G9" s="6"/>
      <c r="H9" s="6"/>
      <c r="I9" s="6"/>
      <c r="J9" s="6"/>
      <c r="K9" s="6"/>
      <c r="L9" s="6"/>
      <c r="M9" s="6"/>
    </row>
    <row r="10" spans="1:13" ht="15">
      <c r="A10" s="6"/>
      <c r="B10" s="34" t="s">
        <v>184</v>
      </c>
      <c r="C10" s="619">
        <v>41640</v>
      </c>
      <c r="D10" s="619"/>
      <c r="E10" s="608" t="s">
        <v>185</v>
      </c>
      <c r="F10" s="608"/>
      <c r="G10" s="609" t="s">
        <v>322</v>
      </c>
      <c r="H10" s="609"/>
      <c r="I10" s="609"/>
      <c r="J10" s="609"/>
      <c r="K10" s="6"/>
      <c r="L10" s="6"/>
      <c r="M10" s="6"/>
    </row>
    <row r="11" spans="1:13" ht="5.25" customHeight="1">
      <c r="A11" s="6"/>
      <c r="B11" s="6"/>
      <c r="C11" s="6"/>
      <c r="D11" s="6"/>
      <c r="E11" s="6"/>
      <c r="F11" s="6"/>
      <c r="G11" s="6"/>
      <c r="H11" s="6"/>
      <c r="I11" s="6"/>
      <c r="J11" s="6"/>
      <c r="K11" s="6"/>
      <c r="L11" s="6"/>
      <c r="M11" s="6"/>
    </row>
    <row r="12" spans="1:13" ht="15" customHeight="1">
      <c r="A12" s="6"/>
      <c r="B12" s="34" t="s">
        <v>187</v>
      </c>
      <c r="C12" s="615" t="s">
        <v>188</v>
      </c>
      <c r="D12" s="615"/>
      <c r="E12" s="616" t="s">
        <v>189</v>
      </c>
      <c r="F12" s="616"/>
      <c r="G12" s="617" t="s">
        <v>190</v>
      </c>
      <c r="H12" s="617"/>
      <c r="I12" s="617"/>
      <c r="J12" s="617"/>
      <c r="K12" s="6"/>
      <c r="L12" s="6"/>
      <c r="M12" s="6"/>
    </row>
    <row r="13" spans="1:13" ht="5.25" customHeight="1">
      <c r="A13" s="6"/>
      <c r="B13" s="6"/>
      <c r="C13" s="6"/>
      <c r="D13" s="6"/>
      <c r="E13" s="6"/>
      <c r="F13" s="6"/>
      <c r="G13" s="6"/>
      <c r="H13" s="6"/>
      <c r="I13" s="6"/>
      <c r="J13" s="6"/>
      <c r="K13" s="6"/>
      <c r="L13" s="6"/>
      <c r="M13" s="6"/>
    </row>
    <row r="14" spans="1:13" ht="15.75" customHeight="1">
      <c r="A14" s="6"/>
      <c r="B14" s="600" t="s">
        <v>191</v>
      </c>
      <c r="C14" s="600"/>
      <c r="D14" s="600"/>
      <c r="E14" s="600"/>
      <c r="F14" s="600"/>
      <c r="G14" s="600"/>
      <c r="H14" s="600"/>
      <c r="I14" s="600"/>
      <c r="J14" s="600"/>
      <c r="K14" s="6"/>
      <c r="L14" s="6"/>
      <c r="M14" s="6"/>
    </row>
    <row r="15" spans="1:13" ht="3" customHeight="1">
      <c r="A15" s="6"/>
      <c r="B15" s="6"/>
      <c r="C15" s="6"/>
      <c r="D15" s="6"/>
      <c r="E15" s="6"/>
      <c r="F15" s="6"/>
      <c r="G15" s="6"/>
      <c r="H15" s="6"/>
      <c r="I15" s="6"/>
      <c r="J15" s="6"/>
      <c r="K15" s="6"/>
      <c r="L15" s="6"/>
      <c r="M15" s="6"/>
    </row>
    <row r="16" spans="1:13" ht="15">
      <c r="A16" s="6"/>
      <c r="B16" s="34" t="s">
        <v>192</v>
      </c>
      <c r="C16" s="35" t="s">
        <v>19</v>
      </c>
      <c r="D16" s="36" t="s">
        <v>194</v>
      </c>
      <c r="E16" s="42">
        <v>42186</v>
      </c>
      <c r="F16" s="43" t="s">
        <v>195</v>
      </c>
      <c r="G16" s="42">
        <v>42369</v>
      </c>
      <c r="H16" s="614" t="s">
        <v>196</v>
      </c>
      <c r="I16" s="614"/>
      <c r="J16" s="42"/>
      <c r="K16" s="6"/>
      <c r="L16" s="6"/>
      <c r="M16" s="6"/>
    </row>
    <row r="17" spans="1:13" ht="3" customHeight="1">
      <c r="A17" s="6"/>
      <c r="B17" s="6"/>
      <c r="C17" s="6"/>
      <c r="D17" s="6"/>
      <c r="E17" s="6"/>
      <c r="F17" s="6"/>
      <c r="G17" s="6"/>
      <c r="H17" s="6"/>
      <c r="I17" s="6"/>
      <c r="J17" s="6"/>
      <c r="K17" s="6"/>
      <c r="L17" s="6"/>
      <c r="M17" s="6"/>
    </row>
    <row r="18" spans="1:13" ht="15">
      <c r="A18" s="6"/>
      <c r="B18" s="598" t="s">
        <v>197</v>
      </c>
      <c r="C18" s="598"/>
      <c r="D18" s="599" t="s">
        <v>323</v>
      </c>
      <c r="E18" s="599"/>
      <c r="F18" s="599"/>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600" t="s">
        <v>198</v>
      </c>
      <c r="C21" s="600"/>
      <c r="D21" s="600"/>
      <c r="E21" s="600"/>
      <c r="F21" s="600"/>
      <c r="G21" s="600"/>
      <c r="H21" s="600"/>
      <c r="I21" s="600"/>
      <c r="J21" s="600"/>
      <c r="K21" s="6"/>
      <c r="L21" s="6"/>
      <c r="M21" s="6"/>
    </row>
    <row r="22" spans="1:13" ht="15">
      <c r="A22" s="6"/>
      <c r="B22" s="45" t="s">
        <v>199</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75" thickBot="1">
      <c r="A24" s="6"/>
      <c r="B24" s="34" t="s">
        <v>200</v>
      </c>
      <c r="C24" s="47"/>
      <c r="D24" s="611" t="s">
        <v>201</v>
      </c>
      <c r="E24" s="611"/>
      <c r="F24" s="48"/>
      <c r="G24" s="611" t="s">
        <v>202</v>
      </c>
      <c r="H24" s="611"/>
      <c r="I24" s="613"/>
      <c r="J24" s="613"/>
      <c r="K24" s="6"/>
      <c r="L24" s="6"/>
      <c r="M24" s="6"/>
      <c r="N24" s="49"/>
    </row>
    <row r="25" spans="1:29" ht="19.5" thickBot="1">
      <c r="A25" s="6"/>
      <c r="B25" s="50" t="s">
        <v>200</v>
      </c>
      <c r="C25" s="51"/>
      <c r="D25" s="51"/>
      <c r="E25" s="51"/>
      <c r="F25" s="51"/>
      <c r="G25" s="51"/>
      <c r="H25" s="52"/>
      <c r="I25" s="52"/>
      <c r="J25" s="52" t="s">
        <v>203</v>
      </c>
      <c r="K25" s="52"/>
      <c r="L25" s="51"/>
      <c r="M25" s="51"/>
      <c r="N25" s="53"/>
      <c r="AC25" s="54"/>
    </row>
    <row r="26" spans="1:29" ht="15">
      <c r="A26" s="6"/>
      <c r="B26" s="604" t="s">
        <v>204</v>
      </c>
      <c r="C26" s="604"/>
      <c r="D26" s="55" t="s">
        <v>205</v>
      </c>
      <c r="E26" s="56"/>
      <c r="F26" s="56"/>
      <c r="G26" s="56"/>
      <c r="H26" s="56"/>
      <c r="I26" s="56"/>
      <c r="J26" s="57"/>
      <c r="K26" s="56"/>
      <c r="L26" s="56"/>
      <c r="M26" s="56"/>
      <c r="N26" s="58"/>
      <c r="AC26" s="54"/>
    </row>
    <row r="27" spans="1:29" ht="18.75">
      <c r="A27" s="6"/>
      <c r="B27" s="59" t="s">
        <v>206</v>
      </c>
      <c r="C27" s="56"/>
      <c r="D27" s="56"/>
      <c r="E27" s="56"/>
      <c r="F27" s="56"/>
      <c r="G27" s="56"/>
      <c r="H27" s="56"/>
      <c r="I27" s="56"/>
      <c r="J27" s="57"/>
      <c r="K27" s="56"/>
      <c r="L27" s="56"/>
      <c r="M27" s="56"/>
      <c r="N27" s="58"/>
      <c r="AC27" s="54"/>
    </row>
    <row r="28" spans="1:13" ht="15.75" thickBot="1">
      <c r="A28" s="6"/>
      <c r="B28" s="6"/>
      <c r="C28" s="6"/>
      <c r="D28" s="6"/>
      <c r="E28" s="6"/>
      <c r="F28" s="6"/>
      <c r="G28" s="6"/>
      <c r="H28" s="6"/>
      <c r="I28" s="6"/>
      <c r="J28" s="6"/>
      <c r="K28" s="6"/>
      <c r="L28" s="6"/>
      <c r="M28" s="6"/>
    </row>
    <row r="29" spans="1:17" ht="15">
      <c r="A29" s="6"/>
      <c r="B29" s="605" t="s">
        <v>207</v>
      </c>
      <c r="C29" s="605"/>
      <c r="D29" s="605"/>
      <c r="E29" s="605"/>
      <c r="F29" s="605"/>
      <c r="G29" s="605"/>
      <c r="H29" s="605"/>
      <c r="I29" s="605"/>
      <c r="J29" s="605"/>
      <c r="K29" s="605"/>
      <c r="L29" s="605"/>
      <c r="M29" s="605"/>
      <c r="N29" s="605"/>
      <c r="O29" s="60"/>
      <c r="P29" s="61">
        <f>+C33</f>
        <v>1203071</v>
      </c>
      <c r="Q29" s="62"/>
    </row>
    <row r="30" spans="1:17" ht="45" customHeight="1">
      <c r="A30" s="6"/>
      <c r="B30" s="63" t="s">
        <v>208</v>
      </c>
      <c r="C30" s="64" t="s">
        <v>16</v>
      </c>
      <c r="D30" s="64" t="s">
        <v>17</v>
      </c>
      <c r="E30" s="64" t="s">
        <v>18</v>
      </c>
      <c r="F30" s="64" t="s">
        <v>19</v>
      </c>
      <c r="G30" s="64" t="s">
        <v>20</v>
      </c>
      <c r="H30" s="64" t="s">
        <v>21</v>
      </c>
      <c r="I30" s="64" t="s">
        <v>22</v>
      </c>
      <c r="J30" s="64" t="s">
        <v>23</v>
      </c>
      <c r="K30" s="64" t="s">
        <v>209</v>
      </c>
      <c r="L30" s="64" t="s">
        <v>210</v>
      </c>
      <c r="M30" s="64" t="s">
        <v>211</v>
      </c>
      <c r="N30" s="64" t="s">
        <v>193</v>
      </c>
      <c r="O30" s="60"/>
      <c r="P30" s="61">
        <f>+D33</f>
        <v>3380881</v>
      </c>
      <c r="Q30" s="62"/>
    </row>
    <row r="31" spans="1:17" ht="14.25" customHeight="1">
      <c r="A31" s="6"/>
      <c r="B31" s="65" t="str">
        <f>CONCATENATE("Presupuesto (en ",'Introducción de datos'!$D$26,")")</f>
        <v>Presupuesto (en $)</v>
      </c>
      <c r="C31" s="401">
        <v>1203071</v>
      </c>
      <c r="D31" s="402">
        <v>2177810</v>
      </c>
      <c r="E31" s="402">
        <v>2284432</v>
      </c>
      <c r="F31" s="402">
        <v>3231060</v>
      </c>
      <c r="G31" s="402">
        <v>2098152</v>
      </c>
      <c r="H31" s="402">
        <v>1936964</v>
      </c>
      <c r="I31" s="402"/>
      <c r="J31" s="402"/>
      <c r="K31" s="66"/>
      <c r="L31" s="66"/>
      <c r="M31" s="66"/>
      <c r="N31" s="66"/>
      <c r="O31" s="60"/>
      <c r="P31" s="61">
        <f>+E33</f>
        <v>5665313</v>
      </c>
      <c r="Q31" s="62"/>
    </row>
    <row r="32" spans="1:17" ht="14.25" customHeight="1">
      <c r="A32" s="6"/>
      <c r="B32" s="67" t="str">
        <f>CONCATENATE("Desembolsos por el Fondo Mundial (en ",$D$26,")")</f>
        <v>Desembolsos por el Fondo Mundial (en $)</v>
      </c>
      <c r="C32" s="401">
        <v>4765803</v>
      </c>
      <c r="D32" s="401"/>
      <c r="E32" s="401">
        <v>1649002</v>
      </c>
      <c r="F32" s="401">
        <v>3024864</v>
      </c>
      <c r="G32" s="401"/>
      <c r="H32" s="401"/>
      <c r="I32" s="402"/>
      <c r="J32" s="402"/>
      <c r="K32" s="66"/>
      <c r="L32" s="66"/>
      <c r="M32" s="66"/>
      <c r="N32" s="66"/>
      <c r="O32" s="60"/>
      <c r="P32" s="61">
        <f>+F33</f>
        <v>8896373</v>
      </c>
      <c r="Q32" s="62"/>
    </row>
    <row r="33" spans="1:17" ht="14.25" customHeight="1">
      <c r="A33" s="6"/>
      <c r="B33" s="68" t="s">
        <v>212</v>
      </c>
      <c r="C33" s="69">
        <f>+C31</f>
        <v>1203071</v>
      </c>
      <c r="D33" s="69">
        <f>IF(AND(D31=0,D32=0),0,+C33+D31)</f>
        <v>3380881</v>
      </c>
      <c r="E33" s="69">
        <f aca="true" t="shared" si="0" ref="E33:N33">IF(AND(E31=0,E32=0),0,+D33+E31)</f>
        <v>5665313</v>
      </c>
      <c r="F33" s="69">
        <f t="shared" si="0"/>
        <v>8896373</v>
      </c>
      <c r="G33" s="69">
        <f t="shared" si="0"/>
        <v>10994525</v>
      </c>
      <c r="H33" s="69">
        <f t="shared" si="0"/>
        <v>12931489</v>
      </c>
      <c r="I33" s="69">
        <f t="shared" si="0"/>
        <v>0</v>
      </c>
      <c r="J33" s="404">
        <f t="shared" si="0"/>
        <v>0</v>
      </c>
      <c r="K33" s="69">
        <f t="shared" si="0"/>
        <v>0</v>
      </c>
      <c r="L33" s="69">
        <f t="shared" si="0"/>
        <v>0</v>
      </c>
      <c r="M33" s="69">
        <f t="shared" si="0"/>
        <v>0</v>
      </c>
      <c r="N33" s="69">
        <f t="shared" si="0"/>
        <v>0</v>
      </c>
      <c r="O33" s="60"/>
      <c r="P33" s="61">
        <f>+G33</f>
        <v>10994525</v>
      </c>
      <c r="Q33" s="62"/>
    </row>
    <row r="34" spans="1:17" ht="15" customHeight="1" thickBot="1">
      <c r="A34" s="6"/>
      <c r="B34" s="70" t="s">
        <v>213</v>
      </c>
      <c r="C34" s="71">
        <f>+C32</f>
        <v>4765803</v>
      </c>
      <c r="D34" s="71">
        <f>IF(AND(D31=0,D32=0),0,+C34+D32)</f>
        <v>4765803</v>
      </c>
      <c r="E34" s="71">
        <f aca="true" t="shared" si="1" ref="E34:N34">IF(AND(E31=0,E32=0),0,+D34+E32)</f>
        <v>6414805</v>
      </c>
      <c r="F34" s="71">
        <f t="shared" si="1"/>
        <v>9439669</v>
      </c>
      <c r="G34" s="71">
        <f t="shared" si="1"/>
        <v>9439669</v>
      </c>
      <c r="H34" s="71">
        <f t="shared" si="1"/>
        <v>9439669</v>
      </c>
      <c r="I34" s="71">
        <f t="shared" si="1"/>
        <v>0</v>
      </c>
      <c r="J34" s="71">
        <f t="shared" si="1"/>
        <v>0</v>
      </c>
      <c r="K34" s="71">
        <f t="shared" si="1"/>
        <v>0</v>
      </c>
      <c r="L34" s="71">
        <f t="shared" si="1"/>
        <v>0</v>
      </c>
      <c r="M34" s="71">
        <f t="shared" si="1"/>
        <v>0</v>
      </c>
      <c r="N34" s="71">
        <f t="shared" si="1"/>
        <v>0</v>
      </c>
      <c r="O34" s="60"/>
      <c r="P34" s="61">
        <f>+H33</f>
        <v>12931489</v>
      </c>
      <c r="Q34" s="62"/>
    </row>
    <row r="35" spans="1:17" ht="15">
      <c r="A35" s="6"/>
      <c r="B35" s="6"/>
      <c r="C35" s="72">
        <f>+IF(AND(C30=$C$16,C33&lt;&gt;0),C34/C33,0)</f>
        <v>0</v>
      </c>
      <c r="D35" s="72">
        <f aca="true" t="shared" si="2" ref="D35:N35">+IF(AND(D30=$C$16,D33&lt;&gt;0),D34/D33,0)</f>
        <v>0</v>
      </c>
      <c r="E35" s="72">
        <f t="shared" si="2"/>
        <v>0</v>
      </c>
      <c r="F35" s="72">
        <f t="shared" si="2"/>
        <v>1.0610693818705668</v>
      </c>
      <c r="G35" s="72">
        <f t="shared" si="2"/>
        <v>0</v>
      </c>
      <c r="H35" s="72">
        <f t="shared" si="2"/>
        <v>0</v>
      </c>
      <c r="I35" s="72">
        <f t="shared" si="2"/>
        <v>0</v>
      </c>
      <c r="J35" s="72">
        <f t="shared" si="2"/>
        <v>0</v>
      </c>
      <c r="K35" s="72">
        <f t="shared" si="2"/>
        <v>0</v>
      </c>
      <c r="L35" s="72">
        <f t="shared" si="2"/>
        <v>0</v>
      </c>
      <c r="M35" s="72">
        <f t="shared" si="2"/>
        <v>0</v>
      </c>
      <c r="N35" s="72">
        <f t="shared" si="2"/>
        <v>0</v>
      </c>
      <c r="O35" s="73"/>
      <c r="P35" s="61">
        <f>+I33</f>
        <v>0</v>
      </c>
      <c r="Q35" s="62"/>
    </row>
    <row r="36" spans="1:29" ht="18.75">
      <c r="A36" s="6"/>
      <c r="B36" s="59" t="s">
        <v>214</v>
      </c>
      <c r="C36" s="6"/>
      <c r="D36" s="6"/>
      <c r="E36" s="74"/>
      <c r="F36" s="6"/>
      <c r="G36" s="75"/>
      <c r="H36" s="6"/>
      <c r="I36" s="6"/>
      <c r="J36" s="6"/>
      <c r="K36" s="6"/>
      <c r="L36" s="6"/>
      <c r="M36" s="6"/>
      <c r="N36" s="76"/>
      <c r="AC36" s="49"/>
    </row>
    <row r="37" spans="1:14" ht="15.75" thickBot="1">
      <c r="A37" s="6"/>
      <c r="B37" s="6"/>
      <c r="C37" s="6"/>
      <c r="D37" s="6"/>
      <c r="E37" s="6"/>
      <c r="F37" s="6"/>
      <c r="G37" s="6"/>
      <c r="H37" s="6"/>
      <c r="I37" s="6"/>
      <c r="J37" s="6"/>
      <c r="K37" s="6"/>
      <c r="L37" s="6"/>
      <c r="M37" s="6"/>
      <c r="N37" s="77"/>
    </row>
    <row r="38" spans="1:26" ht="30" customHeight="1">
      <c r="A38" s="6"/>
      <c r="B38" s="78" t="s">
        <v>215</v>
      </c>
      <c r="C38" s="79" t="str">
        <f>CONCATENATE("Presupuesto acumulado (en ",'Introducción de datos'!$D$26,")")</f>
        <v>Presupuesto acumulado (en $)</v>
      </c>
      <c r="D38" s="80" t="str">
        <f>CONCATENATE("Gastos acumulados (en ",'Introducción de datos'!$D$26,")")</f>
        <v>Gastos acumulados (en $)</v>
      </c>
      <c r="E38" s="81"/>
      <c r="F38" s="82"/>
      <c r="G38" s="6"/>
      <c r="H38" s="6"/>
      <c r="I38" s="6"/>
      <c r="J38" s="83"/>
      <c r="K38" s="84"/>
      <c r="N38"/>
      <c r="Y38" s="49"/>
      <c r="Z38" s="5"/>
    </row>
    <row r="39" spans="1:26" ht="14.25" customHeight="1">
      <c r="A39" s="6"/>
      <c r="B39" s="85" t="s">
        <v>216</v>
      </c>
      <c r="C39" s="86">
        <v>5252248</v>
      </c>
      <c r="D39" s="87">
        <v>4551856</v>
      </c>
      <c r="E39" s="437"/>
      <c r="F39" s="88"/>
      <c r="G39" s="89"/>
      <c r="H39" s="6"/>
      <c r="I39" s="6"/>
      <c r="J39" s="90"/>
      <c r="K39" s="91"/>
      <c r="N39"/>
      <c r="Y39" s="49"/>
      <c r="Z39" s="5"/>
    </row>
    <row r="40" spans="1:26" ht="14.25" customHeight="1">
      <c r="A40" s="6"/>
      <c r="B40" s="85" t="s">
        <v>217</v>
      </c>
      <c r="C40" s="86">
        <v>425155</v>
      </c>
      <c r="D40" s="87">
        <v>352101</v>
      </c>
      <c r="E40" s="437"/>
      <c r="F40" s="88"/>
      <c r="G40" s="89"/>
      <c r="H40" s="6"/>
      <c r="I40" s="6"/>
      <c r="J40" s="6"/>
      <c r="K40" s="91"/>
      <c r="N40"/>
      <c r="Y40" s="49"/>
      <c r="Z40" s="5"/>
    </row>
    <row r="41" spans="1:26" ht="15">
      <c r="A41" s="6"/>
      <c r="B41" s="93" t="s">
        <v>218</v>
      </c>
      <c r="C41" s="86">
        <v>3218970</v>
      </c>
      <c r="D41" s="87">
        <v>2698543</v>
      </c>
      <c r="E41" s="437"/>
      <c r="F41" s="94"/>
      <c r="G41" s="6"/>
      <c r="H41" s="6"/>
      <c r="I41" s="6"/>
      <c r="J41" s="6"/>
      <c r="K41" s="91"/>
      <c r="N41"/>
      <c r="Y41" s="49"/>
      <c r="Z41" s="5"/>
    </row>
    <row r="42" spans="1:26" ht="15" customHeight="1">
      <c r="A42" s="6"/>
      <c r="B42" s="85"/>
      <c r="C42" s="86"/>
      <c r="D42" s="87"/>
      <c r="E42" s="92"/>
      <c r="F42" s="95"/>
      <c r="G42" s="6"/>
      <c r="H42" s="6"/>
      <c r="I42" s="6"/>
      <c r="J42" s="6"/>
      <c r="K42" s="49"/>
      <c r="N42"/>
      <c r="Y42" s="49"/>
      <c r="Z42" s="5"/>
    </row>
    <row r="43" spans="1:26" ht="15">
      <c r="A43" s="6"/>
      <c r="B43" s="85"/>
      <c r="C43" s="86"/>
      <c r="D43" s="87"/>
      <c r="E43" s="92"/>
      <c r="F43" s="96"/>
      <c r="G43" s="6"/>
      <c r="H43" s="6"/>
      <c r="I43" s="6"/>
      <c r="J43" s="6"/>
      <c r="K43" s="49"/>
      <c r="N43"/>
      <c r="Y43" s="49"/>
      <c r="Z43" s="5"/>
    </row>
    <row r="44" spans="1:26" ht="15">
      <c r="A44" s="6"/>
      <c r="B44" s="85"/>
      <c r="C44" s="97"/>
      <c r="D44" s="98"/>
      <c r="E44" s="92"/>
      <c r="F44" s="99"/>
      <c r="G44" s="6"/>
      <c r="H44" s="6"/>
      <c r="I44" s="6"/>
      <c r="J44" s="6"/>
      <c r="K44" s="49"/>
      <c r="N44"/>
      <c r="Y44" s="49"/>
      <c r="Z44" s="5"/>
    </row>
    <row r="45" spans="1:26" ht="15">
      <c r="A45" s="6"/>
      <c r="B45" s="100"/>
      <c r="C45" s="97"/>
      <c r="D45" s="98"/>
      <c r="E45" s="92"/>
      <c r="F45" s="96"/>
      <c r="G45" s="92"/>
      <c r="H45" s="92"/>
      <c r="I45" s="92"/>
      <c r="J45" s="92"/>
      <c r="K45" s="49"/>
      <c r="N45"/>
      <c r="Y45" s="5"/>
      <c r="Z45" s="5"/>
    </row>
    <row r="46" spans="1:26" ht="15.75" thickBot="1">
      <c r="A46" s="6"/>
      <c r="B46" s="101"/>
      <c r="C46" s="97"/>
      <c r="D46" s="98"/>
      <c r="E46" s="92"/>
      <c r="F46" s="92"/>
      <c r="G46" s="92"/>
      <c r="H46" s="92"/>
      <c r="I46" s="92"/>
      <c r="J46" s="92"/>
      <c r="K46" s="49"/>
      <c r="N46"/>
      <c r="Y46" s="5"/>
      <c r="Z46" s="5"/>
    </row>
    <row r="47" spans="1:26" ht="15.75" thickBot="1">
      <c r="A47" s="6"/>
      <c r="B47" s="102" t="s">
        <v>219</v>
      </c>
      <c r="C47" s="403">
        <f>SUM(C39:C43)</f>
        <v>8896373</v>
      </c>
      <c r="D47" s="103">
        <f>SUM(D39:D43)</f>
        <v>7602500</v>
      </c>
      <c r="E47" s="104"/>
      <c r="F47" s="606" t="str">
        <f ca="1">+IF((ROUND(C47,0)=ROUND(OFFSET(B33,0,RIGHT('Introducción de datos'!$C$16,LEN('Introducción de datos'!$C$16)-1),1,1),0)),"OK: Datos corresponden","Atención: Datos no corresponden")</f>
        <v>OK: Datos corresponden</v>
      </c>
      <c r="G47" s="606"/>
      <c r="H47" s="606"/>
      <c r="I47" s="606"/>
      <c r="J47" s="105"/>
      <c r="K47" s="105"/>
      <c r="L47" s="105"/>
      <c r="M47" s="106"/>
      <c r="N47" s="73"/>
      <c r="Y47" s="5"/>
      <c r="Z47" s="5"/>
    </row>
    <row r="48" spans="1:17" ht="15">
      <c r="A48" s="6"/>
      <c r="B48" s="6"/>
      <c r="C48" s="105"/>
      <c r="D48" s="105"/>
      <c r="E48" s="107"/>
      <c r="F48" s="105"/>
      <c r="G48" s="105"/>
      <c r="H48" s="105"/>
      <c r="I48" s="105"/>
      <c r="J48" s="105"/>
      <c r="K48" s="105"/>
      <c r="L48" s="105"/>
      <c r="M48" s="105"/>
      <c r="N48" s="105"/>
      <c r="O48" s="73"/>
      <c r="P48" s="61"/>
      <c r="Q48" s="62"/>
    </row>
    <row r="49" spans="1:17" ht="18.75">
      <c r="A49" s="6"/>
      <c r="B49" s="59" t="s">
        <v>220</v>
      </c>
      <c r="C49" s="6"/>
      <c r="D49" s="6"/>
      <c r="E49" s="6"/>
      <c r="F49" s="6"/>
      <c r="G49" s="6"/>
      <c r="H49" s="6"/>
      <c r="I49" s="6"/>
      <c r="J49" s="6"/>
      <c r="K49" s="6"/>
      <c r="L49" s="6"/>
      <c r="M49" s="6"/>
      <c r="O49" s="60"/>
      <c r="P49" s="61">
        <f>+J33</f>
        <v>0</v>
      </c>
      <c r="Q49" s="62"/>
    </row>
    <row r="50" spans="1:17" ht="15.75" thickBot="1">
      <c r="A50" s="6"/>
      <c r="B50" s="6"/>
      <c r="C50" s="6"/>
      <c r="D50" s="6"/>
      <c r="E50" s="6"/>
      <c r="F50" s="6"/>
      <c r="G50" s="6"/>
      <c r="H50" s="6"/>
      <c r="I50" s="6"/>
      <c r="J50" s="6"/>
      <c r="K50" s="6"/>
      <c r="L50" s="6"/>
      <c r="M50" s="6"/>
      <c r="O50" s="60"/>
      <c r="P50" s="61">
        <f>+K33</f>
        <v>0</v>
      </c>
      <c r="Q50" s="62"/>
    </row>
    <row r="51" spans="1:28" ht="46.5" customHeight="1">
      <c r="A51" s="6"/>
      <c r="B51" s="470"/>
      <c r="C51" s="471" t="s">
        <v>221</v>
      </c>
      <c r="D51" s="471" t="s">
        <v>222</v>
      </c>
      <c r="E51" s="472" t="str">
        <f>CONCATENATE("Total gastado y desembolso (en ",D26,")")</f>
        <v>Total gastado y desembolso (en $)</v>
      </c>
      <c r="F51" s="6"/>
      <c r="G51" s="108"/>
      <c r="H51" s="82"/>
      <c r="I51" s="109"/>
      <c r="J51" s="109"/>
      <c r="K51" s="109"/>
      <c r="L51" s="109"/>
      <c r="M51" s="110"/>
      <c r="N51" s="110"/>
      <c r="O51" s="61">
        <f>+M33</f>
        <v>0</v>
      </c>
      <c r="P51" s="62"/>
      <c r="AB51" s="49"/>
    </row>
    <row r="52" spans="1:28" ht="15">
      <c r="A52" s="6"/>
      <c r="B52" s="473" t="s">
        <v>223</v>
      </c>
      <c r="C52" s="468">
        <v>6414805</v>
      </c>
      <c r="D52" s="468">
        <v>3024864</v>
      </c>
      <c r="E52" s="474">
        <f aca="true" t="shared" si="3" ref="E52:E57">+D52+C52</f>
        <v>9439669</v>
      </c>
      <c r="F52" s="6"/>
      <c r="G52" s="111"/>
      <c r="H52" s="112"/>
      <c r="I52" s="113"/>
      <c r="J52" s="114"/>
      <c r="K52" s="114"/>
      <c r="L52" s="115"/>
      <c r="M52" s="115"/>
      <c r="N52" s="115"/>
      <c r="O52" s="62"/>
      <c r="P52" s="62"/>
      <c r="AB52" s="49"/>
    </row>
    <row r="53" spans="1:28" ht="15">
      <c r="A53" s="6"/>
      <c r="B53" s="473" t="s">
        <v>224</v>
      </c>
      <c r="C53" s="468">
        <v>5197456</v>
      </c>
      <c r="D53" s="469">
        <v>2386762</v>
      </c>
      <c r="E53" s="474">
        <f t="shared" si="3"/>
        <v>7584218</v>
      </c>
      <c r="F53" s="438"/>
      <c r="G53" s="116"/>
      <c r="H53" s="112"/>
      <c r="I53" s="113"/>
      <c r="J53" s="114"/>
      <c r="K53" s="114"/>
      <c r="L53" s="115"/>
      <c r="M53" s="117"/>
      <c r="N53" s="117"/>
      <c r="O53" s="62"/>
      <c r="P53" s="62"/>
      <c r="AB53" s="49"/>
    </row>
    <row r="54" spans="1:28" ht="15">
      <c r="A54" s="6"/>
      <c r="B54" s="473" t="s">
        <v>225</v>
      </c>
      <c r="C54" s="468">
        <v>2457704</v>
      </c>
      <c r="D54" s="469">
        <v>1074093</v>
      </c>
      <c r="E54" s="474">
        <f t="shared" si="3"/>
        <v>3531797</v>
      </c>
      <c r="F54" s="6"/>
      <c r="G54" s="111"/>
      <c r="H54" s="112"/>
      <c r="I54" s="113"/>
      <c r="J54" s="114"/>
      <c r="K54" s="114"/>
      <c r="L54" s="115"/>
      <c r="M54" s="115"/>
      <c r="N54" s="115"/>
      <c r="AB54" s="49"/>
    </row>
    <row r="55" spans="1:28" ht="15">
      <c r="A55" s="6"/>
      <c r="B55" s="473" t="s">
        <v>226</v>
      </c>
      <c r="C55" s="468">
        <v>2206154</v>
      </c>
      <c r="D55" s="469">
        <v>1224132</v>
      </c>
      <c r="E55" s="474">
        <f t="shared" si="3"/>
        <v>3430286</v>
      </c>
      <c r="F55" s="6"/>
      <c r="G55" s="111"/>
      <c r="H55" s="112"/>
      <c r="I55" s="113"/>
      <c r="J55" s="114"/>
      <c r="K55" s="114"/>
      <c r="L55" s="115"/>
      <c r="M55" s="115"/>
      <c r="N55" s="115"/>
      <c r="AB55" s="49"/>
    </row>
    <row r="56" spans="1:28" ht="15">
      <c r="A56" s="6"/>
      <c r="B56" s="473" t="s">
        <v>382</v>
      </c>
      <c r="C56" s="468"/>
      <c r="D56" s="468">
        <v>462911</v>
      </c>
      <c r="E56" s="474">
        <f t="shared" si="3"/>
        <v>462911</v>
      </c>
      <c r="F56" s="6"/>
      <c r="G56" s="111"/>
      <c r="H56" s="112"/>
      <c r="I56" s="113"/>
      <c r="J56" s="114"/>
      <c r="K56" s="114"/>
      <c r="L56" s="115"/>
      <c r="M56" s="115"/>
      <c r="N56" s="115"/>
      <c r="AB56" s="49"/>
    </row>
    <row r="57" spans="1:28" ht="15.75" thickBot="1">
      <c r="A57" s="6"/>
      <c r="B57" s="475" t="s">
        <v>371</v>
      </c>
      <c r="C57" s="476"/>
      <c r="D57" s="477">
        <v>1901411</v>
      </c>
      <c r="E57" s="478">
        <f t="shared" si="3"/>
        <v>1901411</v>
      </c>
      <c r="F57" s="438"/>
      <c r="G57" s="116"/>
      <c r="H57" s="118"/>
      <c r="I57" s="119"/>
      <c r="J57" s="119"/>
      <c r="K57" s="119"/>
      <c r="L57" s="115"/>
      <c r="M57" s="117"/>
      <c r="N57" s="117"/>
      <c r="AB57" s="49"/>
    </row>
    <row r="58" spans="1:29" ht="15.75" customHeight="1">
      <c r="A58" s="6"/>
      <c r="B58" s="467" t="s">
        <v>380</v>
      </c>
      <c r="C58" s="6"/>
      <c r="D58" s="6"/>
      <c r="E58" s="6"/>
      <c r="F58" s="6"/>
      <c r="G58" s="6"/>
      <c r="H58" s="6"/>
      <c r="I58" s="6"/>
      <c r="J58" s="6"/>
      <c r="K58" s="6"/>
      <c r="L58" s="6"/>
      <c r="M58" s="6"/>
      <c r="AC58" s="49"/>
    </row>
    <row r="59" spans="1:13" ht="15">
      <c r="A59" s="6"/>
      <c r="B59" s="467" t="s">
        <v>383</v>
      </c>
      <c r="C59" s="6"/>
      <c r="D59" s="6"/>
      <c r="E59" s="6"/>
      <c r="F59" s="6"/>
      <c r="G59" s="6"/>
      <c r="H59" s="6"/>
      <c r="I59" s="6"/>
      <c r="J59" s="6"/>
      <c r="K59" s="6"/>
      <c r="L59" s="6"/>
      <c r="M59" s="6"/>
    </row>
    <row r="60" spans="1:13" ht="15">
      <c r="A60" s="6"/>
      <c r="B60" s="466"/>
      <c r="C60" s="6"/>
      <c r="D60" s="6"/>
      <c r="E60" s="6"/>
      <c r="F60" s="6"/>
      <c r="G60" s="6"/>
      <c r="H60" s="6"/>
      <c r="I60" s="6"/>
      <c r="J60" s="6"/>
      <c r="K60" s="6"/>
      <c r="L60" s="6"/>
      <c r="M60" s="6"/>
    </row>
    <row r="61" spans="1:13" ht="18.75">
      <c r="A61" s="6"/>
      <c r="B61" s="59" t="s">
        <v>227</v>
      </c>
      <c r="C61" s="6"/>
      <c r="D61" s="6"/>
      <c r="E61" s="6"/>
      <c r="F61" s="6"/>
      <c r="G61" s="6"/>
      <c r="H61" s="6"/>
      <c r="I61" s="6"/>
      <c r="J61" s="6"/>
      <c r="K61" s="6"/>
      <c r="L61" s="6"/>
      <c r="M61" s="6"/>
    </row>
    <row r="62" spans="1:13" ht="15.75" thickBot="1">
      <c r="A62" s="6"/>
      <c r="B62" s="6"/>
      <c r="C62" s="6"/>
      <c r="D62" s="6"/>
      <c r="E62" s="6"/>
      <c r="F62" s="6"/>
      <c r="G62" s="6"/>
      <c r="H62" s="6"/>
      <c r="I62" s="6"/>
      <c r="J62" s="6"/>
      <c r="K62" s="6"/>
      <c r="L62" s="6"/>
      <c r="M62" s="6"/>
    </row>
    <row r="63" spans="1:13" ht="14.25" customHeight="1">
      <c r="A63" s="6"/>
      <c r="B63" s="607" t="s">
        <v>228</v>
      </c>
      <c r="C63" s="607"/>
      <c r="D63" s="607"/>
      <c r="E63" s="6"/>
      <c r="F63" s="6"/>
      <c r="G63" s="6"/>
      <c r="H63" s="6"/>
      <c r="I63" s="6"/>
      <c r="J63" s="6"/>
      <c r="K63" s="6"/>
      <c r="L63" s="6"/>
      <c r="M63" s="5"/>
    </row>
    <row r="64" spans="1:13" ht="15">
      <c r="A64" s="6"/>
      <c r="B64" s="120"/>
      <c r="C64" s="121" t="s">
        <v>229</v>
      </c>
      <c r="D64" s="122" t="s">
        <v>230</v>
      </c>
      <c r="E64" s="6"/>
      <c r="F64" s="6"/>
      <c r="G64" s="6"/>
      <c r="H64" s="6"/>
      <c r="I64" s="6"/>
      <c r="J64" s="6"/>
      <c r="K64" s="6"/>
      <c r="L64" s="6"/>
      <c r="M64" s="5"/>
    </row>
    <row r="65" spans="1:13" ht="15">
      <c r="A65" s="6"/>
      <c r="B65" s="123" t="s">
        <v>384</v>
      </c>
      <c r="C65" s="124">
        <v>75</v>
      </c>
      <c r="D65" s="125">
        <v>75</v>
      </c>
      <c r="E65" s="6"/>
      <c r="F65" s="6"/>
      <c r="G65" s="6"/>
      <c r="H65" s="6"/>
      <c r="I65" s="6"/>
      <c r="J65" s="6"/>
      <c r="K65" s="6"/>
      <c r="L65" s="6"/>
      <c r="M65" s="5"/>
    </row>
    <row r="66" spans="1:13" ht="15">
      <c r="A66" s="6"/>
      <c r="B66" s="126" t="s">
        <v>231</v>
      </c>
      <c r="C66" s="124">
        <v>45</v>
      </c>
      <c r="D66" s="125">
        <v>24</v>
      </c>
      <c r="E66" s="6"/>
      <c r="F66" s="6"/>
      <c r="G66" s="6"/>
      <c r="H66" s="112"/>
      <c r="I66" s="112"/>
      <c r="J66" s="6"/>
      <c r="K66" s="6"/>
      <c r="L66" s="6"/>
      <c r="M66" s="5"/>
    </row>
    <row r="67" spans="1:13" ht="15.75" thickBot="1">
      <c r="A67" s="6"/>
      <c r="B67" s="127" t="s">
        <v>232</v>
      </c>
      <c r="C67" s="128">
        <v>15</v>
      </c>
      <c r="D67" s="129">
        <v>15</v>
      </c>
      <c r="E67" s="6"/>
      <c r="F67" s="6"/>
      <c r="G67" s="6"/>
      <c r="H67" s="112"/>
      <c r="I67" s="112"/>
      <c r="J67" s="6"/>
      <c r="K67" s="6"/>
      <c r="L67" s="6"/>
      <c r="M67" s="5"/>
    </row>
    <row r="68" spans="1:13" ht="15">
      <c r="A68" s="6"/>
      <c r="B68" s="480" t="s">
        <v>385</v>
      </c>
      <c r="C68" s="6"/>
      <c r="D68" s="6"/>
      <c r="E68" s="6"/>
      <c r="F68" s="6"/>
      <c r="G68" s="6"/>
      <c r="H68" s="6"/>
      <c r="I68" s="6"/>
      <c r="J68" s="6"/>
      <c r="K68" s="6"/>
      <c r="L68" s="6"/>
      <c r="M68" s="6"/>
    </row>
    <row r="69" spans="1:24" ht="15.75" thickBot="1">
      <c r="A69" s="6"/>
      <c r="B69" s="6"/>
      <c r="C69" s="6"/>
      <c r="D69" s="6"/>
      <c r="E69" s="6"/>
      <c r="F69" s="6"/>
      <c r="G69" s="6"/>
      <c r="H69" s="6"/>
      <c r="I69" s="6"/>
      <c r="J69" s="6"/>
      <c r="K69" s="6"/>
      <c r="L69" s="130"/>
      <c r="M69" s="6"/>
      <c r="W69" s="10"/>
      <c r="X69" s="10"/>
    </row>
    <row r="70" spans="1:24" ht="19.5" thickBot="1">
      <c r="A70" s="6"/>
      <c r="B70" s="131" t="s">
        <v>233</v>
      </c>
      <c r="C70" s="132"/>
      <c r="D70" s="132"/>
      <c r="E70" s="132"/>
      <c r="F70" s="132"/>
      <c r="G70" s="132"/>
      <c r="H70" s="133" t="s">
        <v>234</v>
      </c>
      <c r="I70" s="132"/>
      <c r="J70" s="134"/>
      <c r="K70" s="134"/>
      <c r="L70" s="135"/>
      <c r="M70" s="136"/>
      <c r="N70" s="137"/>
      <c r="Q70" s="54"/>
      <c r="W70" s="10"/>
      <c r="X70" s="10"/>
    </row>
    <row r="71" spans="1:24" ht="18.75">
      <c r="A71" s="6"/>
      <c r="B71" s="138"/>
      <c r="C71" s="139"/>
      <c r="D71" s="139"/>
      <c r="E71" s="139"/>
      <c r="F71" s="139"/>
      <c r="G71" s="139"/>
      <c r="H71" s="139"/>
      <c r="I71" s="139"/>
      <c r="J71" s="139"/>
      <c r="K71" s="140"/>
      <c r="L71" s="140"/>
      <c r="M71" s="139"/>
      <c r="N71" s="137"/>
      <c r="Q71" s="54"/>
      <c r="W71" s="10"/>
      <c r="X71" s="10"/>
    </row>
    <row r="72" spans="1:24" ht="18.75">
      <c r="A72" s="6"/>
      <c r="B72" s="138" t="s">
        <v>235</v>
      </c>
      <c r="C72" s="139"/>
      <c r="D72" s="139"/>
      <c r="E72" s="139"/>
      <c r="F72" s="139"/>
      <c r="G72" s="139"/>
      <c r="H72" s="139"/>
      <c r="I72" s="139"/>
      <c r="J72" s="139"/>
      <c r="K72" s="140"/>
      <c r="L72" s="140"/>
      <c r="M72" s="139"/>
      <c r="N72" s="137"/>
      <c r="Q72" s="54"/>
      <c r="W72" s="10"/>
      <c r="X72" s="10"/>
    </row>
    <row r="73" spans="1:24" ht="15.75" thickBot="1">
      <c r="A73" s="6"/>
      <c r="B73" s="141"/>
      <c r="C73" s="142"/>
      <c r="D73" s="142"/>
      <c r="E73" s="142"/>
      <c r="F73" s="142"/>
      <c r="G73" s="142"/>
      <c r="H73" s="141"/>
      <c r="I73" s="142"/>
      <c r="J73" s="141"/>
      <c r="K73" s="141"/>
      <c r="L73" s="141"/>
      <c r="M73" s="141"/>
      <c r="N73" s="49"/>
      <c r="O73" s="10"/>
      <c r="P73" s="10"/>
      <c r="Q73" s="10"/>
      <c r="X73" s="10"/>
    </row>
    <row r="74" spans="1:17" ht="75">
      <c r="A74" s="6"/>
      <c r="B74" s="601"/>
      <c r="C74" s="601"/>
      <c r="D74" s="143" t="s">
        <v>236</v>
      </c>
      <c r="E74" s="144" t="s">
        <v>237</v>
      </c>
      <c r="F74" s="144" t="s">
        <v>238</v>
      </c>
      <c r="G74" s="145" t="s">
        <v>219</v>
      </c>
      <c r="H74" s="146"/>
      <c r="I74" s="147"/>
      <c r="J74" s="92"/>
      <c r="K74" s="141"/>
      <c r="L74" s="141"/>
      <c r="M74" s="141"/>
      <c r="N74" s="49"/>
      <c r="O74" s="10"/>
      <c r="P74" s="10"/>
      <c r="Q74" s="10"/>
    </row>
    <row r="75" spans="1:17" ht="15">
      <c r="A75" s="6"/>
      <c r="B75" s="602" t="s">
        <v>239</v>
      </c>
      <c r="C75" s="602"/>
      <c r="D75" s="149"/>
      <c r="E75" s="149">
        <v>0</v>
      </c>
      <c r="F75" s="149">
        <v>0</v>
      </c>
      <c r="G75" s="150">
        <f>SUM(D75:F75)</f>
        <v>0</v>
      </c>
      <c r="H75" s="96"/>
      <c r="I75" s="151"/>
      <c r="J75" s="151"/>
      <c r="K75" s="141"/>
      <c r="L75" s="141"/>
      <c r="M75" s="141"/>
      <c r="N75" s="49"/>
      <c r="O75" s="10"/>
      <c r="P75" s="10"/>
      <c r="Q75" s="10"/>
    </row>
    <row r="76" spans="1:17" ht="15.75" thickBot="1">
      <c r="A76" s="6"/>
      <c r="B76" s="603" t="s">
        <v>240</v>
      </c>
      <c r="C76" s="603"/>
      <c r="D76" s="153"/>
      <c r="E76" s="153">
        <v>0</v>
      </c>
      <c r="F76" s="153">
        <v>0</v>
      </c>
      <c r="G76" s="154">
        <f>SUM(D76:F76)</f>
        <v>0</v>
      </c>
      <c r="H76" s="96"/>
      <c r="I76" s="92"/>
      <c r="J76" s="92"/>
      <c r="K76" s="141"/>
      <c r="L76" s="141"/>
      <c r="M76" s="141"/>
      <c r="N76" s="10"/>
      <c r="O76" s="10"/>
      <c r="P76" s="10"/>
      <c r="Q76" s="10"/>
    </row>
    <row r="77" spans="1:17" ht="15">
      <c r="A77" s="6"/>
      <c r="B77" s="141"/>
      <c r="C77" s="141"/>
      <c r="D77" s="141"/>
      <c r="E77" s="141"/>
      <c r="F77" s="141"/>
      <c r="G77" s="141"/>
      <c r="H77" s="141"/>
      <c r="I77" s="141"/>
      <c r="J77" s="141"/>
      <c r="K77" s="141"/>
      <c r="L77" s="141"/>
      <c r="M77" s="141"/>
      <c r="N77" s="10"/>
      <c r="O77" s="10"/>
      <c r="P77" s="10"/>
      <c r="Q77" s="10"/>
    </row>
    <row r="78" spans="1:17" ht="15">
      <c r="A78" s="6"/>
      <c r="B78" s="141"/>
      <c r="C78" s="141"/>
      <c r="D78" s="141"/>
      <c r="E78" s="141"/>
      <c r="F78" s="141"/>
      <c r="G78" s="141"/>
      <c r="H78" s="141"/>
      <c r="I78" s="141"/>
      <c r="J78" s="141"/>
      <c r="K78" s="141"/>
      <c r="L78" s="141"/>
      <c r="M78" s="141"/>
      <c r="N78" s="10"/>
      <c r="Q78" s="10"/>
    </row>
    <row r="79" spans="1:17" ht="18.75">
      <c r="A79" s="6"/>
      <c r="B79" s="138" t="s">
        <v>241</v>
      </c>
      <c r="C79" s="141"/>
      <c r="D79" s="141"/>
      <c r="E79" s="141"/>
      <c r="F79" s="141"/>
      <c r="G79" s="141"/>
      <c r="H79" s="141"/>
      <c r="I79" s="141"/>
      <c r="J79" s="141"/>
      <c r="K79" s="141"/>
      <c r="L79" s="141"/>
      <c r="M79" s="141"/>
      <c r="N79" s="10"/>
      <c r="Q79" s="10"/>
    </row>
    <row r="80" spans="1:17" ht="15.75" thickBot="1">
      <c r="A80" s="6"/>
      <c r="B80" s="141"/>
      <c r="C80" s="141"/>
      <c r="D80" s="141"/>
      <c r="E80" s="141"/>
      <c r="F80" s="141"/>
      <c r="G80" s="141"/>
      <c r="H80" s="141"/>
      <c r="I80" s="141"/>
      <c r="J80" s="141"/>
      <c r="K80" s="141"/>
      <c r="L80" s="141"/>
      <c r="M80" s="141"/>
      <c r="N80" s="10"/>
      <c r="Q80" s="10"/>
    </row>
    <row r="81" spans="1:17" ht="15">
      <c r="A81" s="6"/>
      <c r="B81" s="155"/>
      <c r="C81" s="156" t="s">
        <v>242</v>
      </c>
      <c r="D81" s="156" t="s">
        <v>243</v>
      </c>
      <c r="E81" s="157" t="s">
        <v>244</v>
      </c>
      <c r="F81" s="92"/>
      <c r="G81" s="92"/>
      <c r="H81" s="92"/>
      <c r="I81" s="147"/>
      <c r="J81" s="141"/>
      <c r="K81" s="141"/>
      <c r="L81" s="141"/>
      <c r="M81" s="141"/>
      <c r="N81" s="10"/>
      <c r="Q81" s="10"/>
    </row>
    <row r="82" spans="1:17" ht="15.75" thickBot="1">
      <c r="A82" s="6"/>
      <c r="B82" s="152" t="s">
        <v>245</v>
      </c>
      <c r="C82" s="158">
        <v>6</v>
      </c>
      <c r="D82" s="158">
        <v>6</v>
      </c>
      <c r="E82" s="159">
        <f>+C82-D82</f>
        <v>0</v>
      </c>
      <c r="F82" s="160"/>
      <c r="G82" s="161"/>
      <c r="H82" s="92"/>
      <c r="I82" s="151"/>
      <c r="J82" s="141"/>
      <c r="K82" s="141"/>
      <c r="L82" s="141"/>
      <c r="M82" s="141"/>
      <c r="N82" s="10"/>
      <c r="Q82" s="10"/>
    </row>
    <row r="83" spans="1:17" ht="15">
      <c r="A83" s="6"/>
      <c r="B83" s="141"/>
      <c r="C83" s="141"/>
      <c r="D83" s="141"/>
      <c r="E83" s="141"/>
      <c r="F83" s="141"/>
      <c r="G83" s="141"/>
      <c r="H83" s="141"/>
      <c r="I83" s="141"/>
      <c r="J83" s="141"/>
      <c r="K83" s="141"/>
      <c r="L83" s="141"/>
      <c r="M83" s="141"/>
      <c r="N83" s="10"/>
      <c r="Q83" s="10"/>
    </row>
    <row r="84" spans="1:17" ht="18.75">
      <c r="A84" s="6"/>
      <c r="B84" s="138" t="s">
        <v>246</v>
      </c>
      <c r="C84" s="141"/>
      <c r="D84" s="141"/>
      <c r="E84" s="141"/>
      <c r="F84" s="141"/>
      <c r="G84" s="141"/>
      <c r="H84" s="141"/>
      <c r="I84" s="141"/>
      <c r="J84" s="141"/>
      <c r="K84" s="141"/>
      <c r="L84" s="141"/>
      <c r="M84" s="141"/>
      <c r="N84" s="10"/>
      <c r="Q84" s="10"/>
    </row>
    <row r="85" spans="1:17" ht="15.75" thickBot="1">
      <c r="A85" s="6"/>
      <c r="B85" s="141"/>
      <c r="C85" s="141"/>
      <c r="D85" s="141"/>
      <c r="E85" s="141"/>
      <c r="F85" s="141"/>
      <c r="G85" s="141"/>
      <c r="H85" s="141"/>
      <c r="I85" s="141"/>
      <c r="J85" s="141"/>
      <c r="K85" s="141"/>
      <c r="L85" s="141"/>
      <c r="M85" s="141"/>
      <c r="N85" s="10"/>
      <c r="Q85" s="10"/>
    </row>
    <row r="86" spans="1:17" ht="30">
      <c r="A86" s="6"/>
      <c r="B86" s="155"/>
      <c r="C86" s="156" t="s">
        <v>247</v>
      </c>
      <c r="D86" s="156" t="s">
        <v>248</v>
      </c>
      <c r="E86" s="156" t="s">
        <v>249</v>
      </c>
      <c r="F86" s="156" t="s">
        <v>250</v>
      </c>
      <c r="G86" s="162" t="s">
        <v>251</v>
      </c>
      <c r="H86" s="439"/>
      <c r="I86" s="147"/>
      <c r="J86" s="141"/>
      <c r="K86" s="141"/>
      <c r="L86" s="141"/>
      <c r="M86" s="141"/>
      <c r="N86" s="10"/>
      <c r="Q86" s="10"/>
    </row>
    <row r="87" spans="1:17" ht="15.75" thickBot="1">
      <c r="A87" s="6"/>
      <c r="B87" s="152" t="s">
        <v>252</v>
      </c>
      <c r="C87" s="158">
        <v>11</v>
      </c>
      <c r="D87" s="158">
        <v>11</v>
      </c>
      <c r="E87" s="158">
        <v>10</v>
      </c>
      <c r="F87" s="158">
        <v>10</v>
      </c>
      <c r="G87" s="163">
        <v>10</v>
      </c>
      <c r="H87" s="164"/>
      <c r="I87" s="96"/>
      <c r="J87" s="141"/>
      <c r="K87" s="141"/>
      <c r="L87" s="141"/>
      <c r="M87" s="141"/>
      <c r="N87" s="10"/>
      <c r="Q87" s="10"/>
    </row>
    <row r="88" spans="1:17" ht="15">
      <c r="A88" s="6"/>
      <c r="B88" s="141" t="s">
        <v>372</v>
      </c>
      <c r="C88" s="141"/>
      <c r="D88" s="141"/>
      <c r="E88" s="141"/>
      <c r="F88" s="141"/>
      <c r="G88" s="141"/>
      <c r="H88" s="141"/>
      <c r="J88" s="141"/>
      <c r="K88" s="141"/>
      <c r="L88" s="141"/>
      <c r="M88" s="141"/>
      <c r="N88" s="10"/>
      <c r="Q88" s="10"/>
    </row>
    <row r="89" spans="1:17" ht="18.75">
      <c r="A89" s="6"/>
      <c r="B89" s="138" t="s">
        <v>253</v>
      </c>
      <c r="C89" s="141"/>
      <c r="D89" s="141"/>
      <c r="E89" s="141"/>
      <c r="F89" s="141"/>
      <c r="G89" s="141"/>
      <c r="H89" s="141"/>
      <c r="I89" s="141"/>
      <c r="J89" s="141"/>
      <c r="K89" s="141"/>
      <c r="L89" s="141"/>
      <c r="M89" s="141"/>
      <c r="N89" s="10"/>
      <c r="Q89" s="10"/>
    </row>
    <row r="90" spans="1:17" ht="15.75" thickBot="1">
      <c r="A90" s="6"/>
      <c r="B90" s="141"/>
      <c r="C90" s="141"/>
      <c r="D90" s="141"/>
      <c r="E90" s="141"/>
      <c r="F90" s="141"/>
      <c r="G90" s="141"/>
      <c r="H90" s="141"/>
      <c r="I90" s="141"/>
      <c r="J90" s="141"/>
      <c r="K90" s="141"/>
      <c r="L90" s="141"/>
      <c r="M90" s="141"/>
      <c r="N90" s="10"/>
      <c r="Q90" s="10"/>
    </row>
    <row r="91" spans="1:30" ht="15">
      <c r="A91" s="6"/>
      <c r="B91" s="155"/>
      <c r="C91" s="165" t="s">
        <v>254</v>
      </c>
      <c r="D91" s="165" t="s">
        <v>255</v>
      </c>
      <c r="E91" s="166" t="s">
        <v>256</v>
      </c>
      <c r="F91" s="141"/>
      <c r="G91" s="141"/>
      <c r="H91" s="141"/>
      <c r="I91" s="141"/>
      <c r="J91" s="10"/>
      <c r="K91" s="10"/>
      <c r="L91" s="10"/>
      <c r="N91"/>
      <c r="AA91" s="5"/>
      <c r="AD91"/>
    </row>
    <row r="92" spans="1:30" ht="15">
      <c r="A92" s="6"/>
      <c r="B92" s="148" t="s">
        <v>257</v>
      </c>
      <c r="C92" s="149">
        <v>0</v>
      </c>
      <c r="D92" s="167">
        <v>0</v>
      </c>
      <c r="E92" s="168">
        <f>C92-D92</f>
        <v>0</v>
      </c>
      <c r="F92" s="141"/>
      <c r="G92" s="141"/>
      <c r="H92" s="141"/>
      <c r="I92" s="141"/>
      <c r="J92" s="10"/>
      <c r="K92" s="10"/>
      <c r="L92" s="10"/>
      <c r="N92"/>
      <c r="AA92" s="5"/>
      <c r="AD92"/>
    </row>
    <row r="93" spans="1:30" ht="15.75" thickBot="1">
      <c r="A93" s="6"/>
      <c r="B93" s="152" t="s">
        <v>324</v>
      </c>
      <c r="C93" s="153">
        <v>20</v>
      </c>
      <c r="D93" s="169">
        <v>20</v>
      </c>
      <c r="E93" s="168">
        <f>C93-D93</f>
        <v>0</v>
      </c>
      <c r="F93" s="141"/>
      <c r="G93" s="141"/>
      <c r="H93" s="141"/>
      <c r="I93" s="141"/>
      <c r="J93" s="10"/>
      <c r="K93" s="10"/>
      <c r="L93" s="10"/>
      <c r="N93"/>
      <c r="AA93" s="5"/>
      <c r="AD93"/>
    </row>
    <row r="94" spans="1:17" ht="15">
      <c r="A94" s="6"/>
      <c r="B94" s="141"/>
      <c r="C94" s="141"/>
      <c r="D94" s="141"/>
      <c r="E94" s="141"/>
      <c r="F94" s="141"/>
      <c r="G94" s="141"/>
      <c r="H94" s="141"/>
      <c r="I94" s="141"/>
      <c r="J94" s="141"/>
      <c r="K94" s="141"/>
      <c r="L94" s="141"/>
      <c r="M94" s="141"/>
      <c r="N94" s="10"/>
      <c r="Q94" s="10"/>
    </row>
    <row r="95" spans="1:17" ht="15">
      <c r="A95" s="6"/>
      <c r="B95" s="141"/>
      <c r="C95" s="141"/>
      <c r="D95" s="141"/>
      <c r="E95" s="141"/>
      <c r="F95" s="141"/>
      <c r="G95" s="141"/>
      <c r="H95" s="141"/>
      <c r="I95" s="141"/>
      <c r="J95" s="141"/>
      <c r="K95" s="141"/>
      <c r="L95" s="141"/>
      <c r="M95" s="141"/>
      <c r="N95" s="10"/>
      <c r="Q95" s="10"/>
    </row>
    <row r="96" spans="1:17" ht="18.75">
      <c r="A96" s="6"/>
      <c r="B96" s="138" t="s">
        <v>258</v>
      </c>
      <c r="C96" s="141"/>
      <c r="D96" s="141"/>
      <c r="E96" s="141"/>
      <c r="F96" s="141"/>
      <c r="G96" s="141"/>
      <c r="H96" s="141"/>
      <c r="I96" s="141"/>
      <c r="J96" s="141"/>
      <c r="K96" s="141"/>
      <c r="L96" s="141"/>
      <c r="M96" s="141"/>
      <c r="N96" s="10"/>
      <c r="Q96" s="10"/>
    </row>
    <row r="97" spans="1:17" ht="15.75" thickBot="1">
      <c r="A97" s="6"/>
      <c r="B97" s="141"/>
      <c r="C97" s="141"/>
      <c r="D97" s="141"/>
      <c r="E97" s="141"/>
      <c r="F97" s="141"/>
      <c r="G97" s="141"/>
      <c r="H97" s="141"/>
      <c r="I97" s="92"/>
      <c r="J97" s="92"/>
      <c r="K97" s="92"/>
      <c r="L97" s="92"/>
      <c r="M97" s="92"/>
      <c r="N97" s="49"/>
      <c r="Q97" s="10"/>
    </row>
    <row r="98" spans="1:17" ht="15">
      <c r="A98" s="6"/>
      <c r="B98" s="170"/>
      <c r="C98" s="171" t="s">
        <v>16</v>
      </c>
      <c r="D98" s="171" t="s">
        <v>17</v>
      </c>
      <c r="E98" s="171" t="s">
        <v>18</v>
      </c>
      <c r="F98" s="171" t="s">
        <v>19</v>
      </c>
      <c r="G98" s="171" t="s">
        <v>20</v>
      </c>
      <c r="H98" s="171" t="s">
        <v>21</v>
      </c>
      <c r="I98" s="171" t="s">
        <v>22</v>
      </c>
      <c r="J98" s="171" t="s">
        <v>23</v>
      </c>
      <c r="K98" s="171" t="s">
        <v>209</v>
      </c>
      <c r="L98" s="171" t="s">
        <v>210</v>
      </c>
      <c r="M98" s="171" t="s">
        <v>211</v>
      </c>
      <c r="N98" s="172" t="s">
        <v>193</v>
      </c>
      <c r="Q98" s="10"/>
    </row>
    <row r="99" spans="1:17" ht="15" customHeight="1">
      <c r="A99" s="6"/>
      <c r="B99" s="173" t="s">
        <v>259</v>
      </c>
      <c r="C99" s="174">
        <v>0</v>
      </c>
      <c r="D99" s="174">
        <v>160268</v>
      </c>
      <c r="E99" s="174">
        <v>0</v>
      </c>
      <c r="F99" s="174">
        <v>1029828</v>
      </c>
      <c r="G99" s="174">
        <v>12000</v>
      </c>
      <c r="H99" s="174"/>
      <c r="I99" s="174"/>
      <c r="J99" s="174"/>
      <c r="K99" s="175"/>
      <c r="L99" s="175"/>
      <c r="M99" s="175"/>
      <c r="N99" s="175"/>
      <c r="Q99" s="10"/>
    </row>
    <row r="100" spans="1:17" ht="15" customHeight="1">
      <c r="A100" s="6"/>
      <c r="B100" s="173" t="s">
        <v>260</v>
      </c>
      <c r="C100" s="174">
        <v>0</v>
      </c>
      <c r="D100" s="174">
        <v>0</v>
      </c>
      <c r="E100" s="174">
        <v>0</v>
      </c>
      <c r="F100" s="174">
        <v>48622</v>
      </c>
      <c r="G100" s="174">
        <v>13860</v>
      </c>
      <c r="H100" s="174"/>
      <c r="I100" s="174"/>
      <c r="J100" s="174"/>
      <c r="K100" s="175"/>
      <c r="L100" s="175"/>
      <c r="M100" s="175"/>
      <c r="N100" s="175"/>
      <c r="Q100" s="10"/>
    </row>
    <row r="101" spans="1:17" ht="15" customHeight="1">
      <c r="A101" s="6"/>
      <c r="B101" s="173" t="s">
        <v>261</v>
      </c>
      <c r="C101" s="174"/>
      <c r="D101" s="174">
        <v>160268</v>
      </c>
      <c r="E101" s="174">
        <v>0</v>
      </c>
      <c r="F101" s="174">
        <v>696105</v>
      </c>
      <c r="G101" s="174"/>
      <c r="H101" s="174"/>
      <c r="I101" s="174"/>
      <c r="J101" s="174"/>
      <c r="K101" s="175"/>
      <c r="L101" s="175"/>
      <c r="M101" s="175"/>
      <c r="N101" s="175"/>
      <c r="Q101" s="10"/>
    </row>
    <row r="102" spans="1:17" ht="15" customHeight="1">
      <c r="A102" s="6"/>
      <c r="B102" s="176" t="s">
        <v>262</v>
      </c>
      <c r="C102" s="177">
        <f>+C99</f>
        <v>0</v>
      </c>
      <c r="D102" s="177">
        <f>+C102+D99</f>
        <v>160268</v>
      </c>
      <c r="E102" s="177">
        <f aca="true" t="shared" si="4" ref="E102:L102">+D102+E99</f>
        <v>160268</v>
      </c>
      <c r="F102" s="177">
        <f t="shared" si="4"/>
        <v>1190096</v>
      </c>
      <c r="G102" s="177">
        <f t="shared" si="4"/>
        <v>1202096</v>
      </c>
      <c r="H102" s="177">
        <f t="shared" si="4"/>
        <v>1202096</v>
      </c>
      <c r="I102" s="177">
        <f t="shared" si="4"/>
        <v>1202096</v>
      </c>
      <c r="J102" s="177">
        <f t="shared" si="4"/>
        <v>1202096</v>
      </c>
      <c r="K102" s="177">
        <f t="shared" si="4"/>
        <v>1202096</v>
      </c>
      <c r="L102" s="177">
        <f t="shared" si="4"/>
        <v>1202096</v>
      </c>
      <c r="M102" s="178">
        <f aca="true" t="shared" si="5" ref="M102:N104">+L102+M99</f>
        <v>1202096</v>
      </c>
      <c r="N102" s="178">
        <f t="shared" si="5"/>
        <v>1202096</v>
      </c>
      <c r="Q102" s="10"/>
    </row>
    <row r="103" spans="1:17" ht="15" customHeight="1">
      <c r="A103" s="6"/>
      <c r="B103" s="176" t="s">
        <v>263</v>
      </c>
      <c r="C103" s="177">
        <f>+C100</f>
        <v>0</v>
      </c>
      <c r="D103" s="177">
        <f aca="true" t="shared" si="6" ref="D103:L103">+C103+D100</f>
        <v>0</v>
      </c>
      <c r="E103" s="177">
        <f>+D103+E100</f>
        <v>0</v>
      </c>
      <c r="F103" s="177">
        <f t="shared" si="6"/>
        <v>48622</v>
      </c>
      <c r="G103" s="177">
        <f t="shared" si="6"/>
        <v>62482</v>
      </c>
      <c r="H103" s="177">
        <f t="shared" si="6"/>
        <v>62482</v>
      </c>
      <c r="I103" s="177">
        <f t="shared" si="6"/>
        <v>62482</v>
      </c>
      <c r="J103" s="177">
        <f t="shared" si="6"/>
        <v>62482</v>
      </c>
      <c r="K103" s="177">
        <f t="shared" si="6"/>
        <v>62482</v>
      </c>
      <c r="L103" s="177">
        <f t="shared" si="6"/>
        <v>62482</v>
      </c>
      <c r="M103" s="178">
        <f t="shared" si="5"/>
        <v>62482</v>
      </c>
      <c r="N103" s="178">
        <f t="shared" si="5"/>
        <v>62482</v>
      </c>
      <c r="Q103" s="10"/>
    </row>
    <row r="104" spans="1:17" ht="15">
      <c r="A104" s="6"/>
      <c r="B104" s="179" t="s">
        <v>264</v>
      </c>
      <c r="C104" s="180">
        <f>+C101</f>
        <v>0</v>
      </c>
      <c r="D104" s="177">
        <f aca="true" t="shared" si="7" ref="D104:L104">+C104+D101</f>
        <v>160268</v>
      </c>
      <c r="E104" s="177">
        <f t="shared" si="7"/>
        <v>160268</v>
      </c>
      <c r="F104" s="177">
        <f t="shared" si="7"/>
        <v>856373</v>
      </c>
      <c r="G104" s="177">
        <f t="shared" si="7"/>
        <v>856373</v>
      </c>
      <c r="H104" s="177">
        <f t="shared" si="7"/>
        <v>856373</v>
      </c>
      <c r="I104" s="177">
        <f t="shared" si="7"/>
        <v>856373</v>
      </c>
      <c r="J104" s="177">
        <f t="shared" si="7"/>
        <v>856373</v>
      </c>
      <c r="K104" s="177">
        <f t="shared" si="7"/>
        <v>856373</v>
      </c>
      <c r="L104" s="177">
        <f t="shared" si="7"/>
        <v>856373</v>
      </c>
      <c r="M104" s="178">
        <f t="shared" si="5"/>
        <v>856373</v>
      </c>
      <c r="N104" s="178">
        <f t="shared" si="5"/>
        <v>856373</v>
      </c>
      <c r="Q104" s="10"/>
    </row>
    <row r="105" spans="1:17" ht="15">
      <c r="A105" s="6"/>
      <c r="B105" s="6"/>
      <c r="C105" s="141"/>
      <c r="D105" s="141"/>
      <c r="E105" s="440"/>
      <c r="F105" s="141"/>
      <c r="G105" s="141"/>
      <c r="H105" s="141"/>
      <c r="I105" s="92"/>
      <c r="J105" s="181"/>
      <c r="K105" s="182"/>
      <c r="L105" s="92"/>
      <c r="M105" s="183"/>
      <c r="N105" s="49"/>
      <c r="Q105" s="10"/>
    </row>
    <row r="106" spans="1:17" ht="15">
      <c r="A106" s="6"/>
      <c r="B106" s="184" t="s">
        <v>265</v>
      </c>
      <c r="C106" s="141"/>
      <c r="D106" s="141"/>
      <c r="E106" s="141"/>
      <c r="F106" s="141"/>
      <c r="G106" s="141"/>
      <c r="H106" s="141"/>
      <c r="I106" s="92"/>
      <c r="J106" s="181"/>
      <c r="K106" s="182"/>
      <c r="L106" s="92"/>
      <c r="M106" s="183"/>
      <c r="N106" s="49"/>
      <c r="Q106" s="10"/>
    </row>
    <row r="107" spans="1:17" ht="15">
      <c r="A107" s="6"/>
      <c r="B107" s="483" t="s">
        <v>386</v>
      </c>
      <c r="C107" s="141"/>
      <c r="D107" s="141"/>
      <c r="E107" s="141"/>
      <c r="F107" s="141"/>
      <c r="G107" s="141"/>
      <c r="H107" s="141"/>
      <c r="I107" s="92"/>
      <c r="J107" s="181"/>
      <c r="K107" s="183"/>
      <c r="L107" s="92"/>
      <c r="M107" s="183"/>
      <c r="N107" s="49"/>
      <c r="Q107" s="10"/>
    </row>
    <row r="108" spans="1:14" ht="15">
      <c r="A108" s="6"/>
      <c r="B108" s="6"/>
      <c r="C108" s="6"/>
      <c r="D108" s="6"/>
      <c r="E108" s="6"/>
      <c r="F108" s="6"/>
      <c r="G108" s="6"/>
      <c r="H108" s="6"/>
      <c r="I108" s="92"/>
      <c r="J108" s="92"/>
      <c r="K108" s="92"/>
      <c r="L108" s="92"/>
      <c r="M108" s="92"/>
      <c r="N108" s="49"/>
    </row>
    <row r="109" spans="1:14" ht="18.75">
      <c r="A109" s="6"/>
      <c r="B109" s="138" t="s">
        <v>266</v>
      </c>
      <c r="C109" s="6"/>
      <c r="D109" s="6"/>
      <c r="E109" s="6"/>
      <c r="F109" s="6"/>
      <c r="G109" s="6"/>
      <c r="H109" s="6"/>
      <c r="I109" s="92"/>
      <c r="J109" s="92"/>
      <c r="K109" s="92"/>
      <c r="L109" s="92"/>
      <c r="M109" s="92"/>
      <c r="N109" s="49"/>
    </row>
    <row r="110" spans="1:17" ht="15.75" thickBot="1">
      <c r="A110" s="6"/>
      <c r="B110" s="6"/>
      <c r="C110" s="92"/>
      <c r="D110" s="92"/>
      <c r="E110" s="92"/>
      <c r="F110" s="92"/>
      <c r="G110" s="141"/>
      <c r="H110" s="141"/>
      <c r="I110" s="141"/>
      <c r="J110" s="92"/>
      <c r="K110" s="141"/>
      <c r="L110" s="92"/>
      <c r="M110" s="92"/>
      <c r="N110" s="49"/>
      <c r="O110" s="10"/>
      <c r="Q110" s="49"/>
    </row>
    <row r="111" spans="1:16" ht="135" customHeight="1">
      <c r="A111" s="6"/>
      <c r="B111" s="448" t="s">
        <v>267</v>
      </c>
      <c r="C111" s="449" t="s">
        <v>268</v>
      </c>
      <c r="D111" s="450" t="s">
        <v>348</v>
      </c>
      <c r="E111" s="450" t="s">
        <v>368</v>
      </c>
      <c r="F111" s="451" t="s">
        <v>369</v>
      </c>
      <c r="G111" s="451" t="s">
        <v>370</v>
      </c>
      <c r="H111" s="481" t="s">
        <v>345</v>
      </c>
      <c r="I111" s="451" t="s">
        <v>346</v>
      </c>
      <c r="J111" s="481" t="s">
        <v>347</v>
      </c>
      <c r="K111" s="482" t="s">
        <v>269</v>
      </c>
      <c r="L111" s="141"/>
      <c r="M111" s="49"/>
      <c r="N111" s="49"/>
      <c r="P111" s="49"/>
    </row>
    <row r="112" spans="1:16" ht="30.75" thickBot="1">
      <c r="A112" s="6"/>
      <c r="B112" s="544" t="s">
        <v>45</v>
      </c>
      <c r="C112" s="444" t="s">
        <v>357</v>
      </c>
      <c r="D112" s="442">
        <v>40</v>
      </c>
      <c r="E112" s="442">
        <f>IF(ISBLANK(D112),"",D112*3)</f>
        <v>120</v>
      </c>
      <c r="F112" s="406">
        <v>6892</v>
      </c>
      <c r="G112" s="408">
        <f>IF(AND(E112&gt;0,F112&gt;0),(F112*E112),"")</f>
        <v>827040</v>
      </c>
      <c r="H112" s="593">
        <v>6769152</v>
      </c>
      <c r="I112" s="536">
        <f>IF(AND((G112+G113+G114)&gt;0,H112&gt;0),H112/(G112+G113+G114),"")*6</f>
        <v>17.768668626627466</v>
      </c>
      <c r="J112" s="596">
        <v>5</v>
      </c>
      <c r="K112" s="546">
        <f>IF(AND(I112&gt;0,J112&gt;0),I112-J112,"")</f>
        <v>12.768668626627466</v>
      </c>
      <c r="L112" s="141"/>
      <c r="M112" s="49"/>
      <c r="N112" s="49"/>
      <c r="P112" s="49"/>
    </row>
    <row r="113" spans="1:16" ht="30.75" thickBot="1">
      <c r="A113" s="6"/>
      <c r="B113" s="544"/>
      <c r="C113" s="444" t="s">
        <v>358</v>
      </c>
      <c r="D113" s="442">
        <v>192</v>
      </c>
      <c r="E113" s="442">
        <f>IF(ISBLANK(D113),"",D113*3)</f>
        <v>576</v>
      </c>
      <c r="F113" s="406">
        <v>2429</v>
      </c>
      <c r="G113" s="408">
        <f>IF(AND(E113&gt;0,F113&gt;0),(F113*E113),"")</f>
        <v>1399104</v>
      </c>
      <c r="H113" s="594"/>
      <c r="I113" s="537" t="e">
        <f>IF(AND(G113&gt;0,H113&gt;0),H113/G113,"")*12</f>
        <v>#VALUE!</v>
      </c>
      <c r="J113" s="541"/>
      <c r="K113" s="547"/>
      <c r="L113" s="141"/>
      <c r="M113" s="49"/>
      <c r="N113" s="49"/>
      <c r="P113" s="49"/>
    </row>
    <row r="114" spans="1:16" ht="31.5" customHeight="1" thickBot="1">
      <c r="A114" s="6"/>
      <c r="B114" s="544"/>
      <c r="C114" s="444" t="s">
        <v>359</v>
      </c>
      <c r="D114" s="442">
        <v>48</v>
      </c>
      <c r="E114" s="442">
        <f>IF(ISBLANK(D114),"",D114*3)</f>
        <v>144</v>
      </c>
      <c r="F114" s="406">
        <v>414</v>
      </c>
      <c r="G114" s="408">
        <f>IF(AND(E114&gt;0,F114&gt;0),(F114*E114),"")</f>
        <v>59616</v>
      </c>
      <c r="H114" s="595"/>
      <c r="I114" s="550" t="e">
        <f>IF(AND(G114&gt;0,H114&gt;0),H114/G114,"")*12</f>
        <v>#VALUE!</v>
      </c>
      <c r="J114" s="542"/>
      <c r="K114" s="549"/>
      <c r="L114" s="141"/>
      <c r="M114" s="441"/>
      <c r="N114" s="49"/>
      <c r="P114" s="49"/>
    </row>
    <row r="115" spans="1:14" ht="30.75" thickBot="1">
      <c r="A115" s="6"/>
      <c r="B115" s="544"/>
      <c r="C115" s="444" t="s">
        <v>335</v>
      </c>
      <c r="D115" s="442">
        <v>3</v>
      </c>
      <c r="E115" s="442">
        <f>IF(ISBLANK(D115),"",D115*6)</f>
        <v>18</v>
      </c>
      <c r="F115" s="406">
        <v>2429</v>
      </c>
      <c r="G115" s="408">
        <f>IF(AND(E115&gt;0,F115&gt;0),(F115*E115),"")</f>
        <v>43722</v>
      </c>
      <c r="H115" s="407">
        <v>36460</v>
      </c>
      <c r="I115" s="479">
        <f>IF(AND(G115&gt;0,H115&gt;0),H115/G115,"")*6</f>
        <v>5.003430767119528</v>
      </c>
      <c r="J115" s="405">
        <v>5</v>
      </c>
      <c r="K115" s="452">
        <f>IF(AND(I115&gt;0,J115&gt;0),I115-J115,"")</f>
        <v>0.0034307671195277223</v>
      </c>
      <c r="L115" s="141"/>
      <c r="M115" s="49"/>
      <c r="N115" s="49"/>
    </row>
    <row r="116" spans="1:14" ht="15.75" thickBot="1">
      <c r="A116" s="6"/>
      <c r="B116" s="544"/>
      <c r="C116" s="444" t="s">
        <v>361</v>
      </c>
      <c r="D116" s="442"/>
      <c r="E116" s="442"/>
      <c r="F116" s="484"/>
      <c r="G116" s="408">
        <v>3600</v>
      </c>
      <c r="H116" s="485">
        <v>2988</v>
      </c>
      <c r="I116" s="479">
        <f>IF(AND(G116&gt;0,H116&gt;0),H116/G116,"")*12</f>
        <v>9.959999999999999</v>
      </c>
      <c r="J116" s="486">
        <v>5</v>
      </c>
      <c r="K116" s="452">
        <f>IF(AND(I116&gt;0,J116&gt;0),I116-J116,"")</f>
        <v>4.959999999999999</v>
      </c>
      <c r="L116" s="141"/>
      <c r="M116" s="49"/>
      <c r="N116" s="49"/>
    </row>
    <row r="117" spans="1:16" ht="15.75" thickBot="1">
      <c r="A117" s="6"/>
      <c r="B117" s="544"/>
      <c r="C117" s="445" t="s">
        <v>349</v>
      </c>
      <c r="D117" s="442">
        <v>3</v>
      </c>
      <c r="E117" s="442">
        <f>IF(ISBLANK(D117),"",D117*3)</f>
        <v>9</v>
      </c>
      <c r="F117" s="406">
        <v>2429</v>
      </c>
      <c r="G117" s="408">
        <f aca="true" t="shared" si="8" ref="G117:G123">IF(AND(E117&gt;0,F117&gt;0),(F117*E117),"")</f>
        <v>21861</v>
      </c>
      <c r="H117" s="407">
        <v>5719</v>
      </c>
      <c r="I117" s="479">
        <f>IF(AND(G117&gt;0,H117&gt;0),H117/G117,"")*12</f>
        <v>3.1392891450528335</v>
      </c>
      <c r="J117" s="405">
        <v>5</v>
      </c>
      <c r="K117" s="452">
        <f>IF(AND(I117&gt;0,J117&gt;0),I117-J117,"")</f>
        <v>-1.8607108549471665</v>
      </c>
      <c r="L117" s="141"/>
      <c r="M117" s="49"/>
      <c r="N117" s="49"/>
      <c r="P117" s="49"/>
    </row>
    <row r="118" spans="1:16" ht="30.75" thickBot="1">
      <c r="A118" s="6"/>
      <c r="B118" s="544"/>
      <c r="C118" s="446" t="s">
        <v>362</v>
      </c>
      <c r="D118" s="442"/>
      <c r="E118" s="442">
        <v>5</v>
      </c>
      <c r="F118" s="406">
        <v>6892</v>
      </c>
      <c r="G118" s="408">
        <f>IF(AND(E118&gt;0,F118&gt;0),(F118*E118),"")</f>
        <v>34460</v>
      </c>
      <c r="H118" s="533">
        <v>60</v>
      </c>
      <c r="I118" s="536">
        <f>IF(AND((G118+G119+G120)&gt;0,H118&gt;0),H118/(G118+G119+G120),"")*12</f>
        <v>0.015430775825117874</v>
      </c>
      <c r="J118" s="540">
        <v>5</v>
      </c>
      <c r="K118" s="546">
        <f>IF(AND(I118&gt;0,J118&gt;0),I118-J118,"")</f>
        <v>-4.984569224174882</v>
      </c>
      <c r="L118" s="141"/>
      <c r="M118" s="49"/>
      <c r="N118" s="49"/>
      <c r="P118" s="49"/>
    </row>
    <row r="119" spans="1:16" ht="33" customHeight="1" thickBot="1">
      <c r="A119" s="6"/>
      <c r="B119" s="544"/>
      <c r="C119" s="446" t="s">
        <v>363</v>
      </c>
      <c r="D119" s="442"/>
      <c r="E119" s="443">
        <v>4</v>
      </c>
      <c r="F119" s="406">
        <v>2429</v>
      </c>
      <c r="G119" s="408">
        <f>IF(AND(E119&gt;0,F119&gt;0),(F119*E119),"")</f>
        <v>9716</v>
      </c>
      <c r="H119" s="534"/>
      <c r="I119" s="537" t="e">
        <f>IF(AND(G119&gt;0,H119&gt;0),H119/G119,"")*12</f>
        <v>#VALUE!</v>
      </c>
      <c r="J119" s="541"/>
      <c r="K119" s="547"/>
      <c r="L119" s="141"/>
      <c r="M119" s="441"/>
      <c r="N119" s="49"/>
      <c r="P119" s="49"/>
    </row>
    <row r="120" spans="1:16" ht="30.75" thickBot="1">
      <c r="A120" s="6"/>
      <c r="B120" s="544"/>
      <c r="C120" s="446" t="s">
        <v>364</v>
      </c>
      <c r="D120" s="442"/>
      <c r="E120" s="443">
        <v>6</v>
      </c>
      <c r="F120" s="406">
        <v>414</v>
      </c>
      <c r="G120" s="408">
        <f>IF(AND(E120&gt;0,F120&gt;0),(F120*E120),"")</f>
        <v>2484</v>
      </c>
      <c r="H120" s="539"/>
      <c r="I120" s="550" t="e">
        <f>IF(AND(G120&gt;0,H120&gt;0),H120/G120,"")*12</f>
        <v>#VALUE!</v>
      </c>
      <c r="J120" s="542"/>
      <c r="K120" s="549"/>
      <c r="L120" s="141"/>
      <c r="M120" s="49"/>
      <c r="N120" s="49"/>
      <c r="P120" s="49"/>
    </row>
    <row r="121" spans="1:16" ht="30.75" thickBot="1">
      <c r="A121" s="6"/>
      <c r="B121" s="544"/>
      <c r="C121" s="447" t="s">
        <v>365</v>
      </c>
      <c r="D121" s="442"/>
      <c r="E121" s="443">
        <v>8</v>
      </c>
      <c r="F121" s="406">
        <v>6892</v>
      </c>
      <c r="G121" s="408">
        <f>IF(AND(E121&gt;0,F121&gt;0),(F121*E121),"")</f>
        <v>55136</v>
      </c>
      <c r="H121" s="533">
        <v>41585</v>
      </c>
      <c r="I121" s="536">
        <f>IF(AND((G121+G122+G123)&gt;0,H121&gt;0),H121/(G121+G122+G123),"")*12</f>
        <v>6.181881248219219</v>
      </c>
      <c r="J121" s="540">
        <v>5</v>
      </c>
      <c r="K121" s="546">
        <f>IF(AND(I121&gt;0,J121&gt;0),I121-J121,"")</f>
        <v>1.1818812482192191</v>
      </c>
      <c r="L121" s="141"/>
      <c r="M121" s="49"/>
      <c r="N121" s="49"/>
      <c r="P121" s="49"/>
    </row>
    <row r="122" spans="1:16" ht="30.75" thickBot="1">
      <c r="A122" s="6"/>
      <c r="B122" s="544"/>
      <c r="C122" s="447" t="s">
        <v>366</v>
      </c>
      <c r="D122" s="442"/>
      <c r="E122" s="443">
        <v>9</v>
      </c>
      <c r="F122" s="406">
        <v>2429</v>
      </c>
      <c r="G122" s="408">
        <f t="shared" si="8"/>
        <v>21861</v>
      </c>
      <c r="H122" s="534"/>
      <c r="I122" s="537" t="e">
        <f>IF(AND(G122&gt;0,H122&gt;0),H122/G122,"")*12</f>
        <v>#VALUE!</v>
      </c>
      <c r="J122" s="541"/>
      <c r="K122" s="547"/>
      <c r="L122" s="141"/>
      <c r="M122" s="49"/>
      <c r="N122" s="49"/>
      <c r="P122" s="49"/>
    </row>
    <row r="123" spans="1:16" ht="30.75" thickBot="1">
      <c r="A123" s="6"/>
      <c r="B123" s="545"/>
      <c r="C123" s="453" t="s">
        <v>367</v>
      </c>
      <c r="D123" s="454"/>
      <c r="E123" s="454">
        <v>9</v>
      </c>
      <c r="F123" s="464">
        <v>414</v>
      </c>
      <c r="G123" s="465">
        <f t="shared" si="8"/>
        <v>3726</v>
      </c>
      <c r="H123" s="535"/>
      <c r="I123" s="538" t="e">
        <f>IF(AND(G123&gt;0,H123&gt;0),H123/G123,"")*12</f>
        <v>#VALUE!</v>
      </c>
      <c r="J123" s="543"/>
      <c r="K123" s="548"/>
      <c r="L123" s="141"/>
      <c r="M123" s="49"/>
      <c r="N123" s="49"/>
      <c r="P123" s="49"/>
    </row>
    <row r="124" spans="1:17" ht="15">
      <c r="A124" s="6"/>
      <c r="B124" s="6" t="s">
        <v>360</v>
      </c>
      <c r="C124" s="6"/>
      <c r="D124" s="185"/>
      <c r="E124" s="6"/>
      <c r="F124" s="6"/>
      <c r="G124" s="141"/>
      <c r="H124" s="141"/>
      <c r="I124" s="141"/>
      <c r="J124" s="6"/>
      <c r="K124" s="6"/>
      <c r="L124" s="141"/>
      <c r="M124" s="141"/>
      <c r="N124" s="49"/>
      <c r="O124" s="10"/>
      <c r="Q124" s="49"/>
    </row>
    <row r="125" spans="1:13" ht="41.25" customHeight="1">
      <c r="A125" s="6"/>
      <c r="B125" s="532" t="s">
        <v>373</v>
      </c>
      <c r="C125" s="532"/>
      <c r="D125" s="6"/>
      <c r="E125" s="6"/>
      <c r="F125" s="6"/>
      <c r="G125" s="6"/>
      <c r="H125" s="6"/>
      <c r="I125" s="141"/>
      <c r="J125" s="139"/>
      <c r="K125" s="139"/>
      <c r="L125" s="6"/>
      <c r="M125" s="6"/>
    </row>
    <row r="126" spans="1:15" ht="19.5" thickBot="1">
      <c r="A126" s="6"/>
      <c r="B126" s="186" t="s">
        <v>274</v>
      </c>
      <c r="C126" s="187"/>
      <c r="D126" s="187"/>
      <c r="E126" s="188"/>
      <c r="F126" s="188"/>
      <c r="G126" s="188"/>
      <c r="H126" s="189"/>
      <c r="I126" s="190"/>
      <c r="J126" s="191"/>
      <c r="K126" s="192" t="s">
        <v>275</v>
      </c>
      <c r="L126" s="188"/>
      <c r="M126" s="193"/>
      <c r="N126" s="194"/>
      <c r="O126" s="5"/>
    </row>
    <row r="127" spans="1:15" ht="15.75" thickBot="1">
      <c r="A127" s="6"/>
      <c r="B127" s="6"/>
      <c r="C127" s="6"/>
      <c r="D127" s="6"/>
      <c r="E127" s="6"/>
      <c r="F127" s="6"/>
      <c r="G127" s="6"/>
      <c r="H127" s="6"/>
      <c r="I127" s="6"/>
      <c r="J127" s="6"/>
      <c r="K127" s="6"/>
      <c r="L127" s="6"/>
      <c r="M127" s="6"/>
      <c r="N127"/>
      <c r="O127" s="5"/>
    </row>
    <row r="128" spans="1:17" ht="25.5">
      <c r="A128" s="6"/>
      <c r="B128" s="592" t="s">
        <v>276</v>
      </c>
      <c r="C128" s="592"/>
      <c r="D128" s="592"/>
      <c r="E128" s="195" t="s">
        <v>277</v>
      </c>
      <c r="F128" s="196" t="s">
        <v>278</v>
      </c>
      <c r="G128" s="197"/>
      <c r="H128" s="198" t="s">
        <v>16</v>
      </c>
      <c r="I128" s="198" t="s">
        <v>17</v>
      </c>
      <c r="J128" s="198" t="s">
        <v>18</v>
      </c>
      <c r="K128" s="198" t="s">
        <v>19</v>
      </c>
      <c r="L128" s="198" t="s">
        <v>20</v>
      </c>
      <c r="M128" s="198" t="s">
        <v>21</v>
      </c>
      <c r="N128" s="198" t="s">
        <v>22</v>
      </c>
      <c r="O128" s="198" t="s">
        <v>23</v>
      </c>
      <c r="P128" s="198" t="s">
        <v>209</v>
      </c>
      <c r="Q128" s="198" t="s">
        <v>210</v>
      </c>
    </row>
    <row r="129" spans="1:17" ht="15">
      <c r="A129" s="6"/>
      <c r="B129" s="199"/>
      <c r="C129" s="200"/>
      <c r="D129" s="200"/>
      <c r="E129" s="201"/>
      <c r="F129" s="202"/>
      <c r="G129" s="203"/>
      <c r="H129" s="409"/>
      <c r="I129" s="409"/>
      <c r="J129" s="409"/>
      <c r="K129" s="409"/>
      <c r="L129" s="409"/>
      <c r="M129" s="409"/>
      <c r="N129" s="409"/>
      <c r="O129" s="409"/>
      <c r="P129" s="409"/>
      <c r="Q129" s="410"/>
    </row>
    <row r="130" spans="1:17" ht="15" customHeight="1">
      <c r="A130" s="597" t="s">
        <v>279</v>
      </c>
      <c r="B130" s="574" t="s">
        <v>327</v>
      </c>
      <c r="C130" s="575"/>
      <c r="D130" s="576"/>
      <c r="E130" s="564" t="s">
        <v>333</v>
      </c>
      <c r="F130" s="566" t="s">
        <v>280</v>
      </c>
      <c r="G130" s="418" t="s">
        <v>281</v>
      </c>
      <c r="H130" s="204">
        <v>1558</v>
      </c>
      <c r="I130" s="204">
        <v>2336</v>
      </c>
      <c r="J130" s="204">
        <v>2878</v>
      </c>
      <c r="K130" s="412">
        <v>6254</v>
      </c>
      <c r="L130" s="205"/>
      <c r="M130" s="411"/>
      <c r="N130" s="420"/>
      <c r="O130" s="420"/>
      <c r="P130" s="413"/>
      <c r="Q130" s="413"/>
    </row>
    <row r="131" spans="1:17" ht="15">
      <c r="A131" s="597"/>
      <c r="B131" s="577"/>
      <c r="C131" s="578"/>
      <c r="D131" s="579"/>
      <c r="E131" s="565"/>
      <c r="F131" s="567"/>
      <c r="G131" s="418" t="s">
        <v>282</v>
      </c>
      <c r="H131" s="204">
        <v>155</v>
      </c>
      <c r="I131" s="204">
        <v>3973</v>
      </c>
      <c r="J131" s="204">
        <v>3198</v>
      </c>
      <c r="K131" s="412">
        <v>6892</v>
      </c>
      <c r="L131" s="204"/>
      <c r="M131" s="411"/>
      <c r="N131" s="420"/>
      <c r="O131" s="420"/>
      <c r="P131" s="413"/>
      <c r="Q131" s="413"/>
    </row>
    <row r="132" spans="1:17" ht="15" customHeight="1">
      <c r="A132" s="597"/>
      <c r="B132" s="568" t="s">
        <v>328</v>
      </c>
      <c r="C132" s="569"/>
      <c r="D132" s="570"/>
      <c r="E132" s="564" t="s">
        <v>333</v>
      </c>
      <c r="F132" s="566" t="s">
        <v>280</v>
      </c>
      <c r="G132" s="419" t="s">
        <v>281</v>
      </c>
      <c r="H132" s="204">
        <v>1171</v>
      </c>
      <c r="I132" s="204">
        <v>1175</v>
      </c>
      <c r="J132" s="204">
        <v>2196</v>
      </c>
      <c r="K132" s="412">
        <v>4754</v>
      </c>
      <c r="L132" s="204"/>
      <c r="M132" s="411"/>
      <c r="N132" s="421"/>
      <c r="O132" s="421"/>
      <c r="P132" s="414"/>
      <c r="Q132" s="414"/>
    </row>
    <row r="133" spans="1:17" ht="15">
      <c r="A133" s="597"/>
      <c r="B133" s="571"/>
      <c r="C133" s="572"/>
      <c r="D133" s="573"/>
      <c r="E133" s="565"/>
      <c r="F133" s="567"/>
      <c r="G133" s="419" t="s">
        <v>282</v>
      </c>
      <c r="H133" s="204">
        <v>44</v>
      </c>
      <c r="I133" s="204">
        <v>2918</v>
      </c>
      <c r="J133" s="204">
        <v>2582</v>
      </c>
      <c r="K133" s="412">
        <v>4017</v>
      </c>
      <c r="L133" s="204"/>
      <c r="M133" s="411"/>
      <c r="N133" s="421"/>
      <c r="O133" s="421"/>
      <c r="P133" s="414"/>
      <c r="Q133" s="414"/>
    </row>
    <row r="134" spans="1:17" ht="15" customHeight="1">
      <c r="A134" s="597"/>
      <c r="B134" s="574" t="s">
        <v>329</v>
      </c>
      <c r="C134" s="575"/>
      <c r="D134" s="576"/>
      <c r="E134" s="564" t="s">
        <v>333</v>
      </c>
      <c r="F134" s="566" t="s">
        <v>280</v>
      </c>
      <c r="G134" s="418" t="s">
        <v>281</v>
      </c>
      <c r="H134" s="204">
        <v>220</v>
      </c>
      <c r="I134" s="204">
        <v>331</v>
      </c>
      <c r="J134" s="204">
        <v>279</v>
      </c>
      <c r="K134" s="412">
        <v>819</v>
      </c>
      <c r="L134" s="204"/>
      <c r="M134" s="411"/>
      <c r="N134" s="420"/>
      <c r="O134" s="420"/>
      <c r="P134" s="413"/>
      <c r="Q134" s="413"/>
    </row>
    <row r="135" spans="1:17" ht="15">
      <c r="A135" s="597"/>
      <c r="B135" s="577"/>
      <c r="C135" s="578"/>
      <c r="D135" s="579"/>
      <c r="E135" s="565"/>
      <c r="F135" s="567"/>
      <c r="G135" s="418" t="s">
        <v>282</v>
      </c>
      <c r="H135" s="204">
        <v>34</v>
      </c>
      <c r="I135" s="204">
        <v>524</v>
      </c>
      <c r="J135" s="204">
        <v>280</v>
      </c>
      <c r="K135" s="412">
        <v>719</v>
      </c>
      <c r="L135" s="204"/>
      <c r="M135" s="416"/>
      <c r="N135" s="420"/>
      <c r="O135" s="420"/>
      <c r="P135" s="413"/>
      <c r="Q135" s="413"/>
    </row>
    <row r="136" spans="1:17" ht="15" customHeight="1">
      <c r="A136" s="6"/>
      <c r="B136" s="568" t="s">
        <v>330</v>
      </c>
      <c r="C136" s="569"/>
      <c r="D136" s="570"/>
      <c r="E136" s="564" t="s">
        <v>334</v>
      </c>
      <c r="F136" s="566" t="s">
        <v>280</v>
      </c>
      <c r="G136" s="419" t="s">
        <v>281</v>
      </c>
      <c r="H136" s="204">
        <v>453</v>
      </c>
      <c r="I136" s="204">
        <v>410</v>
      </c>
      <c r="J136" s="204">
        <v>179</v>
      </c>
      <c r="K136" s="412">
        <v>1005</v>
      </c>
      <c r="L136" s="204"/>
      <c r="M136" s="411"/>
      <c r="N136" s="420"/>
      <c r="O136" s="420"/>
      <c r="P136" s="414"/>
      <c r="Q136" s="414"/>
    </row>
    <row r="137" spans="1:17" ht="15">
      <c r="A137" s="6"/>
      <c r="B137" s="571"/>
      <c r="C137" s="572"/>
      <c r="D137" s="573"/>
      <c r="E137" s="565"/>
      <c r="F137" s="567"/>
      <c r="G137" s="419" t="s">
        <v>282</v>
      </c>
      <c r="H137" s="204">
        <v>273</v>
      </c>
      <c r="I137" s="204">
        <v>1901</v>
      </c>
      <c r="J137" s="204">
        <v>1803</v>
      </c>
      <c r="K137" s="412">
        <v>3097</v>
      </c>
      <c r="L137" s="204"/>
      <c r="M137" s="416"/>
      <c r="N137" s="420"/>
      <c r="O137" s="420"/>
      <c r="P137" s="414"/>
      <c r="Q137" s="414"/>
    </row>
    <row r="138" spans="1:17" ht="15" customHeight="1">
      <c r="A138" s="6"/>
      <c r="B138" s="586" t="s">
        <v>331</v>
      </c>
      <c r="C138" s="587"/>
      <c r="D138" s="588"/>
      <c r="E138" s="564" t="s">
        <v>334</v>
      </c>
      <c r="F138" s="566" t="s">
        <v>280</v>
      </c>
      <c r="G138" s="418" t="s">
        <v>281</v>
      </c>
      <c r="H138" s="204">
        <v>1200</v>
      </c>
      <c r="I138" s="204">
        <v>176</v>
      </c>
      <c r="J138" s="204">
        <v>351</v>
      </c>
      <c r="K138" s="412">
        <v>840</v>
      </c>
      <c r="L138" s="204"/>
      <c r="M138" s="411"/>
      <c r="N138" s="420"/>
      <c r="O138" s="420"/>
      <c r="P138" s="413"/>
      <c r="Q138" s="413"/>
    </row>
    <row r="139" spans="1:17" ht="15">
      <c r="A139" s="6"/>
      <c r="B139" s="589"/>
      <c r="C139" s="590"/>
      <c r="D139" s="591"/>
      <c r="E139" s="565"/>
      <c r="F139" s="567"/>
      <c r="G139" s="418" t="s">
        <v>282</v>
      </c>
      <c r="H139" s="204">
        <v>276</v>
      </c>
      <c r="I139" s="204">
        <v>2624</v>
      </c>
      <c r="J139" s="204">
        <v>1247</v>
      </c>
      <c r="K139" s="412">
        <v>829</v>
      </c>
      <c r="L139" s="204"/>
      <c r="M139" s="416"/>
      <c r="N139" s="420"/>
      <c r="O139" s="420"/>
      <c r="P139" s="413"/>
      <c r="Q139" s="413"/>
    </row>
    <row r="140" spans="1:17" ht="15" customHeight="1">
      <c r="A140" s="6"/>
      <c r="B140" s="568" t="s">
        <v>332</v>
      </c>
      <c r="C140" s="569"/>
      <c r="D140" s="570"/>
      <c r="E140" s="564" t="s">
        <v>334</v>
      </c>
      <c r="F140" s="566" t="s">
        <v>280</v>
      </c>
      <c r="G140" s="419" t="s">
        <v>281</v>
      </c>
      <c r="H140" s="204">
        <v>225</v>
      </c>
      <c r="I140" s="204">
        <v>51</v>
      </c>
      <c r="J140" s="204">
        <v>193</v>
      </c>
      <c r="K140" s="412">
        <v>296</v>
      </c>
      <c r="L140" s="204"/>
      <c r="M140" s="411"/>
      <c r="N140" s="422"/>
      <c r="O140" s="422"/>
      <c r="P140" s="415"/>
      <c r="Q140" s="415"/>
    </row>
    <row r="141" spans="1:17" ht="15">
      <c r="A141" s="6"/>
      <c r="B141" s="571"/>
      <c r="C141" s="572"/>
      <c r="D141" s="573"/>
      <c r="E141" s="565"/>
      <c r="F141" s="567"/>
      <c r="G141" s="419" t="s">
        <v>282</v>
      </c>
      <c r="H141" s="204">
        <v>90</v>
      </c>
      <c r="I141" s="204">
        <v>243</v>
      </c>
      <c r="J141" s="204">
        <v>62</v>
      </c>
      <c r="K141" s="412">
        <v>321</v>
      </c>
      <c r="L141" s="204"/>
      <c r="M141" s="411"/>
      <c r="N141" s="422"/>
      <c r="O141" s="422"/>
      <c r="P141" s="415"/>
      <c r="Q141" s="415"/>
    </row>
    <row r="142" spans="1:17" ht="14.25" customHeight="1">
      <c r="A142" s="6"/>
      <c r="B142" s="574" t="s">
        <v>326</v>
      </c>
      <c r="C142" s="575"/>
      <c r="D142" s="576"/>
      <c r="E142" s="564" t="s">
        <v>317</v>
      </c>
      <c r="F142" s="566" t="s">
        <v>280</v>
      </c>
      <c r="G142" s="418" t="s">
        <v>281</v>
      </c>
      <c r="H142" s="204"/>
      <c r="I142" s="204"/>
      <c r="J142" s="204"/>
      <c r="K142" s="412"/>
      <c r="L142" s="204"/>
      <c r="M142" s="411"/>
      <c r="N142" s="421"/>
      <c r="O142" s="421"/>
      <c r="P142" s="413"/>
      <c r="Q142" s="413"/>
    </row>
    <row r="143" spans="1:17" ht="15">
      <c r="A143" s="6"/>
      <c r="B143" s="577"/>
      <c r="C143" s="578"/>
      <c r="D143" s="579"/>
      <c r="E143" s="565"/>
      <c r="F143" s="567"/>
      <c r="G143" s="418" t="s">
        <v>282</v>
      </c>
      <c r="H143" s="204"/>
      <c r="I143" s="204"/>
      <c r="J143" s="204"/>
      <c r="K143" s="412"/>
      <c r="L143" s="204"/>
      <c r="M143" s="411"/>
      <c r="N143" s="421"/>
      <c r="O143" s="421"/>
      <c r="P143" s="413"/>
      <c r="Q143" s="413"/>
    </row>
    <row r="144" spans="1:17" ht="14.25" customHeight="1">
      <c r="A144" s="6"/>
      <c r="B144" s="574"/>
      <c r="C144" s="575"/>
      <c r="D144" s="576"/>
      <c r="E144" s="564"/>
      <c r="F144" s="566" t="s">
        <v>280</v>
      </c>
      <c r="G144" s="419" t="s">
        <v>281</v>
      </c>
      <c r="H144" s="204"/>
      <c r="I144" s="204"/>
      <c r="J144" s="204"/>
      <c r="K144" s="412"/>
      <c r="L144" s="204"/>
      <c r="M144" s="411"/>
      <c r="N144" s="420"/>
      <c r="O144" s="420"/>
      <c r="P144" s="415"/>
      <c r="Q144" s="415"/>
    </row>
    <row r="145" spans="1:17" ht="15">
      <c r="A145" s="6"/>
      <c r="B145" s="577"/>
      <c r="C145" s="578"/>
      <c r="D145" s="579"/>
      <c r="E145" s="565"/>
      <c r="F145" s="567"/>
      <c r="G145" s="419" t="s">
        <v>282</v>
      </c>
      <c r="H145" s="204"/>
      <c r="I145" s="204"/>
      <c r="J145" s="204"/>
      <c r="K145" s="412"/>
      <c r="L145" s="204"/>
      <c r="M145" s="416"/>
      <c r="N145" s="420"/>
      <c r="O145" s="420"/>
      <c r="P145" s="415"/>
      <c r="Q145" s="415"/>
    </row>
    <row r="146" spans="1:17" ht="14.25" customHeight="1">
      <c r="A146" s="6"/>
      <c r="B146" s="574"/>
      <c r="C146" s="575"/>
      <c r="D146" s="576"/>
      <c r="E146" s="564"/>
      <c r="F146" s="566" t="s">
        <v>280</v>
      </c>
      <c r="G146" s="418" t="s">
        <v>281</v>
      </c>
      <c r="H146" s="204"/>
      <c r="I146" s="204"/>
      <c r="J146" s="204"/>
      <c r="K146" s="412"/>
      <c r="L146" s="205"/>
      <c r="M146" s="411"/>
      <c r="N146" s="420"/>
      <c r="O146" s="420"/>
      <c r="P146" s="413"/>
      <c r="Q146" s="413"/>
    </row>
    <row r="147" spans="1:17" ht="15">
      <c r="A147" s="6"/>
      <c r="B147" s="577"/>
      <c r="C147" s="578"/>
      <c r="D147" s="579"/>
      <c r="E147" s="565"/>
      <c r="F147" s="567"/>
      <c r="G147" s="418" t="s">
        <v>282</v>
      </c>
      <c r="H147" s="204"/>
      <c r="I147" s="204"/>
      <c r="J147" s="204"/>
      <c r="K147" s="412"/>
      <c r="L147" s="205"/>
      <c r="M147" s="416"/>
      <c r="N147" s="420"/>
      <c r="O147" s="420"/>
      <c r="P147" s="413"/>
      <c r="Q147" s="413"/>
    </row>
    <row r="148" spans="1:17" ht="14.25" customHeight="1">
      <c r="A148" s="6"/>
      <c r="B148" s="580"/>
      <c r="C148" s="581"/>
      <c r="D148" s="582"/>
      <c r="E148" s="564"/>
      <c r="F148" s="566" t="s">
        <v>280</v>
      </c>
      <c r="G148" s="419" t="s">
        <v>281</v>
      </c>
      <c r="H148" s="204"/>
      <c r="I148" s="204"/>
      <c r="J148" s="204"/>
      <c r="K148" s="412"/>
      <c r="L148" s="204"/>
      <c r="M148" s="411"/>
      <c r="N148" s="422"/>
      <c r="O148" s="422"/>
      <c r="P148" s="415"/>
      <c r="Q148" s="415"/>
    </row>
    <row r="149" spans="1:17" ht="15">
      <c r="A149" s="6"/>
      <c r="B149" s="583"/>
      <c r="C149" s="584"/>
      <c r="D149" s="585"/>
      <c r="E149" s="565"/>
      <c r="F149" s="567"/>
      <c r="G149" s="419" t="s">
        <v>282</v>
      </c>
      <c r="H149" s="204"/>
      <c r="I149" s="204"/>
      <c r="J149" s="204"/>
      <c r="K149" s="412"/>
      <c r="L149" s="204"/>
      <c r="M149" s="416"/>
      <c r="N149" s="422"/>
      <c r="O149" s="422"/>
      <c r="P149" s="415"/>
      <c r="Q149" s="415"/>
    </row>
    <row r="150" spans="1:17" ht="15" customHeight="1">
      <c r="A150" s="6"/>
      <c r="B150" s="558"/>
      <c r="C150" s="559"/>
      <c r="D150" s="560"/>
      <c r="E150" s="564"/>
      <c r="F150" s="566" t="s">
        <v>280</v>
      </c>
      <c r="G150" s="418" t="s">
        <v>281</v>
      </c>
      <c r="H150" s="204"/>
      <c r="I150" s="204"/>
      <c r="J150" s="204"/>
      <c r="K150" s="412"/>
      <c r="L150" s="204"/>
      <c r="M150" s="411"/>
      <c r="N150" s="422"/>
      <c r="O150" s="422"/>
      <c r="P150" s="415"/>
      <c r="Q150" s="415"/>
    </row>
    <row r="151" spans="1:17" ht="15">
      <c r="A151" s="6"/>
      <c r="B151" s="561"/>
      <c r="C151" s="562"/>
      <c r="D151" s="563"/>
      <c r="E151" s="565"/>
      <c r="F151" s="567"/>
      <c r="G151" s="418" t="s">
        <v>282</v>
      </c>
      <c r="H151" s="204"/>
      <c r="I151" s="204"/>
      <c r="J151" s="204"/>
      <c r="K151" s="412"/>
      <c r="L151" s="204"/>
      <c r="M151" s="416"/>
      <c r="N151" s="422"/>
      <c r="O151" s="422"/>
      <c r="P151" s="415"/>
      <c r="Q151" s="415"/>
    </row>
    <row r="152" spans="1:17" ht="15" customHeight="1">
      <c r="A152" s="6"/>
      <c r="B152" s="568"/>
      <c r="C152" s="569"/>
      <c r="D152" s="570"/>
      <c r="E152" s="564"/>
      <c r="F152" s="566" t="s">
        <v>280</v>
      </c>
      <c r="G152" s="419" t="s">
        <v>281</v>
      </c>
      <c r="H152" s="204"/>
      <c r="I152" s="204"/>
      <c r="J152" s="204"/>
      <c r="K152" s="412"/>
      <c r="L152" s="204"/>
      <c r="M152" s="411"/>
      <c r="N152" s="422"/>
      <c r="O152" s="422"/>
      <c r="P152" s="415"/>
      <c r="Q152" s="415"/>
    </row>
    <row r="153" spans="1:17" ht="15">
      <c r="A153" s="6"/>
      <c r="B153" s="571"/>
      <c r="C153" s="572"/>
      <c r="D153" s="573"/>
      <c r="E153" s="565"/>
      <c r="F153" s="567"/>
      <c r="G153" s="419" t="s">
        <v>282</v>
      </c>
      <c r="H153" s="204"/>
      <c r="I153" s="204"/>
      <c r="J153" s="204"/>
      <c r="K153" s="412"/>
      <c r="L153" s="204"/>
      <c r="M153" s="411"/>
      <c r="N153" s="420"/>
      <c r="O153" s="420"/>
      <c r="P153" s="415"/>
      <c r="Q153" s="415"/>
    </row>
    <row r="154" spans="1:17" ht="15" customHeight="1">
      <c r="A154" s="6"/>
      <c r="B154" s="558"/>
      <c r="C154" s="559"/>
      <c r="D154" s="560"/>
      <c r="E154" s="564"/>
      <c r="F154" s="566" t="s">
        <v>280</v>
      </c>
      <c r="G154" s="418" t="s">
        <v>281</v>
      </c>
      <c r="H154" s="204"/>
      <c r="I154" s="204"/>
      <c r="J154" s="204"/>
      <c r="K154" s="412"/>
      <c r="L154" s="204"/>
      <c r="M154" s="411"/>
      <c r="N154" s="420"/>
      <c r="O154" s="420"/>
      <c r="P154" s="415"/>
      <c r="Q154" s="415"/>
    </row>
    <row r="155" spans="1:17" ht="15">
      <c r="A155" s="6"/>
      <c r="B155" s="561"/>
      <c r="C155" s="562"/>
      <c r="D155" s="563"/>
      <c r="E155" s="565"/>
      <c r="F155" s="567"/>
      <c r="G155" s="418" t="s">
        <v>282</v>
      </c>
      <c r="H155" s="204"/>
      <c r="I155" s="204"/>
      <c r="J155" s="204"/>
      <c r="K155" s="412"/>
      <c r="L155" s="204"/>
      <c r="M155" s="416"/>
      <c r="N155" s="420"/>
      <c r="O155" s="420"/>
      <c r="P155" s="415"/>
      <c r="Q155" s="415"/>
    </row>
    <row r="156" spans="1:17" ht="15" customHeight="1">
      <c r="A156" s="6"/>
      <c r="B156" s="568"/>
      <c r="C156" s="569"/>
      <c r="D156" s="570"/>
      <c r="E156" s="564"/>
      <c r="F156" s="566" t="s">
        <v>280</v>
      </c>
      <c r="G156" s="419" t="s">
        <v>281</v>
      </c>
      <c r="H156" s="204"/>
      <c r="I156" s="204"/>
      <c r="J156" s="204"/>
      <c r="K156" s="412"/>
      <c r="L156" s="204"/>
      <c r="M156" s="411"/>
      <c r="N156" s="422"/>
      <c r="O156" s="422"/>
      <c r="P156" s="415"/>
      <c r="Q156" s="415"/>
    </row>
    <row r="157" spans="1:17" ht="15">
      <c r="A157" s="6"/>
      <c r="B157" s="571"/>
      <c r="C157" s="572"/>
      <c r="D157" s="573"/>
      <c r="E157" s="565"/>
      <c r="F157" s="567"/>
      <c r="G157" s="419" t="s">
        <v>282</v>
      </c>
      <c r="H157" s="204"/>
      <c r="I157" s="204"/>
      <c r="J157" s="204"/>
      <c r="K157" s="412"/>
      <c r="L157" s="204"/>
      <c r="M157" s="416"/>
      <c r="N157" s="422"/>
      <c r="O157" s="422"/>
      <c r="P157" s="415"/>
      <c r="Q157" s="415"/>
    </row>
    <row r="158" spans="1:17" ht="15" customHeight="1">
      <c r="A158" s="6"/>
      <c r="B158" s="558"/>
      <c r="C158" s="559"/>
      <c r="D158" s="560"/>
      <c r="E158" s="564"/>
      <c r="F158" s="566" t="s">
        <v>280</v>
      </c>
      <c r="G158" s="418" t="s">
        <v>281</v>
      </c>
      <c r="H158" s="204"/>
      <c r="I158" s="204"/>
      <c r="J158" s="204"/>
      <c r="K158" s="412"/>
      <c r="L158" s="204"/>
      <c r="M158" s="417"/>
      <c r="N158" s="421"/>
      <c r="O158" s="421"/>
      <c r="P158" s="415"/>
      <c r="Q158" s="415"/>
    </row>
    <row r="159" spans="1:17" ht="15">
      <c r="A159" s="6"/>
      <c r="B159" s="561"/>
      <c r="C159" s="562"/>
      <c r="D159" s="563"/>
      <c r="E159" s="565"/>
      <c r="F159" s="567"/>
      <c r="G159" s="418" t="s">
        <v>282</v>
      </c>
      <c r="H159" s="204"/>
      <c r="I159" s="204"/>
      <c r="J159" s="204"/>
      <c r="K159" s="412"/>
      <c r="L159" s="204"/>
      <c r="M159" s="417"/>
      <c r="N159" s="421"/>
      <c r="O159" s="421"/>
      <c r="P159" s="415"/>
      <c r="Q159" s="415"/>
    </row>
    <row r="160" spans="1:17" ht="15" customHeight="1">
      <c r="A160" s="6"/>
      <c r="B160" s="568"/>
      <c r="C160" s="569"/>
      <c r="D160" s="570"/>
      <c r="E160" s="564"/>
      <c r="F160" s="566" t="s">
        <v>280</v>
      </c>
      <c r="G160" s="419" t="s">
        <v>281</v>
      </c>
      <c r="H160" s="204"/>
      <c r="I160" s="204"/>
      <c r="J160" s="204"/>
      <c r="K160" s="412"/>
      <c r="L160" s="204"/>
      <c r="M160" s="417"/>
      <c r="N160" s="422"/>
      <c r="O160" s="422"/>
      <c r="P160" s="415"/>
      <c r="Q160" s="415"/>
    </row>
    <row r="161" spans="1:17" ht="15">
      <c r="A161" s="6"/>
      <c r="B161" s="571"/>
      <c r="C161" s="572"/>
      <c r="D161" s="573"/>
      <c r="E161" s="565"/>
      <c r="F161" s="567"/>
      <c r="G161" s="419" t="s">
        <v>282</v>
      </c>
      <c r="H161" s="204"/>
      <c r="I161" s="204"/>
      <c r="J161" s="204"/>
      <c r="K161" s="412"/>
      <c r="L161" s="204"/>
      <c r="M161" s="417"/>
      <c r="N161" s="422"/>
      <c r="O161" s="422"/>
      <c r="P161" s="415"/>
      <c r="Q161" s="415"/>
    </row>
    <row r="162" spans="1:17" ht="15">
      <c r="A162" s="6"/>
      <c r="B162" s="6"/>
      <c r="C162" s="6"/>
      <c r="D162" s="6"/>
      <c r="E162" s="6"/>
      <c r="F162" s="6"/>
      <c r="G162" s="141"/>
      <c r="H162" s="6"/>
      <c r="I162" s="6"/>
      <c r="J162" s="6"/>
      <c r="K162" s="6"/>
      <c r="L162" s="6"/>
      <c r="M162" s="6"/>
      <c r="N162" s="6"/>
      <c r="P162" s="5"/>
      <c r="Q162" s="5"/>
    </row>
    <row r="163" spans="1:17" ht="15">
      <c r="A163" s="6"/>
      <c r="B163" s="6"/>
      <c r="C163" s="6"/>
      <c r="D163" s="6"/>
      <c r="E163" s="6"/>
      <c r="F163" s="6"/>
      <c r="G163" s="141"/>
      <c r="H163" s="6"/>
      <c r="I163" s="6"/>
      <c r="J163" s="6"/>
      <c r="K163" s="6"/>
      <c r="L163" s="6"/>
      <c r="M163" s="6"/>
      <c r="N163" s="6"/>
      <c r="P163" s="5"/>
      <c r="Q163" s="5"/>
    </row>
    <row r="164" spans="1:17" ht="15">
      <c r="A164" s="6"/>
      <c r="B164" s="6"/>
      <c r="C164" s="6"/>
      <c r="D164" s="6"/>
      <c r="E164" s="6"/>
      <c r="F164" s="6"/>
      <c r="G164" s="141"/>
      <c r="H164" s="6"/>
      <c r="I164" s="6"/>
      <c r="J164" s="6"/>
      <c r="K164" s="6"/>
      <c r="L164" s="6"/>
      <c r="M164" s="6"/>
      <c r="N164" s="6"/>
      <c r="P164" s="5"/>
      <c r="Q164" s="5"/>
    </row>
    <row r="165" spans="1:17" ht="14.25" customHeight="1">
      <c r="A165" s="6"/>
      <c r="B165" s="6"/>
      <c r="C165" s="6"/>
      <c r="D165" s="6"/>
      <c r="E165" s="6"/>
      <c r="F165" s="6"/>
      <c r="G165" s="141"/>
      <c r="H165" s="6"/>
      <c r="I165" s="6"/>
      <c r="J165" s="6"/>
      <c r="K165" s="6"/>
      <c r="L165" s="6"/>
      <c r="M165" s="6"/>
      <c r="N165" s="6"/>
      <c r="P165" s="5"/>
      <c r="Q165" s="5"/>
    </row>
    <row r="166" spans="1:17" ht="16.5" thickBot="1">
      <c r="A166" s="6"/>
      <c r="B166" s="206"/>
      <c r="C166" s="6"/>
      <c r="D166" s="6"/>
      <c r="E166" s="6"/>
      <c r="F166" s="6"/>
      <c r="G166" s="141"/>
      <c r="H166" s="6"/>
      <c r="I166" s="6"/>
      <c r="J166" s="6"/>
      <c r="K166" s="6"/>
      <c r="L166" s="6"/>
      <c r="M166" s="6"/>
      <c r="N166" s="6"/>
      <c r="P166" s="5"/>
      <c r="Q166" s="5"/>
    </row>
    <row r="167" spans="1:17" ht="25.5">
      <c r="A167" s="6"/>
      <c r="B167" s="207" t="s">
        <v>283</v>
      </c>
      <c r="C167" s="6"/>
      <c r="D167" s="6"/>
      <c r="E167" s="208" t="s">
        <v>277</v>
      </c>
      <c r="F167" s="209" t="s">
        <v>278</v>
      </c>
      <c r="G167" s="197"/>
      <c r="H167" s="198" t="str">
        <f aca="true" t="shared" si="9" ref="H167:N167">C30</f>
        <v>P1</v>
      </c>
      <c r="I167" s="198" t="str">
        <f t="shared" si="9"/>
        <v>P2</v>
      </c>
      <c r="J167" s="198" t="str">
        <f t="shared" si="9"/>
        <v>P3</v>
      </c>
      <c r="K167" s="198" t="str">
        <f t="shared" si="9"/>
        <v>P4</v>
      </c>
      <c r="L167" s="198" t="str">
        <f t="shared" si="9"/>
        <v>P5</v>
      </c>
      <c r="M167" s="198" t="str">
        <f t="shared" si="9"/>
        <v>P6</v>
      </c>
      <c r="N167" s="198" t="str">
        <f t="shared" si="9"/>
        <v>P7</v>
      </c>
      <c r="O167" s="198" t="str">
        <f>L30</f>
        <v>P10</v>
      </c>
      <c r="P167" s="198" t="str">
        <f>M30</f>
        <v>P11</v>
      </c>
      <c r="Q167" s="198" t="str">
        <f>N30</f>
        <v>P12</v>
      </c>
    </row>
    <row r="168" spans="1:17" ht="14.25" customHeight="1" thickBot="1">
      <c r="A168" s="6"/>
      <c r="B168" s="554" t="str">
        <f>IF(ISBLANK(B130),"",(B130))</f>
        <v>% Y Número de personas HSH alcanzadas con el paquete básico de prevención de VIH</v>
      </c>
      <c r="C168" s="554"/>
      <c r="D168" s="554"/>
      <c r="E168" s="552" t="str">
        <f>IF(ISBLANK(E130),"",(E130))</f>
        <v>TOP TEN</v>
      </c>
      <c r="F168" s="553" t="str">
        <f>IF(ISBLANK(F130),"",(F130))</f>
        <v>Yes</v>
      </c>
      <c r="G168" s="210" t="s">
        <v>281</v>
      </c>
      <c r="H168" s="211">
        <f aca="true" t="shared" si="10" ref="H168:H173">H130</f>
        <v>1558</v>
      </c>
      <c r="I168" s="211">
        <f aca="true" t="shared" si="11" ref="I168:I173">+I130</f>
        <v>2336</v>
      </c>
      <c r="J168" s="211">
        <f aca="true" t="shared" si="12" ref="J168:J173">J136</f>
        <v>179</v>
      </c>
      <c r="K168" s="211">
        <f aca="true" t="shared" si="13" ref="K168:K173">+K130</f>
        <v>6254</v>
      </c>
      <c r="L168" s="211">
        <f aca="true" t="shared" si="14" ref="L168:L173">L136</f>
        <v>0</v>
      </c>
      <c r="M168" s="211">
        <f aca="true" t="shared" si="15" ref="M168:M173">+M130</f>
        <v>0</v>
      </c>
      <c r="N168" s="212">
        <f aca="true" t="shared" si="16" ref="N168:Q173">N130</f>
        <v>0</v>
      </c>
      <c r="O168" s="212">
        <f t="shared" si="16"/>
        <v>0</v>
      </c>
      <c r="P168" s="212">
        <f t="shared" si="16"/>
        <v>0</v>
      </c>
      <c r="Q168" s="212">
        <f t="shared" si="16"/>
        <v>0</v>
      </c>
    </row>
    <row r="169" spans="1:17" ht="15.75" thickBot="1">
      <c r="A169" s="6"/>
      <c r="B169" s="554"/>
      <c r="C169" s="554"/>
      <c r="D169" s="554"/>
      <c r="E169" s="552"/>
      <c r="F169" s="553"/>
      <c r="G169" s="213" t="s">
        <v>282</v>
      </c>
      <c r="H169" s="211">
        <f t="shared" si="10"/>
        <v>155</v>
      </c>
      <c r="I169" s="211">
        <f t="shared" si="11"/>
        <v>3973</v>
      </c>
      <c r="J169" s="211">
        <f t="shared" si="12"/>
        <v>1803</v>
      </c>
      <c r="K169" s="211">
        <f t="shared" si="13"/>
        <v>6892</v>
      </c>
      <c r="L169" s="211">
        <f t="shared" si="14"/>
        <v>0</v>
      </c>
      <c r="M169" s="211">
        <f t="shared" si="15"/>
        <v>0</v>
      </c>
      <c r="N169" s="212">
        <f t="shared" si="16"/>
        <v>0</v>
      </c>
      <c r="O169" s="212">
        <f t="shared" si="16"/>
        <v>0</v>
      </c>
      <c r="P169" s="212">
        <f t="shared" si="16"/>
        <v>0</v>
      </c>
      <c r="Q169" s="212">
        <f t="shared" si="16"/>
        <v>0</v>
      </c>
    </row>
    <row r="170" spans="1:17" ht="15.75" thickBot="1">
      <c r="A170" s="6"/>
      <c r="B170" s="555" t="str">
        <f>IF(ISBLANK(B132),"",(B132))</f>
        <v>% Y Número de personas TS alcanzadas con el paquete básico de prevención de VIH</v>
      </c>
      <c r="C170" s="555"/>
      <c r="D170" s="555"/>
      <c r="E170" s="556" t="str">
        <f>IF(ISBLANK(E132),"",(E132))</f>
        <v>TOP TEN</v>
      </c>
      <c r="F170" s="557" t="str">
        <f>IF(ISBLANK(F132),"",(F132))</f>
        <v>Yes</v>
      </c>
      <c r="G170" s="214" t="s">
        <v>281</v>
      </c>
      <c r="H170" s="211">
        <f t="shared" si="10"/>
        <v>1171</v>
      </c>
      <c r="I170" s="211">
        <f t="shared" si="11"/>
        <v>1175</v>
      </c>
      <c r="J170" s="211">
        <f t="shared" si="12"/>
        <v>351</v>
      </c>
      <c r="K170" s="211">
        <f t="shared" si="13"/>
        <v>4754</v>
      </c>
      <c r="L170" s="211">
        <f t="shared" si="14"/>
        <v>0</v>
      </c>
      <c r="M170" s="211">
        <f t="shared" si="15"/>
        <v>0</v>
      </c>
      <c r="N170" s="215">
        <f t="shared" si="16"/>
        <v>0</v>
      </c>
      <c r="O170" s="215">
        <f t="shared" si="16"/>
        <v>0</v>
      </c>
      <c r="P170" s="215">
        <f t="shared" si="16"/>
        <v>0</v>
      </c>
      <c r="Q170" s="215">
        <f t="shared" si="16"/>
        <v>0</v>
      </c>
    </row>
    <row r="171" spans="1:17" ht="14.25" customHeight="1" thickBot="1">
      <c r="A171" s="6"/>
      <c r="B171" s="555"/>
      <c r="C171" s="555"/>
      <c r="D171" s="555"/>
      <c r="E171" s="556"/>
      <c r="F171" s="557"/>
      <c r="G171" s="214" t="s">
        <v>282</v>
      </c>
      <c r="H171" s="211">
        <f t="shared" si="10"/>
        <v>44</v>
      </c>
      <c r="I171" s="211">
        <f t="shared" si="11"/>
        <v>2918</v>
      </c>
      <c r="J171" s="211">
        <f t="shared" si="12"/>
        <v>1247</v>
      </c>
      <c r="K171" s="211">
        <f t="shared" si="13"/>
        <v>4017</v>
      </c>
      <c r="L171" s="211">
        <f t="shared" si="14"/>
        <v>0</v>
      </c>
      <c r="M171" s="211">
        <f t="shared" si="15"/>
        <v>0</v>
      </c>
      <c r="N171" s="215">
        <f t="shared" si="16"/>
        <v>0</v>
      </c>
      <c r="O171" s="215">
        <f t="shared" si="16"/>
        <v>0</v>
      </c>
      <c r="P171" s="215">
        <f t="shared" si="16"/>
        <v>0</v>
      </c>
      <c r="Q171" s="215">
        <f t="shared" si="16"/>
        <v>0</v>
      </c>
    </row>
    <row r="172" spans="1:17" ht="14.25" customHeight="1" thickBot="1">
      <c r="A172" s="6"/>
      <c r="B172" s="551" t="str">
        <f>IF(ISBLANK(B134),"",(B134))</f>
        <v>% Y Número de personas TRANS alcanzadas con el paquete básico de prevención de VIH</v>
      </c>
      <c r="C172" s="551"/>
      <c r="D172" s="551"/>
      <c r="E172" s="552" t="str">
        <f>IF(ISBLANK(E134),"",(E134))</f>
        <v>TOP TEN</v>
      </c>
      <c r="F172" s="553" t="str">
        <f>IF(ISBLANK(F134),"",(F134))</f>
        <v>Yes</v>
      </c>
      <c r="G172" s="213" t="s">
        <v>281</v>
      </c>
      <c r="H172" s="211">
        <f t="shared" si="10"/>
        <v>220</v>
      </c>
      <c r="I172" s="211">
        <f t="shared" si="11"/>
        <v>331</v>
      </c>
      <c r="J172" s="211">
        <f t="shared" si="12"/>
        <v>193</v>
      </c>
      <c r="K172" s="211">
        <f t="shared" si="13"/>
        <v>819</v>
      </c>
      <c r="L172" s="211">
        <f t="shared" si="14"/>
        <v>0</v>
      </c>
      <c r="M172" s="211">
        <f t="shared" si="15"/>
        <v>0</v>
      </c>
      <c r="N172" s="212">
        <f t="shared" si="16"/>
        <v>0</v>
      </c>
      <c r="O172" s="212">
        <f t="shared" si="16"/>
        <v>0</v>
      </c>
      <c r="P172" s="212">
        <f t="shared" si="16"/>
        <v>0</v>
      </c>
      <c r="Q172" s="212">
        <f t="shared" si="16"/>
        <v>0</v>
      </c>
    </row>
    <row r="173" spans="1:17" ht="15" customHeight="1" thickBot="1">
      <c r="A173" s="6"/>
      <c r="B173" s="551"/>
      <c r="C173" s="551"/>
      <c r="D173" s="551"/>
      <c r="E173" s="552"/>
      <c r="F173" s="553"/>
      <c r="G173" s="216" t="s">
        <v>282</v>
      </c>
      <c r="H173" s="217">
        <f t="shared" si="10"/>
        <v>34</v>
      </c>
      <c r="I173" s="211">
        <f t="shared" si="11"/>
        <v>524</v>
      </c>
      <c r="J173" s="217">
        <f t="shared" si="12"/>
        <v>62</v>
      </c>
      <c r="K173" s="211">
        <f t="shared" si="13"/>
        <v>719</v>
      </c>
      <c r="L173" s="217">
        <f t="shared" si="14"/>
        <v>0</v>
      </c>
      <c r="M173" s="211">
        <f t="shared" si="15"/>
        <v>0</v>
      </c>
      <c r="N173" s="212">
        <f t="shared" si="16"/>
        <v>0</v>
      </c>
      <c r="O173" s="212">
        <f t="shared" si="16"/>
        <v>0</v>
      </c>
      <c r="P173" s="212">
        <f t="shared" si="16"/>
        <v>0</v>
      </c>
      <c r="Q173" s="212">
        <f t="shared" si="16"/>
        <v>0</v>
      </c>
    </row>
  </sheetData>
  <sheetProtection selectLockedCells="1" selectUnlockedCells="1"/>
  <mergeCells count="103">
    <mergeCell ref="C8:D8"/>
    <mergeCell ref="I8:J8"/>
    <mergeCell ref="C12:D12"/>
    <mergeCell ref="E12:F12"/>
    <mergeCell ref="G12:J12"/>
    <mergeCell ref="B2:J2"/>
    <mergeCell ref="C4:D4"/>
    <mergeCell ref="E4:F4"/>
    <mergeCell ref="G4:J4"/>
    <mergeCell ref="C10:D10"/>
    <mergeCell ref="E10:F10"/>
    <mergeCell ref="G10:J10"/>
    <mergeCell ref="C6:D6"/>
    <mergeCell ref="E6:F6"/>
    <mergeCell ref="I6:J6"/>
    <mergeCell ref="D24:E24"/>
    <mergeCell ref="G24:H24"/>
    <mergeCell ref="I24:J24"/>
    <mergeCell ref="B14:J14"/>
    <mergeCell ref="H16:I16"/>
    <mergeCell ref="B18:C18"/>
    <mergeCell ref="D18:F18"/>
    <mergeCell ref="B21:J21"/>
    <mergeCell ref="B74:C74"/>
    <mergeCell ref="B75:C75"/>
    <mergeCell ref="B76:C76"/>
    <mergeCell ref="B26:C26"/>
    <mergeCell ref="B29:N29"/>
    <mergeCell ref="F47:I47"/>
    <mergeCell ref="B63:D63"/>
    <mergeCell ref="B128:D128"/>
    <mergeCell ref="H112:H114"/>
    <mergeCell ref="I112:I114"/>
    <mergeCell ref="J112:J114"/>
    <mergeCell ref="K112:K114"/>
    <mergeCell ref="A130:A135"/>
    <mergeCell ref="B130:D131"/>
    <mergeCell ref="E130:E131"/>
    <mergeCell ref="B134:D135"/>
    <mergeCell ref="E134:E135"/>
    <mergeCell ref="F134:F135"/>
    <mergeCell ref="B136:D137"/>
    <mergeCell ref="E136:E137"/>
    <mergeCell ref="F136:F137"/>
    <mergeCell ref="F130:F131"/>
    <mergeCell ref="B132:D133"/>
    <mergeCell ref="E132:E133"/>
    <mergeCell ref="F132:F133"/>
    <mergeCell ref="B138:D139"/>
    <mergeCell ref="E138:E139"/>
    <mergeCell ref="F138:F139"/>
    <mergeCell ref="B140:D141"/>
    <mergeCell ref="E140:E141"/>
    <mergeCell ref="F140:F141"/>
    <mergeCell ref="B142:D143"/>
    <mergeCell ref="E142:E143"/>
    <mergeCell ref="F142:F143"/>
    <mergeCell ref="B144:D145"/>
    <mergeCell ref="E144:E145"/>
    <mergeCell ref="F144:F145"/>
    <mergeCell ref="B146:D147"/>
    <mergeCell ref="E146:E147"/>
    <mergeCell ref="F146:F147"/>
    <mergeCell ref="B148:D149"/>
    <mergeCell ref="E148:E149"/>
    <mergeCell ref="F148:F149"/>
    <mergeCell ref="B150:D151"/>
    <mergeCell ref="E150:E151"/>
    <mergeCell ref="F150:F151"/>
    <mergeCell ref="B152:D153"/>
    <mergeCell ref="E152:E153"/>
    <mergeCell ref="F152:F153"/>
    <mergeCell ref="B154:D155"/>
    <mergeCell ref="E154:E155"/>
    <mergeCell ref="F154:F155"/>
    <mergeCell ref="B156:D157"/>
    <mergeCell ref="E156:E157"/>
    <mergeCell ref="F156:F157"/>
    <mergeCell ref="E170:E171"/>
    <mergeCell ref="F170:F171"/>
    <mergeCell ref="B158:D159"/>
    <mergeCell ref="E158:E159"/>
    <mergeCell ref="F158:F159"/>
    <mergeCell ref="B160:D161"/>
    <mergeCell ref="E160:E161"/>
    <mergeCell ref="F160:F161"/>
    <mergeCell ref="K121:K123"/>
    <mergeCell ref="K118:K120"/>
    <mergeCell ref="I118:I120"/>
    <mergeCell ref="B172:D173"/>
    <mergeCell ref="E172:E173"/>
    <mergeCell ref="F172:F173"/>
    <mergeCell ref="B168:D169"/>
    <mergeCell ref="E168:E169"/>
    <mergeCell ref="F168:F169"/>
    <mergeCell ref="B170:D171"/>
    <mergeCell ref="B125:C125"/>
    <mergeCell ref="H121:H123"/>
    <mergeCell ref="I121:I123"/>
    <mergeCell ref="H118:H120"/>
    <mergeCell ref="J118:J120"/>
    <mergeCell ref="J121:J123"/>
    <mergeCell ref="B112:B123"/>
  </mergeCells>
  <conditionalFormatting sqref="B34 C33:N33 B32">
    <cfRule type="expression" priority="6" dxfId="44" stopIfTrue="1">
      <formula>+AND(B31&gt;=#REF!,B31&lt;=#REF!)</formula>
    </cfRule>
  </conditionalFormatting>
  <conditionalFormatting sqref="C34:N34">
    <cfRule type="expression" priority="7" dxfId="44" stopIfTrue="1">
      <formula>+AND(C32&gt;=#REF!,C32&lt;=#REF!)</formula>
    </cfRule>
  </conditionalFormatting>
  <conditionalFormatting sqref="C30:N30 C98:N98">
    <cfRule type="cellIs" priority="8" dxfId="45" operator="equal" stopIfTrue="1">
      <formula>$C$16</formula>
    </cfRule>
  </conditionalFormatting>
  <conditionalFormatting sqref="C12:D12">
    <cfRule type="cellIs" priority="9" dxfId="46" operator="equal" stopIfTrue="1">
      <formula>"C"</formula>
    </cfRule>
    <cfRule type="cellIs" priority="10" dxfId="42" operator="equal" stopIfTrue="1">
      <formula>"B2"</formula>
    </cfRule>
    <cfRule type="cellIs" priority="11" dxfId="43" operator="equal" stopIfTrue="1">
      <formula>"B1"</formula>
    </cfRule>
  </conditionalFormatting>
  <conditionalFormatting sqref="H167:Q167 H128:Q129 H154:J154 L154:M154">
    <cfRule type="cellIs" priority="12" dxfId="47" operator="equal" stopIfTrue="1">
      <formula>$C$16</formula>
    </cfRule>
  </conditionalFormatting>
  <conditionalFormatting sqref="F47:I47">
    <cfRule type="expression" priority="13" dxfId="48" stopIfTrue="1">
      <formula>LEFT($F$47,2)="OK"</formula>
    </cfRule>
  </conditionalFormatting>
  <conditionalFormatting sqref="C31 C32:H32">
    <cfRule type="expression" priority="15" dxfId="29" stopIfTrue="1">
      <formula>+AND(C30&gt;=#REF!,C30&lt;=#REF!)</formula>
    </cfRule>
  </conditionalFormatting>
  <conditionalFormatting sqref="L154 H154:J154">
    <cfRule type="cellIs" priority="5" dxfId="49" operator="equal" stopIfTrue="1">
      <formula>$C$16</formula>
    </cfRule>
  </conditionalFormatting>
  <dataValidations count="9">
    <dataValidation type="list" allowBlank="1" showErrorMessage="1" sqref="G6 B112:B114">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12:C123">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48"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indexed="27"/>
  </sheetPr>
  <dimension ref="A1:O34"/>
  <sheetViews>
    <sheetView showGridLines="0" zoomScale="80" zoomScaleNormal="80" zoomScalePageLayoutView="0" workbookViewId="0" topLeftCell="A7">
      <selection activeCell="O7" sqref="O7"/>
    </sheetView>
  </sheetViews>
  <sheetFormatPr defaultColWidth="9.14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17.00390625" style="0" customWidth="1"/>
    <col min="12" max="12" width="3.7109375" style="0" customWidth="1"/>
  </cols>
  <sheetData>
    <row r="1" spans="2:11" ht="30.75" customHeight="1">
      <c r="B1" s="6"/>
      <c r="C1" s="6"/>
      <c r="D1" s="6"/>
      <c r="E1" s="6"/>
      <c r="F1" s="6"/>
      <c r="G1" s="6"/>
      <c r="H1" s="6"/>
      <c r="I1" s="6"/>
      <c r="J1" s="6"/>
      <c r="K1" s="6"/>
    </row>
    <row r="2" spans="2:15" ht="27.75" customHeight="1">
      <c r="B2" s="600" t="str">
        <f>+"Cuadro de mando:  "&amp;"  "&amp;+'Introducción de datos'!C4&amp;" - "&amp;'Introducción de datos'!G6</f>
        <v>Cuadro de mando:    El Salvador - VIH / SIDA</v>
      </c>
      <c r="C2" s="600"/>
      <c r="D2" s="600"/>
      <c r="E2" s="600"/>
      <c r="F2" s="600"/>
      <c r="G2" s="600"/>
      <c r="H2" s="600"/>
      <c r="I2" s="600"/>
      <c r="J2" s="600"/>
      <c r="K2" s="600"/>
      <c r="L2" s="248"/>
      <c r="M2" s="248"/>
      <c r="N2" s="248"/>
      <c r="O2" s="248"/>
    </row>
    <row r="3" spans="2:12" ht="15">
      <c r="B3" s="249" t="str">
        <f>+'Introducción de datos'!G8</f>
        <v>Seleccionar</v>
      </c>
      <c r="C3" s="639" t="str">
        <f>+'Introducción de datos'!I8</f>
        <v>Seleccionar</v>
      </c>
      <c r="D3" s="639"/>
      <c r="E3" s="636"/>
      <c r="F3" s="636"/>
      <c r="G3" s="636"/>
      <c r="H3" s="636"/>
      <c r="I3" s="637" t="str">
        <f>+'Introducción de datos'!B16</f>
        <v>Periodo:</v>
      </c>
      <c r="J3" s="637"/>
      <c r="K3" s="251" t="str">
        <f>+'Introducción de datos'!C16</f>
        <v>P4</v>
      </c>
      <c r="L3" s="252"/>
    </row>
    <row r="4" spans="2:11" ht="15">
      <c r="B4" s="249" t="str">
        <f>+'Introducción de datos'!B12</f>
        <v>Ultima calificación:</v>
      </c>
      <c r="C4" s="635" t="str">
        <f>+'Introducción de datos'!C12</f>
        <v>A1</v>
      </c>
      <c r="D4" s="635"/>
      <c r="E4" s="636" t="str">
        <f>+'Introducción de datos'!C8</f>
        <v>PLAN  INTERNACIONAL</v>
      </c>
      <c r="F4" s="636"/>
      <c r="G4" s="636"/>
      <c r="H4" s="636"/>
      <c r="I4" s="637" t="str">
        <f>+'Introducción de datos'!D16</f>
        <v>Desde:</v>
      </c>
      <c r="J4" s="637"/>
      <c r="K4" s="253">
        <f>+'Introducción de datos'!E16</f>
        <v>42186</v>
      </c>
    </row>
    <row r="5" spans="2:11" ht="18.75" customHeight="1">
      <c r="B5" s="249"/>
      <c r="C5" s="249"/>
      <c r="D5" s="638" t="str">
        <f>+'Introducción de datos'!G4</f>
        <v>INNOVANDO SERVICIOS, REDUCIENDO RIESGOS, RENOVANDO VIDAS EN EL SALVADOR</v>
      </c>
      <c r="E5" s="638"/>
      <c r="F5" s="638"/>
      <c r="G5" s="638"/>
      <c r="H5" s="638"/>
      <c r="I5" s="638"/>
      <c r="J5" s="249" t="str">
        <f>+'Introducción de datos'!F16</f>
        <v>Hasta:</v>
      </c>
      <c r="K5" s="253">
        <f>+'Introducción de datos'!G16</f>
        <v>42369</v>
      </c>
    </row>
    <row r="6" spans="2:11" ht="18.75">
      <c r="B6" s="254"/>
      <c r="C6" s="249"/>
      <c r="D6" s="255"/>
      <c r="E6" s="629" t="s">
        <v>292</v>
      </c>
      <c r="F6" s="629"/>
      <c r="G6" s="629"/>
      <c r="H6" s="629"/>
      <c r="I6" s="6"/>
      <c r="J6" s="6"/>
      <c r="K6" s="6"/>
    </row>
    <row r="7" spans="2:11" ht="10.5" customHeight="1">
      <c r="B7" s="256"/>
      <c r="C7" s="250"/>
      <c r="D7" s="255"/>
      <c r="E7" s="257"/>
      <c r="F7" s="257"/>
      <c r="G7" s="258"/>
      <c r="H7" s="258"/>
      <c r="I7" s="259"/>
      <c r="J7" s="259"/>
      <c r="K7" s="260"/>
    </row>
    <row r="8" spans="2:11" ht="15">
      <c r="B8" s="261" t="str">
        <f>+'Introducción de datos'!B27&amp;" - en ("&amp;'Introducción de datos'!D26&amp;")         "&amp;+I3&amp;" "&amp;+K3</f>
        <v>F1: Presupuesto y desembolsos del Fondo Mundial - en ($)         Periodo: P4</v>
      </c>
      <c r="C8" s="262"/>
      <c r="D8" s="141"/>
      <c r="E8" s="141"/>
      <c r="F8" s="141"/>
      <c r="H8" s="261" t="str">
        <f>+'Introducción de datos'!B49&amp;" - en ("&amp;'Introducción de datos'!D26&amp;")         "&amp;+I3&amp;" "&amp;+K3</f>
        <v>F3: Desembolsos y gastos - en ($)         Periodo: P4</v>
      </c>
      <c r="I8" s="6"/>
      <c r="J8" s="6"/>
      <c r="K8" s="6"/>
    </row>
    <row r="9" spans="2:11" ht="130.5" customHeight="1">
      <c r="B9" s="429" t="s">
        <v>293</v>
      </c>
      <c r="C9" s="630" t="s">
        <v>387</v>
      </c>
      <c r="D9" s="630"/>
      <c r="E9" s="630"/>
      <c r="F9" s="630"/>
      <c r="H9" s="428" t="s">
        <v>293</v>
      </c>
      <c r="I9" s="631" t="s">
        <v>388</v>
      </c>
      <c r="J9" s="632"/>
      <c r="K9" s="633"/>
    </row>
    <row r="10" spans="2:11" ht="12.75" customHeight="1">
      <c r="B10" s="141"/>
      <c r="C10" s="141"/>
      <c r="D10" s="141"/>
      <c r="E10" s="141"/>
      <c r="F10" s="141"/>
      <c r="G10" s="6"/>
      <c r="H10" s="6"/>
      <c r="I10" s="6"/>
      <c r="J10" s="6"/>
      <c r="K10" s="6"/>
    </row>
    <row r="11" spans="2:11" ht="15" hidden="1">
      <c r="B11" s="141"/>
      <c r="C11" s="141"/>
      <c r="D11" s="141"/>
      <c r="E11" s="141"/>
      <c r="F11" s="141"/>
      <c r="G11" s="6"/>
      <c r="H11" s="6"/>
      <c r="I11" s="6"/>
      <c r="J11" s="6"/>
      <c r="K11" s="6"/>
    </row>
    <row r="12" spans="2:11" ht="15" hidden="1">
      <c r="B12" s="141"/>
      <c r="C12" s="141"/>
      <c r="D12" s="141"/>
      <c r="E12" s="141"/>
      <c r="F12" s="141"/>
      <c r="G12" s="6"/>
      <c r="H12" s="6"/>
      <c r="I12" s="6"/>
      <c r="J12" s="6"/>
      <c r="K12" s="6"/>
    </row>
    <row r="13" spans="2:11" ht="15">
      <c r="B13" s="141"/>
      <c r="C13" s="141"/>
      <c r="D13" s="141"/>
      <c r="E13" s="141"/>
      <c r="F13" s="141"/>
      <c r="G13" s="6"/>
      <c r="H13" s="6"/>
      <c r="I13" s="6"/>
      <c r="J13" s="6"/>
      <c r="K13" s="6"/>
    </row>
    <row r="14" spans="2:11" ht="15">
      <c r="B14" s="141"/>
      <c r="C14" s="141"/>
      <c r="D14" s="141"/>
      <c r="E14" s="141"/>
      <c r="F14" s="141"/>
      <c r="G14" s="6"/>
      <c r="H14" s="6"/>
      <c r="I14" s="6"/>
      <c r="J14" s="6"/>
      <c r="K14" s="6"/>
    </row>
    <row r="15" spans="2:13" ht="15">
      <c r="B15" s="141"/>
      <c r="C15" s="141"/>
      <c r="D15" s="141"/>
      <c r="E15" s="141"/>
      <c r="F15" s="141"/>
      <c r="G15" s="6"/>
      <c r="H15" s="6"/>
      <c r="I15" s="6"/>
      <c r="J15" s="6"/>
      <c r="K15" s="6"/>
      <c r="M15" s="263" t="s">
        <v>294</v>
      </c>
    </row>
    <row r="16" spans="2:13" ht="15">
      <c r="B16" s="141"/>
      <c r="C16" s="141"/>
      <c r="D16" s="141"/>
      <c r="E16" s="141"/>
      <c r="F16" s="141"/>
      <c r="G16" s="6"/>
      <c r="H16" s="6"/>
      <c r="I16" s="6"/>
      <c r="J16" s="6"/>
      <c r="K16" s="6"/>
      <c r="M16" s="263" t="s">
        <v>295</v>
      </c>
    </row>
    <row r="17" spans="2:11" ht="15">
      <c r="B17" s="141"/>
      <c r="C17" s="141"/>
      <c r="D17" s="141"/>
      <c r="E17" s="141"/>
      <c r="F17" s="141"/>
      <c r="G17" s="6"/>
      <c r="H17" s="6"/>
      <c r="I17" s="6"/>
      <c r="J17" s="6"/>
      <c r="K17" s="6"/>
    </row>
    <row r="18" spans="2:11" ht="15">
      <c r="B18" s="141"/>
      <c r="C18" s="141"/>
      <c r="D18" s="141"/>
      <c r="E18" s="141"/>
      <c r="F18" s="141"/>
      <c r="G18" s="6"/>
      <c r="H18" s="6"/>
      <c r="I18" s="6"/>
      <c r="J18" s="6"/>
      <c r="K18" s="6"/>
    </row>
    <row r="19" spans="2:11" ht="15">
      <c r="B19" s="141"/>
      <c r="C19" s="141"/>
      <c r="D19" s="141"/>
      <c r="E19" s="141"/>
      <c r="F19" s="141"/>
      <c r="G19" s="6"/>
      <c r="H19" s="6"/>
      <c r="I19" s="6"/>
      <c r="J19" s="6"/>
      <c r="K19" s="6"/>
    </row>
    <row r="20" spans="2:11" ht="15">
      <c r="B20" s="141"/>
      <c r="C20" s="141"/>
      <c r="D20" s="141"/>
      <c r="E20" s="141"/>
      <c r="F20" s="141"/>
      <c r="G20" s="6"/>
      <c r="H20" s="6"/>
      <c r="I20" s="6"/>
      <c r="J20" s="6"/>
      <c r="K20" s="6"/>
    </row>
    <row r="21" spans="1:11" ht="24" customHeight="1">
      <c r="A21" s="10"/>
      <c r="B21" s="10"/>
      <c r="C21" s="10"/>
      <c r="D21" s="10"/>
      <c r="E21" s="10"/>
      <c r="F21" s="10"/>
      <c r="G21" s="10"/>
      <c r="H21" s="10"/>
      <c r="I21" s="10"/>
      <c r="J21" s="10"/>
      <c r="K21" s="10"/>
    </row>
    <row r="22" spans="1:11" ht="24" customHeight="1">
      <c r="A22" s="10"/>
      <c r="B22" s="10"/>
      <c r="C22" s="10"/>
      <c r="D22" s="10"/>
      <c r="E22" s="10"/>
      <c r="F22" s="10"/>
      <c r="G22" s="10"/>
      <c r="H22" s="10"/>
      <c r="I22" s="10"/>
      <c r="J22" s="10"/>
      <c r="K22" s="10"/>
    </row>
    <row r="23" spans="2:11" ht="23.25" customHeight="1">
      <c r="B23" s="264" t="str">
        <f>+'Introducción de datos'!B36&amp;" - en ("&amp;'Introducción de datos'!D26&amp;")  "&amp;+I3&amp;" "&amp;+K3</f>
        <v>F2: Presupuesto y gastos reales por objetivo de la subvención - en ($)  Periodo: P4</v>
      </c>
      <c r="C23" s="141"/>
      <c r="D23" s="141"/>
      <c r="E23" s="141"/>
      <c r="F23" s="141"/>
      <c r="H23" s="264" t="str">
        <f>+'Introducción de datos'!B61&amp;"   "&amp;+I3&amp;" "&amp;+K3</f>
        <v>F4: Último ciclo de información y desembolso del RP   Periodo: P4</v>
      </c>
      <c r="J23" s="6"/>
      <c r="K23" s="6"/>
    </row>
    <row r="24" spans="2:11" ht="75" customHeight="1">
      <c r="B24" s="428" t="s">
        <v>296</v>
      </c>
      <c r="C24" s="630" t="s">
        <v>389</v>
      </c>
      <c r="D24" s="630"/>
      <c r="E24" s="630"/>
      <c r="F24" s="630"/>
      <c r="G24" s="265"/>
      <c r="H24" s="428" t="s">
        <v>293</v>
      </c>
      <c r="I24" s="634" t="s">
        <v>390</v>
      </c>
      <c r="J24" s="634"/>
      <c r="K24" s="634"/>
    </row>
    <row r="25" spans="2:11" ht="15.75" customHeight="1" thickBot="1">
      <c r="B25" s="266"/>
      <c r="C25" s="266"/>
      <c r="D25" s="266"/>
      <c r="E25" s="266"/>
      <c r="F25" s="266"/>
      <c r="G25" s="266"/>
      <c r="H25" s="267"/>
      <c r="I25" s="267"/>
      <c r="J25" s="266"/>
      <c r="K25" s="266"/>
    </row>
    <row r="26" spans="2:11" ht="29.25" customHeight="1" thickBot="1">
      <c r="B26" s="6"/>
      <c r="C26" s="6"/>
      <c r="D26" s="6"/>
      <c r="E26" s="6"/>
      <c r="F26" s="6"/>
      <c r="G26" s="268"/>
      <c r="H26" s="622" t="s">
        <v>297</v>
      </c>
      <c r="I26" s="623"/>
      <c r="J26" s="623"/>
      <c r="K26" s="624"/>
    </row>
    <row r="27" spans="2:11" ht="24.75">
      <c r="B27" s="6"/>
      <c r="C27" s="6"/>
      <c r="D27" s="6"/>
      <c r="E27" s="6"/>
      <c r="F27" s="6"/>
      <c r="G27" s="44"/>
      <c r="H27" s="625"/>
      <c r="I27" s="626"/>
      <c r="J27" s="269" t="s">
        <v>229</v>
      </c>
      <c r="K27" s="270" t="s">
        <v>230</v>
      </c>
    </row>
    <row r="28" spans="2:11" ht="29.25" customHeight="1" thickBot="1">
      <c r="B28" s="6"/>
      <c r="C28" s="6"/>
      <c r="D28" s="6"/>
      <c r="E28" s="6"/>
      <c r="F28" s="6"/>
      <c r="G28" s="271"/>
      <c r="H28" s="627" t="str">
        <f>'Introducción de datos'!B65</f>
        <v>Días tardados en presentar el informe de progreso actualizado y solicitud de desembolso al ALF*</v>
      </c>
      <c r="I28" s="628"/>
      <c r="J28" s="272">
        <f>+'Introducción de datos'!C65</f>
        <v>75</v>
      </c>
      <c r="K28" s="426">
        <f>+'Introducción de datos'!D65</f>
        <v>75</v>
      </c>
    </row>
    <row r="29" spans="2:11" ht="21" customHeight="1" thickBot="1">
      <c r="B29" s="6"/>
      <c r="C29" s="6"/>
      <c r="D29" s="6"/>
      <c r="E29" s="6"/>
      <c r="F29" s="6"/>
      <c r="G29" s="271"/>
      <c r="H29" s="627" t="str">
        <f>'Introducción de datos'!B66</f>
        <v>Días que el desembolso ha tardado en llegar al RP</v>
      </c>
      <c r="I29" s="628"/>
      <c r="J29" s="272">
        <f>+'Introducción de datos'!C66</f>
        <v>45</v>
      </c>
      <c r="K29" s="274">
        <f>+'Introducción de datos'!D66</f>
        <v>24</v>
      </c>
    </row>
    <row r="30" spans="2:11" ht="21" customHeight="1" thickBot="1">
      <c r="B30" s="6"/>
      <c r="C30" s="6"/>
      <c r="D30" s="6"/>
      <c r="E30" s="6"/>
      <c r="F30" s="6"/>
      <c r="G30" s="271"/>
      <c r="H30" s="620" t="str">
        <f>'Introducción de datos'!B67</f>
        <v>Días que el desembolso ha tardado en llegar a los subreceptores </v>
      </c>
      <c r="I30" s="621"/>
      <c r="J30" s="273">
        <f>+'Introducción de datos'!C67</f>
        <v>15</v>
      </c>
      <c r="K30" s="274">
        <f>+'Introducción de datos'!D67</f>
        <v>15</v>
      </c>
    </row>
    <row r="31" spans="2:11" ht="15">
      <c r="B31" s="6"/>
      <c r="C31" s="6"/>
      <c r="D31" s="6"/>
      <c r="E31" s="6"/>
      <c r="F31" s="6"/>
      <c r="G31" s="6"/>
      <c r="H31" s="6"/>
      <c r="I31" s="6"/>
      <c r="J31" s="6"/>
      <c r="K31" s="6"/>
    </row>
    <row r="32" spans="2:11" ht="15">
      <c r="B32" s="6"/>
      <c r="C32" s="92"/>
      <c r="D32" s="275"/>
      <c r="E32" s="6"/>
      <c r="F32" s="6"/>
      <c r="G32" s="6"/>
      <c r="H32" s="6"/>
      <c r="I32" s="6"/>
      <c r="J32" s="6"/>
      <c r="K32" s="6"/>
    </row>
    <row r="33" spans="2:11" ht="15">
      <c r="B33" s="6"/>
      <c r="C33" s="241" t="s">
        <v>212</v>
      </c>
      <c r="D33" s="275"/>
      <c r="E33" s="6"/>
      <c r="F33" s="6"/>
      <c r="G33" s="6"/>
      <c r="H33" s="6"/>
      <c r="I33" s="6"/>
      <c r="J33" s="6"/>
      <c r="K33" s="6"/>
    </row>
    <row r="34" ht="15">
      <c r="C34" s="263" t="s">
        <v>264</v>
      </c>
    </row>
  </sheetData>
  <sheetProtection/>
  <mergeCells count="18">
    <mergeCell ref="C4:D4"/>
    <mergeCell ref="E4:H4"/>
    <mergeCell ref="I4:J4"/>
    <mergeCell ref="D5:I5"/>
    <mergeCell ref="B2:K2"/>
    <mergeCell ref="C3:D3"/>
    <mergeCell ref="E3:H3"/>
    <mergeCell ref="I3:J3"/>
    <mergeCell ref="H30:I30"/>
    <mergeCell ref="H26:K26"/>
    <mergeCell ref="H27:I27"/>
    <mergeCell ref="H28:I28"/>
    <mergeCell ref="H29:I29"/>
    <mergeCell ref="E6:H6"/>
    <mergeCell ref="C9:F9"/>
    <mergeCell ref="I9:K9"/>
    <mergeCell ref="C24:F24"/>
    <mergeCell ref="I24:K24"/>
  </mergeCells>
  <conditionalFormatting sqref="K28:K30">
    <cfRule type="cellIs" priority="1" dxfId="50" operator="greaterThan" stopIfTrue="1">
      <formula>J28</formula>
    </cfRule>
    <cfRule type="cellIs" priority="2" dxfId="51" operator="between" stopIfTrue="1">
      <formula>J28</formula>
      <formula>1</formula>
    </cfRule>
    <cfRule type="cellIs" priority="3" dxfId="52" operator="equal" stopIfTrue="1">
      <formula>0</formula>
    </cfRule>
  </conditionalFormatting>
  <conditionalFormatting sqref="C4:D4">
    <cfRule type="cellIs" priority="4" dxfId="41" operator="equal" stopIfTrue="1">
      <formula>"C"</formula>
    </cfRule>
    <cfRule type="cellIs" priority="5" dxfId="42" operator="equal" stopIfTrue="1">
      <formula>"B2"</formula>
    </cfRule>
    <cfRule type="cellIs" priority="6"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41"/>
  <sheetViews>
    <sheetView showGridLines="0" zoomScale="86" zoomScaleNormal="86" zoomScalePageLayoutView="0" workbookViewId="0" topLeftCell="B18">
      <selection activeCell="N27" sqref="N27"/>
    </sheetView>
  </sheetViews>
  <sheetFormatPr defaultColWidth="9.140625" defaultRowHeight="15"/>
  <cols>
    <col min="1" max="1" width="3.28125" style="0" customWidth="1"/>
    <col min="2" max="2" width="14.28125" style="0" customWidth="1"/>
    <col min="3" max="3" width="12.421875" style="0" customWidth="1"/>
    <col min="4" max="4" width="13.140625" style="0" customWidth="1"/>
    <col min="5" max="5" width="11.421875" style="0" customWidth="1"/>
    <col min="6" max="6" width="11.8515625" style="0" customWidth="1"/>
    <col min="7" max="7" width="18.7109375" style="0" customWidth="1"/>
    <col min="8" max="8" width="11.28125" style="0" customWidth="1"/>
    <col min="9" max="9" width="27.28125" style="0" bestFit="1" customWidth="1"/>
    <col min="10" max="10" width="15.140625" style="0" customWidth="1"/>
    <col min="11" max="11" width="15.28125" style="0" customWidth="1"/>
    <col min="12" max="12" width="15.7109375" style="0" customWidth="1"/>
  </cols>
  <sheetData>
    <row r="1" spans="3:5" ht="28.5" customHeight="1">
      <c r="C1" s="276"/>
      <c r="E1" s="276"/>
    </row>
    <row r="2" spans="2:16" ht="27.75" customHeight="1">
      <c r="B2" s="660" t="str">
        <f>+"Cuadro de mando:  "&amp;"  "&amp;+'Introducción de datos'!C4&amp;" - "&amp;'Introducción de datos'!G6</f>
        <v>Cuadro de mando:    El Salvador - VIH / SIDA</v>
      </c>
      <c r="C2" s="660"/>
      <c r="D2" s="660"/>
      <c r="E2" s="660"/>
      <c r="F2" s="660"/>
      <c r="G2" s="660"/>
      <c r="H2" s="660"/>
      <c r="I2" s="660"/>
      <c r="J2" s="660"/>
      <c r="K2" s="660"/>
      <c r="L2" s="660"/>
      <c r="M2" s="277"/>
      <c r="N2" s="277"/>
      <c r="O2" s="277"/>
      <c r="P2" s="277"/>
    </row>
    <row r="3" spans="2:12" ht="15">
      <c r="B3" s="278" t="str">
        <f>+'Introducción de datos'!G8</f>
        <v>Seleccionar</v>
      </c>
      <c r="C3" s="661" t="str">
        <f>+'Introducción de datos'!I8</f>
        <v>Seleccionar</v>
      </c>
      <c r="D3" s="661"/>
      <c r="E3" s="662"/>
      <c r="F3" s="662"/>
      <c r="G3" s="662"/>
      <c r="H3" s="662"/>
      <c r="I3" s="662"/>
      <c r="J3" s="663" t="str">
        <f>+'Introducción de datos'!B16</f>
        <v>Periodo:</v>
      </c>
      <c r="K3" s="663"/>
      <c r="L3" s="251" t="str">
        <f>+'Introducción de datos'!C16</f>
        <v>P4</v>
      </c>
    </row>
    <row r="4" spans="2:12" ht="15">
      <c r="B4" s="278" t="str">
        <f>+'Introducción de datos'!B12</f>
        <v>Ultima calificación:</v>
      </c>
      <c r="C4" s="635" t="str">
        <f>+'Introducción de datos'!C12</f>
        <v>A1</v>
      </c>
      <c r="D4" s="635"/>
      <c r="E4" s="662" t="str">
        <f>+'Introducción de datos'!C8</f>
        <v>PLAN  INTERNACIONAL</v>
      </c>
      <c r="F4" s="662"/>
      <c r="G4" s="662"/>
      <c r="H4" s="662"/>
      <c r="I4" s="662"/>
      <c r="J4" s="663" t="str">
        <f>+'Introducción de datos'!D16</f>
        <v>Desde:</v>
      </c>
      <c r="K4" s="663"/>
      <c r="L4" s="253">
        <f>+'Introducción de datos'!E16</f>
        <v>42186</v>
      </c>
    </row>
    <row r="5" spans="2:12" ht="18.75" customHeight="1">
      <c r="B5" s="278"/>
      <c r="C5" s="278"/>
      <c r="D5" s="662" t="str">
        <f>+'Introducción de datos'!G4</f>
        <v>INNOVANDO SERVICIOS, REDUCIENDO RIESGOS, RENOVANDO VIDAS EN EL SALVADOR</v>
      </c>
      <c r="E5" s="662"/>
      <c r="F5" s="662"/>
      <c r="G5" s="662"/>
      <c r="H5" s="662"/>
      <c r="I5" s="662"/>
      <c r="J5" s="662"/>
      <c r="K5" s="278" t="str">
        <f>+'Introducción de datos'!F16</f>
        <v>Hasta:</v>
      </c>
      <c r="L5" s="253">
        <f>+'Introducción de datos'!G16</f>
        <v>42369</v>
      </c>
    </row>
    <row r="6" spans="2:9" ht="18.75">
      <c r="B6" s="279"/>
      <c r="C6" s="278"/>
      <c r="D6" s="255"/>
      <c r="E6" s="667" t="s">
        <v>145</v>
      </c>
      <c r="F6" s="667"/>
      <c r="G6" s="667"/>
      <c r="H6" s="667"/>
      <c r="I6" s="667"/>
    </row>
    <row r="7" spans="2:8" ht="15">
      <c r="B7" s="280" t="str">
        <f>+'Introducción de datos'!B72&amp;"     "&amp;+J3&amp;" "&amp;+L3</f>
        <v>M1: Estado de las condiciones precedentes y acciones con fecha límite     Periodo: P4</v>
      </c>
      <c r="C7" s="281"/>
      <c r="H7" s="280" t="str">
        <f>+'Introducción de datos'!B79&amp;"         "&amp;+J3&amp;"  "&amp;+L3</f>
        <v>M2: Estado de los principales puestos directivos del RP         Periodo:  P4</v>
      </c>
    </row>
    <row r="8" spans="2:12" ht="19.5" customHeight="1">
      <c r="B8" s="425" t="s">
        <v>293</v>
      </c>
      <c r="C8" s="668" t="s">
        <v>350</v>
      </c>
      <c r="D8" s="668"/>
      <c r="E8" s="668"/>
      <c r="F8" s="668"/>
      <c r="G8" s="282"/>
      <c r="H8" s="425" t="s">
        <v>293</v>
      </c>
      <c r="I8" s="666" t="s">
        <v>351</v>
      </c>
      <c r="J8" s="666"/>
      <c r="K8" s="666"/>
      <c r="L8" s="666"/>
    </row>
    <row r="9" spans="2:8" ht="15">
      <c r="B9" s="10"/>
      <c r="C9" s="10"/>
      <c r="D9" s="10"/>
      <c r="E9" s="10"/>
      <c r="F9" s="10"/>
      <c r="G9" s="10"/>
      <c r="H9" s="10"/>
    </row>
    <row r="10" spans="1:16" ht="15">
      <c r="A10" s="283"/>
      <c r="B10" s="10"/>
      <c r="C10" s="10"/>
      <c r="D10" s="669"/>
      <c r="E10" s="515"/>
      <c r="F10" s="515"/>
      <c r="G10" s="12"/>
      <c r="H10" s="10"/>
      <c r="N10" s="285"/>
      <c r="O10" s="285"/>
      <c r="P10" s="286"/>
    </row>
    <row r="11" spans="2:15" ht="15">
      <c r="B11" s="10"/>
      <c r="C11" s="284"/>
      <c r="D11" s="669"/>
      <c r="E11" s="284"/>
      <c r="F11" s="284"/>
      <c r="G11" s="284"/>
      <c r="H11" s="284"/>
      <c r="N11" s="10"/>
      <c r="O11" s="10"/>
    </row>
    <row r="12" spans="2:8" ht="15">
      <c r="B12" s="284"/>
      <c r="C12" s="287"/>
      <c r="D12" s="288"/>
      <c r="E12" s="288"/>
      <c r="F12" s="288"/>
      <c r="G12" s="288"/>
      <c r="H12" s="289"/>
    </row>
    <row r="13" spans="2:8" ht="15">
      <c r="B13" s="284"/>
      <c r="C13" s="287"/>
      <c r="D13" s="288"/>
      <c r="E13" s="288"/>
      <c r="F13" s="288"/>
      <c r="G13" s="288"/>
      <c r="H13" s="289"/>
    </row>
    <row r="15" spans="2:8" ht="27.75" customHeight="1">
      <c r="B15" s="280" t="str">
        <f>+'Introducción de datos'!B84&amp;"            "&amp;+J3&amp;" "&amp;+L3</f>
        <v>M3: Acuerdos contractuales (subreceptores)             Periodo: P4</v>
      </c>
      <c r="H15" s="280" t="str">
        <f>+'Introducción de datos'!B89&amp;"                "&amp;+J3&amp;" "&amp;+L3</f>
        <v>M4: Número de informes completos recibidos a tiempo                Periodo: P4</v>
      </c>
    </row>
    <row r="16" spans="2:12" ht="33.75" customHeight="1">
      <c r="B16" s="425" t="s">
        <v>293</v>
      </c>
      <c r="C16" s="666" t="s">
        <v>353</v>
      </c>
      <c r="D16" s="666"/>
      <c r="E16" s="666"/>
      <c r="F16" s="666"/>
      <c r="G16" s="282"/>
      <c r="H16" s="425" t="s">
        <v>293</v>
      </c>
      <c r="I16" s="666" t="s">
        <v>352</v>
      </c>
      <c r="J16" s="666"/>
      <c r="K16" s="666"/>
      <c r="L16" s="666"/>
    </row>
    <row r="17" spans="2:8" ht="15">
      <c r="B17" s="290"/>
      <c r="H17" s="291"/>
    </row>
    <row r="18" ht="15">
      <c r="M18" s="252"/>
    </row>
    <row r="25" ht="22.5" customHeight="1"/>
    <row r="26" spans="2:8" ht="15">
      <c r="B26" s="280" t="str">
        <f>+'Introducción de datos'!B96</f>
        <v>M5: Presupuesto y compra de productos y equipo sanitario, medicamentos y productos farmacéuticos</v>
      </c>
      <c r="H26" s="280" t="str">
        <f>+'Introducción de datos'!B109&amp;"    "&amp;+J3&amp;"  "&amp;+L3</f>
        <v>M6: Diferencia entre existencias actuales y existencias de seguridad    Periodo:  P4</v>
      </c>
    </row>
    <row r="27" spans="2:12" ht="36.75" customHeight="1">
      <c r="B27" s="425" t="s">
        <v>293</v>
      </c>
      <c r="C27" s="670" t="s">
        <v>391</v>
      </c>
      <c r="D27" s="671"/>
      <c r="E27" s="671"/>
      <c r="F27" s="672"/>
      <c r="G27" s="282"/>
      <c r="H27" s="425" t="s">
        <v>293</v>
      </c>
      <c r="I27" s="640" t="s">
        <v>392</v>
      </c>
      <c r="J27" s="641"/>
      <c r="K27" s="641"/>
      <c r="L27" s="642"/>
    </row>
    <row r="29" spans="6:12" ht="104.25" customHeight="1" thickBot="1">
      <c r="F29" s="292"/>
      <c r="G29" s="292"/>
      <c r="H29" s="456" t="s">
        <v>267</v>
      </c>
      <c r="I29" s="457" t="s">
        <v>268</v>
      </c>
      <c r="J29" s="458" t="s">
        <v>298</v>
      </c>
      <c r="K29" s="459" t="s">
        <v>299</v>
      </c>
      <c r="L29" s="460" t="s">
        <v>300</v>
      </c>
    </row>
    <row r="30" spans="6:12" ht="15" customHeight="1">
      <c r="F30" s="292"/>
      <c r="G30" s="292"/>
      <c r="H30" s="643" t="str">
        <f>+'Introducción de datos'!B112</f>
        <v>VIH / SIDA</v>
      </c>
      <c r="I30" s="461" t="str">
        <f>+'Introducción de datos'!C112</f>
        <v>CONDONES MASCULINOS (HSH)</v>
      </c>
      <c r="J30" s="664">
        <f>+'Introducción de datos'!I112</f>
        <v>17.768668626627466</v>
      </c>
      <c r="K30" s="650">
        <f>+'Introducción de datos'!J112</f>
        <v>5</v>
      </c>
      <c r="L30" s="654">
        <f>+'Introducción de datos'!K112</f>
        <v>12.768668626627466</v>
      </c>
    </row>
    <row r="31" spans="6:12" ht="15">
      <c r="F31" s="292"/>
      <c r="G31" s="292"/>
      <c r="H31" s="644"/>
      <c r="I31" s="293" t="str">
        <f>+'Introducción de datos'!C113</f>
        <v>CONDONES MASCULINOS (TS)</v>
      </c>
      <c r="J31" s="648"/>
      <c r="K31" s="651"/>
      <c r="L31" s="655"/>
    </row>
    <row r="32" spans="6:12" ht="15">
      <c r="F32" s="292"/>
      <c r="G32" s="292"/>
      <c r="H32" s="644"/>
      <c r="I32" s="293" t="str">
        <f>+'Introducción de datos'!C114</f>
        <v>CONDONES MASCULINOS (TRANS)</v>
      </c>
      <c r="J32" s="665"/>
      <c r="K32" s="652"/>
      <c r="L32" s="656"/>
    </row>
    <row r="33" spans="6:12" ht="15">
      <c r="F33" s="292"/>
      <c r="G33" s="292"/>
      <c r="H33" s="644"/>
      <c r="I33" s="293" t="str">
        <f>+'Introducción de datos'!C115</f>
        <v>CONDONES FEMENINOS (TS)</v>
      </c>
      <c r="J33" s="294">
        <f>+'Introducción de datos'!I115</f>
        <v>5.003430767119528</v>
      </c>
      <c r="K33" s="295">
        <f>+'Introducción de datos'!J115</f>
        <v>5</v>
      </c>
      <c r="L33" s="462">
        <f>+'Introducción de datos'!K115</f>
        <v>0.0034307671195277223</v>
      </c>
    </row>
    <row r="34" spans="6:12" ht="15">
      <c r="F34" s="292"/>
      <c r="G34" s="292"/>
      <c r="H34" s="644"/>
      <c r="I34" s="293" t="str">
        <f>+'Introducción de datos'!C116</f>
        <v>PRUEBAS RAPIDAS*</v>
      </c>
      <c r="J34" s="294">
        <f>+'Introducción de datos'!I116</f>
        <v>9.959999999999999</v>
      </c>
      <c r="K34" s="295">
        <f>+'Introducción de datos'!J116</f>
        <v>5</v>
      </c>
      <c r="L34" s="462">
        <f>+'Introducción de datos'!K116</f>
        <v>4.959999999999999</v>
      </c>
    </row>
    <row r="35" spans="6:12" ht="15.75" thickBot="1">
      <c r="F35" s="292"/>
      <c r="G35" s="292"/>
      <c r="H35" s="644"/>
      <c r="I35" s="455" t="str">
        <f>+'Introducción de datos'!C117</f>
        <v>MANTAS DE LATEX</v>
      </c>
      <c r="J35" s="294">
        <f>+'Introducción de datos'!I117</f>
        <v>3.1392891450528335</v>
      </c>
      <c r="K35" s="295">
        <f>+'Introducción de datos'!J117</f>
        <v>5</v>
      </c>
      <c r="L35" s="462">
        <f>+'Introducción de datos'!K117</f>
        <v>-1.8607108549471665</v>
      </c>
    </row>
    <row r="36" spans="2:12" ht="18" customHeight="1" thickBot="1">
      <c r="B36" s="673" t="str">
        <f>+'Introducción de datos'!B106</f>
        <v>* Incluye sólo los montos de las categorías 4 y 5 (Productos y equipamientos sanitarios y Medicamentos y productos farmacéuticos) de los  Informes Financieros Mejorados</v>
      </c>
      <c r="C36" s="673"/>
      <c r="D36" s="673"/>
      <c r="E36" s="673"/>
      <c r="F36" s="10"/>
      <c r="G36" s="10"/>
      <c r="H36" s="645"/>
      <c r="I36" s="455" t="str">
        <f>+'Introducción de datos'!C118</f>
        <v>LUBRICANTES/TUBOS HSH</v>
      </c>
      <c r="J36" s="647">
        <f>+'Introducción de datos'!I118</f>
        <v>0.015430775825117874</v>
      </c>
      <c r="K36" s="653">
        <f>+'Introducción de datos'!J118</f>
        <v>5</v>
      </c>
      <c r="L36" s="658">
        <f>+'Introducción de datos'!K118</f>
        <v>-4.984569224174882</v>
      </c>
    </row>
    <row r="37" spans="2:12" ht="15.75" thickBot="1">
      <c r="B37" s="673"/>
      <c r="C37" s="673"/>
      <c r="D37" s="673"/>
      <c r="E37" s="673"/>
      <c r="H37" s="645"/>
      <c r="I37" s="455" t="str">
        <f>+'Introducción de datos'!C119</f>
        <v>LUBRICANTES/TUBOS TS</v>
      </c>
      <c r="J37" s="648"/>
      <c r="K37" s="651"/>
      <c r="L37" s="655"/>
    </row>
    <row r="38" spans="2:12" ht="15.75" thickBot="1">
      <c r="B38" s="673"/>
      <c r="C38" s="673"/>
      <c r="D38" s="673"/>
      <c r="E38" s="673"/>
      <c r="H38" s="645"/>
      <c r="I38" s="455" t="str">
        <f>+'Introducción de datos'!C120</f>
        <v>LUBRICANTES/TUBOS TRANS</v>
      </c>
      <c r="J38" s="665"/>
      <c r="K38" s="652"/>
      <c r="L38" s="656"/>
    </row>
    <row r="39" spans="8:12" ht="15.75" thickBot="1">
      <c r="H39" s="645"/>
      <c r="I39" s="455" t="str">
        <f>+'Introducción de datos'!C121</f>
        <v>LUBRICANTES/SACHETS HSH</v>
      </c>
      <c r="J39" s="647">
        <f>+'Introducción de datos'!I121</f>
        <v>6.181881248219219</v>
      </c>
      <c r="K39" s="653">
        <f>+'Introducción de datos'!J121</f>
        <v>5</v>
      </c>
      <c r="L39" s="658">
        <f>+'Introducción de datos'!K121</f>
        <v>1.1818812482192191</v>
      </c>
    </row>
    <row r="40" spans="8:12" ht="15.75" thickBot="1">
      <c r="H40" s="645"/>
      <c r="I40" s="455" t="str">
        <f>+'Introducción de datos'!C122</f>
        <v>LUBRICANTES/SACHETS TS</v>
      </c>
      <c r="J40" s="648"/>
      <c r="K40" s="651"/>
      <c r="L40" s="655"/>
    </row>
    <row r="41" spans="8:12" ht="15.75" thickBot="1">
      <c r="H41" s="646"/>
      <c r="I41" s="463" t="str">
        <f>+'Introducción de datos'!C123</f>
        <v>LUBRICANTES/SACHETS TRANS</v>
      </c>
      <c r="J41" s="649"/>
      <c r="K41" s="657"/>
      <c r="L41" s="659"/>
    </row>
  </sheetData>
  <sheetProtection/>
  <mergeCells count="28">
    <mergeCell ref="C16:F16"/>
    <mergeCell ref="L36:L38"/>
    <mergeCell ref="E6:I6"/>
    <mergeCell ref="C8:F8"/>
    <mergeCell ref="I8:L8"/>
    <mergeCell ref="D10:D11"/>
    <mergeCell ref="E10:F10"/>
    <mergeCell ref="I16:L16"/>
    <mergeCell ref="C27:F27"/>
    <mergeCell ref="B36:E38"/>
    <mergeCell ref="B2:L2"/>
    <mergeCell ref="C3:D3"/>
    <mergeCell ref="E3:I3"/>
    <mergeCell ref="J3:K3"/>
    <mergeCell ref="J30:J32"/>
    <mergeCell ref="J36:J38"/>
    <mergeCell ref="C4:D4"/>
    <mergeCell ref="E4:I4"/>
    <mergeCell ref="J4:K4"/>
    <mergeCell ref="D5:J5"/>
    <mergeCell ref="I27:L27"/>
    <mergeCell ref="H30:H41"/>
    <mergeCell ref="J39:J41"/>
    <mergeCell ref="K30:K32"/>
    <mergeCell ref="K36:K38"/>
    <mergeCell ref="L30:L32"/>
    <mergeCell ref="K39:K41"/>
    <mergeCell ref="L39:L41"/>
  </mergeCells>
  <conditionalFormatting sqref="D12:D13">
    <cfRule type="cellIs" priority="3" dxfId="48" operator="greaterThan" stopIfTrue="1">
      <formula>0</formula>
    </cfRule>
  </conditionalFormatting>
  <conditionalFormatting sqref="E12:E13">
    <cfRule type="cellIs" priority="4" dxfId="53" operator="greaterThan" stopIfTrue="1">
      <formula>0</formula>
    </cfRule>
  </conditionalFormatting>
  <conditionalFormatting sqref="F12:G13">
    <cfRule type="cellIs" priority="5" dxfId="41" operator="greaterThan" stopIfTrue="1">
      <formula>0</formula>
    </cfRule>
  </conditionalFormatting>
  <conditionalFormatting sqref="C4:D4">
    <cfRule type="cellIs" priority="6" dxfId="41" operator="equal" stopIfTrue="1">
      <formula>"C"</formula>
    </cfRule>
    <cfRule type="cellIs" priority="7" dxfId="42" operator="equal" stopIfTrue="1">
      <formula>"B2"</formula>
    </cfRule>
    <cfRule type="cellIs" priority="8" dxfId="43" operator="equal" stopIfTrue="1">
      <formula>"B1"</formula>
    </cfRule>
  </conditionalFormatting>
  <conditionalFormatting sqref="L30 L39 L33 L35:L36">
    <cfRule type="cellIs" priority="9" dxfId="54" operator="lessThan" stopIfTrue="1">
      <formula>1</formula>
    </cfRule>
    <cfRule type="cellIs" priority="10" dxfId="55" operator="between" stopIfTrue="1">
      <formula>3</formula>
      <formula>17</formula>
    </cfRule>
    <cfRule type="cellIs" priority="11" dxfId="56" operator="between" stopIfTrue="1">
      <formula>1</formula>
      <formula>3</formula>
    </cfRule>
  </conditionalFormatting>
  <conditionalFormatting sqref="L30 L39 L33:L36">
    <cfRule type="cellIs" priority="1" dxfId="12" operator="greaterThan" stopIfTrue="1">
      <formula>0</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I28"/>
  <sheetViews>
    <sheetView showGridLines="0" tabSelected="1" zoomScalePageLayoutView="0" workbookViewId="0" topLeftCell="E21">
      <selection activeCell="G21" sqref="G21:K21"/>
    </sheetView>
  </sheetViews>
  <sheetFormatPr defaultColWidth="9.140625" defaultRowHeight="15"/>
  <cols>
    <col min="1" max="1" width="0.42578125" style="0" customWidth="1"/>
    <col min="2" max="2" width="17.8515625" style="0" customWidth="1"/>
    <col min="3" max="3" width="16.140625" style="0" customWidth="1"/>
    <col min="4" max="4" width="17.28125" style="0" customWidth="1"/>
    <col min="5" max="5" width="8.00390625" style="0" customWidth="1"/>
    <col min="6" max="6" width="10.7109375" style="0" customWidth="1"/>
    <col min="7" max="7" width="8.28125" style="0" customWidth="1"/>
    <col min="8" max="8" width="6.28125" style="0" customWidth="1"/>
    <col min="9" max="9" width="6.00390625" style="0" customWidth="1"/>
    <col min="10" max="10" width="6.140625" style="0" customWidth="1"/>
    <col min="11" max="11" width="11.28125" style="0" customWidth="1"/>
    <col min="12" max="12" width="14.00390625" style="0" customWidth="1"/>
    <col min="13" max="13" width="11.7109375" style="0" customWidth="1"/>
    <col min="14" max="14" width="9.57421875" style="0" customWidth="1"/>
    <col min="15" max="15" width="7.421875" style="0" customWidth="1"/>
    <col min="16" max="16" width="15.7109375" style="0" customWidth="1"/>
    <col min="17" max="17" width="14.421875" style="0" customWidth="1"/>
    <col min="18" max="18" width="17.00390625" style="0" customWidth="1"/>
  </cols>
  <sheetData>
    <row r="1" spans="1:16" ht="26.25" customHeight="1">
      <c r="A1" s="6"/>
      <c r="B1" s="6"/>
      <c r="C1" s="6"/>
      <c r="D1" s="6"/>
      <c r="E1" s="6"/>
      <c r="F1" s="6"/>
      <c r="G1" s="6"/>
      <c r="H1" s="6"/>
      <c r="I1" s="6"/>
      <c r="J1" s="6"/>
      <c r="K1" s="6"/>
      <c r="L1" s="6"/>
      <c r="M1" s="6"/>
      <c r="N1" s="6"/>
      <c r="O1" s="6"/>
      <c r="P1" s="6"/>
    </row>
    <row r="2" spans="1:17" ht="21.75" customHeight="1">
      <c r="A2" s="6"/>
      <c r="B2" s="699" t="str">
        <f>+"Cuadro de mando:  "&amp;"  "&amp;+'Introducción de datos'!C4&amp;" - "&amp;'Introducción de datos'!G6</f>
        <v>Cuadro de mando:    El Salvador - VIH / SIDA</v>
      </c>
      <c r="C2" s="699"/>
      <c r="D2" s="699"/>
      <c r="E2" s="699"/>
      <c r="F2" s="699"/>
      <c r="G2" s="699"/>
      <c r="H2" s="699"/>
      <c r="I2" s="699"/>
      <c r="J2" s="699"/>
      <c r="K2" s="699"/>
      <c r="L2" s="699"/>
      <c r="M2" s="699"/>
      <c r="N2" s="699"/>
      <c r="O2" s="699"/>
      <c r="P2" s="699"/>
      <c r="Q2" s="699"/>
    </row>
    <row r="3" spans="1:17" ht="15">
      <c r="A3" s="6"/>
      <c r="B3" s="249" t="str">
        <f>+'Introducción de datos'!G8</f>
        <v>Seleccionar</v>
      </c>
      <c r="C3" s="639" t="str">
        <f>+'Introducción de datos'!I8</f>
        <v>Seleccionar</v>
      </c>
      <c r="D3" s="639"/>
      <c r="E3" s="636"/>
      <c r="F3" s="636"/>
      <c r="G3" s="636"/>
      <c r="H3" s="636"/>
      <c r="I3" s="636"/>
      <c r="J3" s="636"/>
      <c r="K3" s="636"/>
      <c r="L3" s="6"/>
      <c r="M3" s="6"/>
      <c r="O3" s="637" t="str">
        <f>+'Introducción de datos'!B16</f>
        <v>Periodo:</v>
      </c>
      <c r="P3" s="637"/>
      <c r="Q3" s="296" t="str">
        <f>+'Introducción de datos'!C16</f>
        <v>P4</v>
      </c>
    </row>
    <row r="4" spans="1:29" ht="12" customHeight="1">
      <c r="A4" s="6"/>
      <c r="B4" s="249" t="str">
        <f>+'Introducción de datos'!B12</f>
        <v>Ultima calificación:</v>
      </c>
      <c r="C4" s="704" t="str">
        <f>+'Introducción de datos'!C12</f>
        <v>A1</v>
      </c>
      <c r="D4" s="704"/>
      <c r="E4" s="636" t="str">
        <f>+'Introducción de datos'!C8</f>
        <v>PLAN  INTERNACIONAL</v>
      </c>
      <c r="F4" s="636"/>
      <c r="G4" s="636"/>
      <c r="H4" s="636"/>
      <c r="I4" s="636"/>
      <c r="J4" s="636"/>
      <c r="K4" s="636"/>
      <c r="L4" s="636"/>
      <c r="M4" s="6"/>
      <c r="O4" s="297"/>
      <c r="P4" s="249" t="str">
        <f>+'Introducción de datos'!D16</f>
        <v>Desde:</v>
      </c>
      <c r="Q4" s="298">
        <f>+'Introducción de datos'!E16</f>
        <v>42186</v>
      </c>
      <c r="Y4" s="263"/>
      <c r="Z4" s="263"/>
      <c r="AA4" s="263"/>
      <c r="AB4" s="263"/>
      <c r="AC4" s="263"/>
    </row>
    <row r="5" spans="1:35" ht="15.75" customHeight="1">
      <c r="A5" s="6"/>
      <c r="B5" s="249"/>
      <c r="C5" s="249"/>
      <c r="D5" s="636" t="str">
        <f>+'Introducción de datos'!G4</f>
        <v>INNOVANDO SERVICIOS, REDUCIENDO RIESGOS, RENOVANDO VIDAS EN EL SALVADOR</v>
      </c>
      <c r="E5" s="636"/>
      <c r="F5" s="636"/>
      <c r="G5" s="636"/>
      <c r="H5" s="636"/>
      <c r="I5" s="636"/>
      <c r="J5" s="636"/>
      <c r="K5" s="636"/>
      <c r="L5" s="636"/>
      <c r="M5" s="636"/>
      <c r="N5" s="636"/>
      <c r="P5" s="249" t="str">
        <f>+'Introducción de datos'!F16</f>
        <v>Hasta:</v>
      </c>
      <c r="Q5" s="298">
        <f>+'Introducción de datos'!G16</f>
        <v>42369</v>
      </c>
      <c r="S5" s="299"/>
      <c r="T5" s="299"/>
      <c r="U5" s="299"/>
      <c r="V5" s="299"/>
      <c r="W5" s="299"/>
      <c r="X5" s="299"/>
      <c r="Y5" s="263"/>
      <c r="Z5" s="263"/>
      <c r="AA5" s="263" t="s">
        <v>301</v>
      </c>
      <c r="AB5" s="263"/>
      <c r="AC5" s="300" t="s">
        <v>302</v>
      </c>
      <c r="AD5" s="299"/>
      <c r="AE5" s="299"/>
      <c r="AF5" s="299"/>
      <c r="AG5" s="299"/>
      <c r="AH5" s="299"/>
      <c r="AI5" s="299"/>
    </row>
    <row r="6" spans="1:35" ht="15.75" customHeight="1">
      <c r="A6" s="6"/>
      <c r="B6" s="249"/>
      <c r="C6" s="249"/>
      <c r="D6" s="301"/>
      <c r="E6" s="301"/>
      <c r="F6" s="705" t="s">
        <v>303</v>
      </c>
      <c r="G6" s="705"/>
      <c r="H6" s="705"/>
      <c r="I6" s="705"/>
      <c r="J6" s="705"/>
      <c r="K6" s="705"/>
      <c r="L6" s="301"/>
      <c r="M6" s="6"/>
      <c r="N6" s="6"/>
      <c r="O6" s="302"/>
      <c r="P6" s="303"/>
      <c r="S6" s="299"/>
      <c r="T6" s="299"/>
      <c r="U6" s="299"/>
      <c r="V6" s="299"/>
      <c r="W6" s="299"/>
      <c r="X6" s="299"/>
      <c r="Y6" s="263"/>
      <c r="Z6" s="263"/>
      <c r="AA6" s="263"/>
      <c r="AB6" s="263"/>
      <c r="AC6" s="263"/>
      <c r="AD6" s="299"/>
      <c r="AE6" s="299"/>
      <c r="AF6" s="299"/>
      <c r="AG6" s="299"/>
      <c r="AH6" s="299"/>
      <c r="AI6" s="299"/>
    </row>
    <row r="7" spans="1:35" ht="3" customHeight="1">
      <c r="A7" s="6"/>
      <c r="B7" s="249"/>
      <c r="C7" s="249"/>
      <c r="D7" s="301"/>
      <c r="E7" s="301"/>
      <c r="F7" s="301"/>
      <c r="G7" s="301"/>
      <c r="H7" s="301"/>
      <c r="I7" s="301"/>
      <c r="J7" s="301"/>
      <c r="K7" s="301"/>
      <c r="L7" s="301"/>
      <c r="M7" s="6"/>
      <c r="N7" s="6"/>
      <c r="O7" s="302"/>
      <c r="P7" s="253"/>
      <c r="Q7" s="253"/>
      <c r="S7" s="299"/>
      <c r="T7" s="299"/>
      <c r="U7" s="299"/>
      <c r="V7" s="299"/>
      <c r="W7" s="299"/>
      <c r="X7" s="299"/>
      <c r="Y7" s="263"/>
      <c r="Z7" s="263"/>
      <c r="AA7" s="263"/>
      <c r="AB7" s="263"/>
      <c r="AC7" s="263"/>
      <c r="AD7" s="299"/>
      <c r="AE7" s="299"/>
      <c r="AF7" s="299"/>
      <c r="AG7" s="299"/>
      <c r="AH7" s="299"/>
      <c r="AI7" s="299"/>
    </row>
    <row r="8" spans="1:35" ht="18.75" customHeight="1">
      <c r="A8" s="6"/>
      <c r="B8" s="700" t="str">
        <f>+'Introducción de datos'!B130</f>
        <v>% Y Número de personas HSH alcanzadas con el paquete básico de prevención de VIH</v>
      </c>
      <c r="C8" s="700"/>
      <c r="D8" s="700"/>
      <c r="E8" s="700"/>
      <c r="F8" s="700" t="str">
        <f>+'Introducción de datos'!B132</f>
        <v>% Y Número de personas TS alcanzadas con el paquete básico de prevención de VIH</v>
      </c>
      <c r="G8" s="700"/>
      <c r="H8" s="700"/>
      <c r="I8" s="700"/>
      <c r="J8" s="700"/>
      <c r="K8" s="700"/>
      <c r="L8" s="700" t="str">
        <f>+'Introducción de datos'!B134</f>
        <v>% Y Número de personas TRANS alcanzadas con el paquete básico de prevención de VIH</v>
      </c>
      <c r="M8" s="700"/>
      <c r="N8" s="700"/>
      <c r="O8" s="700"/>
      <c r="P8" s="700"/>
      <c r="Q8" s="700"/>
      <c r="S8" s="299"/>
      <c r="T8" s="299"/>
      <c r="U8" s="299"/>
      <c r="V8" s="299"/>
      <c r="W8" s="299"/>
      <c r="X8" s="299"/>
      <c r="Y8" s="263"/>
      <c r="Z8" s="263"/>
      <c r="AA8" s="263"/>
      <c r="AB8" s="263"/>
      <c r="AC8" s="263"/>
      <c r="AD8" s="299"/>
      <c r="AE8" s="299"/>
      <c r="AF8" s="299"/>
      <c r="AG8" s="299"/>
      <c r="AH8" s="299"/>
      <c r="AI8" s="299"/>
    </row>
    <row r="9" spans="1:35" ht="75" customHeight="1">
      <c r="A9" s="6"/>
      <c r="B9" s="424" t="s">
        <v>304</v>
      </c>
      <c r="C9" s="640" t="s">
        <v>354</v>
      </c>
      <c r="D9" s="641"/>
      <c r="E9" s="642"/>
      <c r="F9" s="424" t="s">
        <v>304</v>
      </c>
      <c r="G9" s="640" t="s">
        <v>355</v>
      </c>
      <c r="H9" s="641"/>
      <c r="I9" s="641"/>
      <c r="J9" s="641"/>
      <c r="K9" s="642"/>
      <c r="L9" s="424" t="s">
        <v>304</v>
      </c>
      <c r="M9" s="640" t="s">
        <v>356</v>
      </c>
      <c r="N9" s="641"/>
      <c r="O9" s="641"/>
      <c r="P9" s="641"/>
      <c r="Q9" s="642"/>
      <c r="S9" s="299"/>
      <c r="T9" s="299"/>
      <c r="U9" s="299"/>
      <c r="V9" s="299"/>
      <c r="W9" s="299"/>
      <c r="X9" s="299"/>
      <c r="Y9" s="299"/>
      <c r="Z9" s="299"/>
      <c r="AA9" s="299"/>
      <c r="AB9" s="299"/>
      <c r="AC9" s="299"/>
      <c r="AD9" s="299"/>
      <c r="AE9" s="299"/>
      <c r="AF9" s="299"/>
      <c r="AG9" s="299"/>
      <c r="AH9" s="299"/>
      <c r="AI9" s="299"/>
    </row>
    <row r="10" spans="1:35" ht="18.75" customHeight="1">
      <c r="A10" s="6"/>
      <c r="B10" s="249"/>
      <c r="C10" s="249"/>
      <c r="D10" s="301"/>
      <c r="E10" s="301"/>
      <c r="F10" s="301"/>
      <c r="G10" s="301"/>
      <c r="H10" s="301"/>
      <c r="I10" s="301"/>
      <c r="J10" s="301"/>
      <c r="K10" s="301"/>
      <c r="L10" s="301"/>
      <c r="M10" s="6"/>
      <c r="N10" s="6"/>
      <c r="O10" s="302"/>
      <c r="P10" s="253"/>
      <c r="S10" s="299"/>
      <c r="T10" s="299"/>
      <c r="U10" s="299"/>
      <c r="V10" s="299"/>
      <c r="W10" s="299"/>
      <c r="X10" s="299"/>
      <c r="Y10" s="299"/>
      <c r="Z10" s="299"/>
      <c r="AA10" s="299"/>
      <c r="AB10" s="299"/>
      <c r="AC10" s="299"/>
      <c r="AD10" s="299"/>
      <c r="AE10" s="299"/>
      <c r="AF10" s="299"/>
      <c r="AG10" s="299"/>
      <c r="AH10" s="299"/>
      <c r="AI10" s="299"/>
    </row>
    <row r="11" spans="1:35" ht="18.75" customHeight="1">
      <c r="A11" s="6"/>
      <c r="B11" s="249"/>
      <c r="C11" s="249"/>
      <c r="D11" s="301"/>
      <c r="E11" s="301"/>
      <c r="F11" s="301"/>
      <c r="G11" s="301"/>
      <c r="H11" s="301"/>
      <c r="I11" s="301"/>
      <c r="J11" s="301"/>
      <c r="K11" s="301"/>
      <c r="L11" s="301"/>
      <c r="M11" s="6"/>
      <c r="N11" s="6"/>
      <c r="O11" s="302"/>
      <c r="P11" s="253"/>
      <c r="S11" s="299"/>
      <c r="T11" s="299"/>
      <c r="U11" s="299"/>
      <c r="V11" s="299"/>
      <c r="W11" s="299"/>
      <c r="X11" s="299"/>
      <c r="Y11" s="299"/>
      <c r="Z11" s="299"/>
      <c r="AA11" s="299"/>
      <c r="AB11" s="299"/>
      <c r="AC11" s="299"/>
      <c r="AD11" s="299"/>
      <c r="AE11" s="299"/>
      <c r="AF11" s="299"/>
      <c r="AG11" s="299"/>
      <c r="AH11" s="299"/>
      <c r="AI11" s="299"/>
    </row>
    <row r="12" spans="1:35" ht="18.75" customHeight="1">
      <c r="A12" s="6"/>
      <c r="B12" s="249"/>
      <c r="C12" s="249"/>
      <c r="D12" s="301"/>
      <c r="E12" s="301"/>
      <c r="F12" s="301"/>
      <c r="G12" s="301"/>
      <c r="H12" s="301"/>
      <c r="I12" s="301"/>
      <c r="J12" s="301"/>
      <c r="K12" s="301"/>
      <c r="L12" s="301"/>
      <c r="M12" s="6"/>
      <c r="N12" s="6"/>
      <c r="O12" s="302"/>
      <c r="P12" s="253"/>
      <c r="S12" s="299"/>
      <c r="T12" s="299"/>
      <c r="U12" s="299"/>
      <c r="V12" s="299"/>
      <c r="W12" s="299"/>
      <c r="X12" s="299"/>
      <c r="Y12" s="299"/>
      <c r="Z12" s="299"/>
      <c r="AA12" s="299"/>
      <c r="AB12" s="299"/>
      <c r="AC12" s="299"/>
      <c r="AD12" s="299"/>
      <c r="AE12" s="299"/>
      <c r="AF12" s="299"/>
      <c r="AG12" s="299"/>
      <c r="AH12" s="299"/>
      <c r="AI12" s="299"/>
    </row>
    <row r="13" spans="1:35" ht="18.75" customHeight="1">
      <c r="A13" s="6"/>
      <c r="B13" s="249"/>
      <c r="C13" s="249"/>
      <c r="D13" s="301"/>
      <c r="E13" s="301"/>
      <c r="F13" s="301"/>
      <c r="G13" s="301"/>
      <c r="H13" s="301"/>
      <c r="I13" s="301"/>
      <c r="J13" s="301"/>
      <c r="K13" s="301"/>
      <c r="L13" s="301"/>
      <c r="M13" s="6"/>
      <c r="N13" s="6"/>
      <c r="O13" s="302"/>
      <c r="P13" s="253"/>
      <c r="S13" s="299"/>
      <c r="T13" s="299"/>
      <c r="U13" s="299"/>
      <c r="V13" s="299"/>
      <c r="W13" s="299"/>
      <c r="X13" s="299"/>
      <c r="Y13" s="299"/>
      <c r="Z13" s="299"/>
      <c r="AA13" s="299"/>
      <c r="AB13" s="299"/>
      <c r="AC13" s="299"/>
      <c r="AD13" s="299"/>
      <c r="AE13" s="299"/>
      <c r="AF13" s="299"/>
      <c r="AG13" s="299"/>
      <c r="AH13" s="299"/>
      <c r="AI13" s="299"/>
    </row>
    <row r="14" spans="1:35" ht="18.75" customHeight="1">
      <c r="A14" s="6"/>
      <c r="B14" s="249"/>
      <c r="C14" s="249"/>
      <c r="D14" s="301"/>
      <c r="E14" s="301"/>
      <c r="F14" s="301"/>
      <c r="G14" s="301"/>
      <c r="H14" s="301"/>
      <c r="I14" s="301"/>
      <c r="J14" s="301"/>
      <c r="K14" s="301"/>
      <c r="L14" s="301"/>
      <c r="M14" s="6"/>
      <c r="N14" s="6"/>
      <c r="O14" s="302"/>
      <c r="P14" s="253"/>
      <c r="S14" s="299"/>
      <c r="T14" s="299"/>
      <c r="U14" s="299"/>
      <c r="V14" s="299"/>
      <c r="W14" s="299"/>
      <c r="X14" s="299"/>
      <c r="Y14" s="299"/>
      <c r="Z14" s="299"/>
      <c r="AA14" s="299"/>
      <c r="AB14" s="299"/>
      <c r="AC14" s="299"/>
      <c r="AD14" s="299"/>
      <c r="AE14" s="299"/>
      <c r="AF14" s="299"/>
      <c r="AG14" s="299"/>
      <c r="AH14" s="299"/>
      <c r="AI14" s="299"/>
    </row>
    <row r="15" spans="1:35" ht="18.75" customHeight="1">
      <c r="A15" s="6"/>
      <c r="B15" s="249"/>
      <c r="C15" s="249"/>
      <c r="D15" s="301"/>
      <c r="E15" s="301"/>
      <c r="F15" s="301"/>
      <c r="G15" s="301"/>
      <c r="H15" s="301"/>
      <c r="I15" s="301"/>
      <c r="J15" s="301"/>
      <c r="K15" s="301"/>
      <c r="L15" s="301"/>
      <c r="M15" s="6"/>
      <c r="N15" s="6"/>
      <c r="O15" s="302"/>
      <c r="P15" s="253"/>
      <c r="S15" s="299"/>
      <c r="T15" s="299"/>
      <c r="U15" s="299"/>
      <c r="V15" s="299"/>
      <c r="W15" s="299"/>
      <c r="X15" s="299"/>
      <c r="Y15" s="299"/>
      <c r="Z15" s="299"/>
      <c r="AA15" s="299"/>
      <c r="AB15" s="299"/>
      <c r="AC15" s="299"/>
      <c r="AD15" s="299"/>
      <c r="AE15" s="299"/>
      <c r="AF15" s="299"/>
      <c r="AG15" s="299"/>
      <c r="AH15" s="299"/>
      <c r="AI15" s="299"/>
    </row>
    <row r="16" spans="1:35" ht="18.75" customHeight="1">
      <c r="A16" s="6"/>
      <c r="B16" s="249"/>
      <c r="C16" s="249"/>
      <c r="D16" s="301"/>
      <c r="E16" s="301"/>
      <c r="F16" s="301"/>
      <c r="G16" s="301"/>
      <c r="H16" s="301"/>
      <c r="I16" s="301"/>
      <c r="J16" s="301"/>
      <c r="K16" s="301"/>
      <c r="L16" s="301"/>
      <c r="M16" s="6"/>
      <c r="N16" s="6"/>
      <c r="O16" s="302"/>
      <c r="P16" s="253"/>
      <c r="S16" s="299"/>
      <c r="T16" s="299"/>
      <c r="U16" s="299"/>
      <c r="V16" s="299"/>
      <c r="W16" s="299"/>
      <c r="X16" s="299"/>
      <c r="Y16" s="299"/>
      <c r="Z16" s="299"/>
      <c r="AA16" s="299"/>
      <c r="AB16" s="299"/>
      <c r="AC16" s="299"/>
      <c r="AD16" s="299"/>
      <c r="AE16" s="299"/>
      <c r="AF16" s="299"/>
      <c r="AG16" s="299"/>
      <c r="AH16" s="299"/>
      <c r="AI16" s="299"/>
    </row>
    <row r="17" spans="1:35" ht="17.25" customHeight="1">
      <c r="A17" s="6"/>
      <c r="B17" s="249"/>
      <c r="C17" s="249"/>
      <c r="D17" s="301"/>
      <c r="E17" s="301"/>
      <c r="F17" s="301"/>
      <c r="G17" s="301"/>
      <c r="H17" s="301"/>
      <c r="I17" s="301"/>
      <c r="J17" s="301"/>
      <c r="K17" s="301"/>
      <c r="L17" s="301"/>
      <c r="M17" s="6"/>
      <c r="N17" s="6"/>
      <c r="O17" s="302"/>
      <c r="P17" s="253"/>
      <c r="S17" s="299"/>
      <c r="T17" s="299"/>
      <c r="U17" s="299"/>
      <c r="V17" s="299"/>
      <c r="W17" s="299"/>
      <c r="X17" s="299"/>
      <c r="Y17" s="299"/>
      <c r="Z17" s="299"/>
      <c r="AA17" s="299"/>
      <c r="AB17" s="299"/>
      <c r="AC17" s="299"/>
      <c r="AD17" s="299"/>
      <c r="AE17" s="299"/>
      <c r="AF17" s="299"/>
      <c r="AG17" s="299"/>
      <c r="AH17" s="299"/>
      <c r="AI17" s="299"/>
    </row>
    <row r="18" spans="1:35" ht="6" customHeight="1">
      <c r="A18" s="6"/>
      <c r="B18" s="254"/>
      <c r="C18" s="249"/>
      <c r="D18" s="255"/>
      <c r="E18" s="691"/>
      <c r="F18" s="691"/>
      <c r="G18" s="691"/>
      <c r="H18" s="691"/>
      <c r="I18" s="691"/>
      <c r="J18" s="691"/>
      <c r="K18" s="691"/>
      <c r="L18" s="6"/>
      <c r="M18" s="6"/>
      <c r="N18" s="6"/>
      <c r="O18" s="6"/>
      <c r="P18" s="6"/>
      <c r="S18" s="299"/>
      <c r="T18" s="299"/>
      <c r="U18" s="299"/>
      <c r="V18" s="299"/>
      <c r="W18" s="299"/>
      <c r="X18" s="299"/>
      <c r="Y18" s="299"/>
      <c r="Z18" s="299"/>
      <c r="AA18" s="299"/>
      <c r="AB18" s="299"/>
      <c r="AC18" s="299"/>
      <c r="AD18" s="299"/>
      <c r="AE18" s="299"/>
      <c r="AF18" s="299"/>
      <c r="AG18" s="299"/>
      <c r="AH18" s="299"/>
      <c r="AI18" s="299"/>
    </row>
    <row r="19" spans="1:35" ht="24" customHeight="1">
      <c r="A19" s="6"/>
      <c r="B19" s="692" t="s">
        <v>305</v>
      </c>
      <c r="C19" s="693"/>
      <c r="D19" s="694"/>
      <c r="E19" s="304" t="s">
        <v>281</v>
      </c>
      <c r="F19" s="304" t="s">
        <v>306</v>
      </c>
      <c r="G19" s="695" t="s">
        <v>307</v>
      </c>
      <c r="H19" s="696"/>
      <c r="I19" s="697" t="s">
        <v>308</v>
      </c>
      <c r="J19" s="698"/>
      <c r="K19" s="305" t="s">
        <v>309</v>
      </c>
      <c r="L19" s="706" t="s">
        <v>310</v>
      </c>
      <c r="M19" s="707"/>
      <c r="N19" s="707"/>
      <c r="O19" s="707"/>
      <c r="P19" s="707"/>
      <c r="Q19" s="707"/>
      <c r="R19" s="432" t="s">
        <v>318</v>
      </c>
      <c r="S19" s="430" t="s">
        <v>311</v>
      </c>
      <c r="T19" s="307">
        <v>0</v>
      </c>
      <c r="U19" s="308">
        <v>0.3</v>
      </c>
      <c r="V19" s="308">
        <v>0.6</v>
      </c>
      <c r="W19" s="308">
        <v>0.9</v>
      </c>
      <c r="X19" s="308">
        <v>1</v>
      </c>
      <c r="Y19" s="263"/>
      <c r="Z19" s="263"/>
      <c r="AA19" s="306" t="s">
        <v>312</v>
      </c>
      <c r="AB19" s="307">
        <v>0</v>
      </c>
      <c r="AC19" s="308">
        <v>0.2</v>
      </c>
      <c r="AD19" s="308">
        <v>0.4</v>
      </c>
      <c r="AE19" s="308">
        <v>0.6</v>
      </c>
      <c r="AF19" s="308">
        <v>0.8</v>
      </c>
      <c r="AG19" s="263"/>
      <c r="AH19" s="263"/>
      <c r="AI19" s="263"/>
    </row>
    <row r="20" spans="1:35" ht="372.75" customHeight="1">
      <c r="A20" s="6"/>
      <c r="B20" s="675" t="str">
        <f>+'Introducción de datos'!B130</f>
        <v>% Y Número de personas HSH alcanzadas con el paquete básico de prevención de VIH</v>
      </c>
      <c r="C20" s="676"/>
      <c r="D20" s="677"/>
      <c r="E20" s="427">
        <v>9651</v>
      </c>
      <c r="F20" s="427">
        <v>9895</v>
      </c>
      <c r="G20" s="678">
        <v>1.02</v>
      </c>
      <c r="H20" s="679"/>
      <c r="I20" s="679"/>
      <c r="J20" s="679"/>
      <c r="K20" s="680"/>
      <c r="L20" s="688" t="s">
        <v>375</v>
      </c>
      <c r="M20" s="689"/>
      <c r="N20" s="689"/>
      <c r="O20" s="689"/>
      <c r="P20" s="689"/>
      <c r="Q20" s="690"/>
      <c r="R20" s="701"/>
      <c r="S20" s="430" t="s">
        <v>313</v>
      </c>
      <c r="T20" s="309">
        <v>0.3</v>
      </c>
      <c r="U20" s="308">
        <v>0.6</v>
      </c>
      <c r="V20" s="308">
        <v>0.9</v>
      </c>
      <c r="W20" s="308">
        <v>1</v>
      </c>
      <c r="X20" s="308">
        <v>2</v>
      </c>
      <c r="Y20" s="263"/>
      <c r="Z20" s="263"/>
      <c r="AA20" s="306" t="s">
        <v>314</v>
      </c>
      <c r="AB20" s="309">
        <v>0.2</v>
      </c>
      <c r="AC20" s="308">
        <v>0.4</v>
      </c>
      <c r="AD20" s="308">
        <v>0.6</v>
      </c>
      <c r="AE20" s="308">
        <v>0.8</v>
      </c>
      <c r="AF20" s="308">
        <v>1</v>
      </c>
      <c r="AG20" s="263"/>
      <c r="AH20" s="263"/>
      <c r="AI20" s="263"/>
    </row>
    <row r="21" spans="1:35" ht="383.25" customHeight="1">
      <c r="A21" s="6"/>
      <c r="B21" s="675" t="str">
        <f>+'Introducción de datos'!B132</f>
        <v>% Y Número de personas TS alcanzadas con el paquete básico de prevención de VIH</v>
      </c>
      <c r="C21" s="676"/>
      <c r="D21" s="677"/>
      <c r="E21" s="423">
        <v>7318</v>
      </c>
      <c r="F21" s="423">
        <v>7029</v>
      </c>
      <c r="G21" s="678">
        <v>0.96</v>
      </c>
      <c r="H21" s="679"/>
      <c r="I21" s="679"/>
      <c r="J21" s="679"/>
      <c r="K21" s="680"/>
      <c r="L21" s="688" t="s">
        <v>394</v>
      </c>
      <c r="M21" s="689"/>
      <c r="N21" s="689"/>
      <c r="O21" s="689"/>
      <c r="P21" s="689"/>
      <c r="Q21" s="690"/>
      <c r="R21" s="702"/>
      <c r="S21" s="431"/>
      <c r="T21" s="310" t="str">
        <f>"de "&amp;T19&amp;" a "&amp;T20</f>
        <v>de 0 a 0.3</v>
      </c>
      <c r="U21" s="310" t="str">
        <f>"de "&amp;U19&amp;" a "&amp;U20</f>
        <v>de 0.3 a 0.6</v>
      </c>
      <c r="V21" s="310" t="str">
        <f>"de "&amp;V19&amp;" a "&amp;V20</f>
        <v>de 0.6 a 0.9</v>
      </c>
      <c r="W21" s="310" t="str">
        <f>"de "&amp;W19&amp;" a "&amp;W20</f>
        <v>de 0.9 a 1</v>
      </c>
      <c r="X21" s="310" t="str">
        <f>"de "&amp;X19&amp;" a "&amp;X20</f>
        <v>de 1 a 2</v>
      </c>
      <c r="Y21" s="263"/>
      <c r="Z21" s="311" t="s">
        <v>315</v>
      </c>
      <c r="AA21" s="312" t="s">
        <v>316</v>
      </c>
      <c r="AB21" s="310" t="str">
        <f>"de "&amp;AB19&amp;" a "&amp;AB20</f>
        <v>de 0 a 0.2</v>
      </c>
      <c r="AC21" s="310" t="str">
        <f>"de "&amp;AC19&amp;" a "&amp;AC20</f>
        <v>de 0.2 a 0.4</v>
      </c>
      <c r="AD21" s="310" t="str">
        <f>"de "&amp;AD19&amp;" a "&amp;AD20</f>
        <v>de 0.4 a 0.6</v>
      </c>
      <c r="AE21" s="310" t="str">
        <f>"de "&amp;AE19&amp;" a "&amp;AE20</f>
        <v>de 0.6 a 0.8</v>
      </c>
      <c r="AF21" s="310" t="str">
        <f>"de "&amp;AF19&amp;" a "&amp;AF20</f>
        <v>de 0.8 a 1</v>
      </c>
      <c r="AG21" s="263"/>
      <c r="AH21" s="263"/>
      <c r="AI21" s="263"/>
    </row>
    <row r="22" spans="1:35" ht="374.25" customHeight="1">
      <c r="A22" s="6"/>
      <c r="B22" s="675" t="str">
        <f>+'Introducción de datos'!B134</f>
        <v>% Y Número de personas TRANS alcanzadas con el paquete básico de prevención de VIH</v>
      </c>
      <c r="C22" s="676"/>
      <c r="D22" s="677"/>
      <c r="E22" s="427">
        <v>1106</v>
      </c>
      <c r="F22" s="427">
        <v>1051</v>
      </c>
      <c r="G22" s="678">
        <v>0.95</v>
      </c>
      <c r="H22" s="679"/>
      <c r="I22" s="679"/>
      <c r="J22" s="679"/>
      <c r="K22" s="680"/>
      <c r="L22" s="688" t="s">
        <v>376</v>
      </c>
      <c r="M22" s="689"/>
      <c r="N22" s="689"/>
      <c r="O22" s="689"/>
      <c r="P22" s="689"/>
      <c r="Q22" s="690"/>
      <c r="R22" s="703"/>
      <c r="S22" s="431"/>
      <c r="T22" s="308" t="e">
        <f aca="true" t="shared" si="0" ref="T22:W26">IF($K20&gt;T$19,IF($K20&lt;=T$20,$K20,NA()),NA())</f>
        <v>#N/A</v>
      </c>
      <c r="U22" s="308" t="e">
        <f t="shared" si="0"/>
        <v>#N/A</v>
      </c>
      <c r="V22" s="308" t="e">
        <f t="shared" si="0"/>
        <v>#N/A</v>
      </c>
      <c r="W22" s="308" t="e">
        <f t="shared" si="0"/>
        <v>#N/A</v>
      </c>
      <c r="X22" s="308" t="e">
        <f>IF($K20&gt;X$19,IF($K20&lt;=X$20,1,NA()),NA())</f>
        <v>#N/A</v>
      </c>
      <c r="Y22" s="263"/>
      <c r="Z22" s="313" t="e">
        <f>+'Información de la subvención'!#REF!</f>
        <v>#REF!</v>
      </c>
      <c r="AA22" s="308" t="e">
        <f>+IF(Z22="A1",1,IF(Z22="A2",0.8,IF(Z22="B1",0.6,IF(Z22="B2",0.4,0.2))))</f>
        <v>#REF!</v>
      </c>
      <c r="AB22" s="308" t="e">
        <f>IF($AA22&gt;AB$19,IF($AA22&lt;=AB$20,$AA22,NA()),NA())</f>
        <v>#REF!</v>
      </c>
      <c r="AC22" s="308" t="e">
        <f aca="true" t="shared" si="1" ref="AC22:AF24">IF($AA22&gt;AC$19,IF($AA22&lt;=AC$20,$AA22,NA()),NA())</f>
        <v>#REF!</v>
      </c>
      <c r="AD22" s="308" t="e">
        <f t="shared" si="1"/>
        <v>#REF!</v>
      </c>
      <c r="AE22" s="308" t="e">
        <f t="shared" si="1"/>
        <v>#REF!</v>
      </c>
      <c r="AF22" s="308" t="e">
        <f t="shared" si="1"/>
        <v>#REF!</v>
      </c>
      <c r="AG22" s="263"/>
      <c r="AH22" s="263"/>
      <c r="AI22" s="263"/>
    </row>
    <row r="23" spans="1:35" ht="302.25" customHeight="1">
      <c r="A23" s="6"/>
      <c r="B23" s="675" t="str">
        <f>+'Introducción de datos'!B136</f>
        <v>% Y Número de personas HSH alcanzadas con el paquete complementario de prevención de VIH</v>
      </c>
      <c r="C23" s="676"/>
      <c r="D23" s="677"/>
      <c r="E23" s="427">
        <v>1463</v>
      </c>
      <c r="F23" s="427">
        <v>5170</v>
      </c>
      <c r="G23" s="678">
        <v>3.53</v>
      </c>
      <c r="H23" s="679"/>
      <c r="I23" s="679"/>
      <c r="J23" s="679"/>
      <c r="K23" s="680"/>
      <c r="L23" s="681" t="s">
        <v>377</v>
      </c>
      <c r="M23" s="682"/>
      <c r="N23" s="682"/>
      <c r="O23" s="682"/>
      <c r="P23" s="682"/>
      <c r="Q23" s="687"/>
      <c r="R23" s="701"/>
      <c r="S23" s="431"/>
      <c r="T23" s="308" t="e">
        <f t="shared" si="0"/>
        <v>#N/A</v>
      </c>
      <c r="U23" s="308" t="e">
        <f t="shared" si="0"/>
        <v>#N/A</v>
      </c>
      <c r="V23" s="308" t="e">
        <f t="shared" si="0"/>
        <v>#N/A</v>
      </c>
      <c r="W23" s="308" t="e">
        <f t="shared" si="0"/>
        <v>#N/A</v>
      </c>
      <c r="X23" s="308" t="e">
        <f>IF($K21&gt;X$19,IF($K21&lt;=X$20,1,1),NA())</f>
        <v>#N/A</v>
      </c>
      <c r="Y23" s="263"/>
      <c r="Z23" s="313" t="e">
        <f>+'Información de la subvención'!#REF!</f>
        <v>#REF!</v>
      </c>
      <c r="AA23" s="308" t="e">
        <f>+IF(Z23="A1",1,IF(Z23="A2",0.8,IF(Z23="B1",0.6,IF(Z23="B2",0.4,0.2))))</f>
        <v>#REF!</v>
      </c>
      <c r="AB23" s="308" t="e">
        <f>IF($AA23&gt;AB$19,IF($AA23&lt;=AB$20,$AA23,NA()),NA())</f>
        <v>#REF!</v>
      </c>
      <c r="AC23" s="308" t="e">
        <f t="shared" si="1"/>
        <v>#REF!</v>
      </c>
      <c r="AD23" s="308" t="e">
        <f t="shared" si="1"/>
        <v>#REF!</v>
      </c>
      <c r="AE23" s="308" t="e">
        <f t="shared" si="1"/>
        <v>#REF!</v>
      </c>
      <c r="AF23" s="308" t="e">
        <f t="shared" si="1"/>
        <v>#REF!</v>
      </c>
      <c r="AG23" s="263"/>
      <c r="AH23" s="263"/>
      <c r="AI23" s="263"/>
    </row>
    <row r="24" spans="1:35" ht="315" customHeight="1">
      <c r="A24" s="6"/>
      <c r="B24" s="675" t="str">
        <f>+'Introducción de datos'!B138</f>
        <v>% Y Número de personas TS alcanzadas con el paquete complementario de prevención de VIH</v>
      </c>
      <c r="C24" s="676"/>
      <c r="D24" s="677"/>
      <c r="E24" s="427">
        <v>2048</v>
      </c>
      <c r="F24" s="427">
        <v>2441</v>
      </c>
      <c r="G24" s="678">
        <v>1.19</v>
      </c>
      <c r="H24" s="679"/>
      <c r="I24" s="679"/>
      <c r="J24" s="679"/>
      <c r="K24" s="680"/>
      <c r="L24" s="681" t="s">
        <v>378</v>
      </c>
      <c r="M24" s="682"/>
      <c r="N24" s="682"/>
      <c r="O24" s="682"/>
      <c r="P24" s="682"/>
      <c r="Q24" s="687"/>
      <c r="R24" s="702"/>
      <c r="S24" s="431"/>
      <c r="T24" s="308" t="e">
        <f t="shared" si="0"/>
        <v>#N/A</v>
      </c>
      <c r="U24" s="308" t="e">
        <f t="shared" si="0"/>
        <v>#N/A</v>
      </c>
      <c r="V24" s="308" t="e">
        <f t="shared" si="0"/>
        <v>#N/A</v>
      </c>
      <c r="W24" s="308" t="e">
        <f t="shared" si="0"/>
        <v>#N/A</v>
      </c>
      <c r="X24" s="308" t="e">
        <f>IF($K22&gt;X$19,IF($K22&lt;=X$20,1,NA()),NA())</f>
        <v>#N/A</v>
      </c>
      <c r="Y24" s="263"/>
      <c r="Z24" s="313" t="e">
        <f>+'Información de la subvención'!#REF!</f>
        <v>#REF!</v>
      </c>
      <c r="AA24" s="308" t="e">
        <f>+IF(Z24="A1",1,IF(Z24="A2",0.8,IF(Z24="B1",0.6,IF(Z24="B2",0.4,0.2))))</f>
        <v>#REF!</v>
      </c>
      <c r="AB24" s="308" t="e">
        <f>IF($AA24&gt;AB$19,IF($AA24&lt;=AB$20,$AA24,NA()),NA())</f>
        <v>#REF!</v>
      </c>
      <c r="AC24" s="308" t="e">
        <f t="shared" si="1"/>
        <v>#REF!</v>
      </c>
      <c r="AD24" s="308" t="e">
        <f t="shared" si="1"/>
        <v>#REF!</v>
      </c>
      <c r="AE24" s="308" t="e">
        <f t="shared" si="1"/>
        <v>#REF!</v>
      </c>
      <c r="AF24" s="308" t="e">
        <f t="shared" si="1"/>
        <v>#REF!</v>
      </c>
      <c r="AG24" s="263"/>
      <c r="AH24" s="263"/>
      <c r="AI24" s="263"/>
    </row>
    <row r="25" spans="1:35" ht="255" customHeight="1">
      <c r="A25" s="6"/>
      <c r="B25" s="675" t="str">
        <f>+'Introducción de datos'!B140</f>
        <v>% Y Número de personas TRANS alcanzadas con el paquete complementario de prevención de VIH</v>
      </c>
      <c r="C25" s="676"/>
      <c r="D25" s="677"/>
      <c r="E25" s="423">
        <v>386</v>
      </c>
      <c r="F25" s="423">
        <v>398</v>
      </c>
      <c r="G25" s="678">
        <v>1.03</v>
      </c>
      <c r="H25" s="679"/>
      <c r="I25" s="679"/>
      <c r="J25" s="679"/>
      <c r="K25" s="680"/>
      <c r="L25" s="681" t="s">
        <v>379</v>
      </c>
      <c r="M25" s="682"/>
      <c r="N25" s="682"/>
      <c r="O25" s="682"/>
      <c r="P25" s="682"/>
      <c r="Q25" s="682"/>
      <c r="R25" s="702"/>
      <c r="S25" s="431"/>
      <c r="T25" s="308" t="e">
        <f t="shared" si="0"/>
        <v>#N/A</v>
      </c>
      <c r="U25" s="308" t="e">
        <f t="shared" si="0"/>
        <v>#N/A</v>
      </c>
      <c r="V25" s="308" t="e">
        <f t="shared" si="0"/>
        <v>#N/A</v>
      </c>
      <c r="W25" s="308" t="e">
        <f t="shared" si="0"/>
        <v>#N/A</v>
      </c>
      <c r="X25" s="308" t="e">
        <f>IF($K23&gt;X$19,IF($K23&lt;=X$20,1,NA()),NA())</f>
        <v>#N/A</v>
      </c>
      <c r="Y25" s="263"/>
      <c r="Z25" s="263"/>
      <c r="AA25" s="263"/>
      <c r="AB25" s="263"/>
      <c r="AC25" s="263"/>
      <c r="AD25" s="263"/>
      <c r="AE25" s="263"/>
      <c r="AF25" s="263"/>
      <c r="AG25" s="263"/>
      <c r="AH25" s="263"/>
      <c r="AI25" s="263"/>
    </row>
    <row r="26" spans="1:35" ht="92.25" customHeight="1">
      <c r="A26" s="6"/>
      <c r="B26" s="675" t="str">
        <f>+'Introducción de datos'!B142</f>
        <v>% de Población Transgenero infectada por el VIH</v>
      </c>
      <c r="C26" s="676"/>
      <c r="D26" s="677"/>
      <c r="E26" s="423">
        <f ca="1">OFFSET('Introducción de datos'!$G$129,13,RIGHT('Introducción de datos'!$C$16,LEN('Introducción de datos'!$C$16)-1),1,1)</f>
        <v>0</v>
      </c>
      <c r="F26" s="423">
        <f ca="1">OFFSET('Introducción de datos'!$G$129,14,RIGHT('Introducción de datos'!$C$16,LEN('Introducción de datos'!$C$16)-1),1,1)</f>
        <v>0</v>
      </c>
      <c r="G26" s="683">
        <v>1</v>
      </c>
      <c r="H26" s="684"/>
      <c r="I26" s="684"/>
      <c r="J26" s="684"/>
      <c r="K26" s="685"/>
      <c r="L26" s="686" t="s">
        <v>374</v>
      </c>
      <c r="M26" s="686"/>
      <c r="N26" s="686"/>
      <c r="O26" s="686"/>
      <c r="P26" s="686"/>
      <c r="Q26" s="681"/>
      <c r="R26" s="433"/>
      <c r="S26" s="431"/>
      <c r="T26" s="308" t="e">
        <f t="shared" si="0"/>
        <v>#N/A</v>
      </c>
      <c r="U26" s="308" t="e">
        <f t="shared" si="0"/>
        <v>#N/A</v>
      </c>
      <c r="V26" s="308" t="e">
        <f t="shared" si="0"/>
        <v>#N/A</v>
      </c>
      <c r="W26" s="308" t="e">
        <f t="shared" si="0"/>
        <v>#N/A</v>
      </c>
      <c r="X26" s="308" t="e">
        <f>IF($K24&gt;X$19,IF($K24&lt;=X$20,1,NA()),NA())</f>
        <v>#N/A</v>
      </c>
      <c r="Y26" s="263"/>
      <c r="Z26" s="263"/>
      <c r="AA26" s="263"/>
      <c r="AB26" s="263"/>
      <c r="AC26" s="263"/>
      <c r="AD26" s="263"/>
      <c r="AE26" s="263"/>
      <c r="AF26" s="263"/>
      <c r="AG26" s="263"/>
      <c r="AH26" s="263"/>
      <c r="AI26" s="263"/>
    </row>
    <row r="27" spans="1:35" ht="15">
      <c r="A27" s="6"/>
      <c r="B27" s="6"/>
      <c r="C27" s="6"/>
      <c r="D27" s="6"/>
      <c r="E27" s="6"/>
      <c r="F27" s="6"/>
      <c r="G27" s="6"/>
      <c r="H27" s="6"/>
      <c r="I27" s="314"/>
      <c r="J27" s="90"/>
      <c r="K27" s="90"/>
      <c r="L27" s="6"/>
      <c r="M27" s="6"/>
      <c r="N27" s="6"/>
      <c r="O27" s="6"/>
      <c r="P27" s="6"/>
      <c r="S27" s="263"/>
      <c r="T27" s="263"/>
      <c r="U27" s="263"/>
      <c r="V27" s="263"/>
      <c r="W27" s="263"/>
      <c r="X27" s="263"/>
      <c r="Y27" s="263"/>
      <c r="Z27" s="263"/>
      <c r="AA27" s="263"/>
      <c r="AB27" s="263"/>
      <c r="AC27" s="263"/>
      <c r="AD27" s="263"/>
      <c r="AE27" s="263"/>
      <c r="AF27" s="263"/>
      <c r="AG27" s="263"/>
      <c r="AH27" s="263"/>
      <c r="AI27" s="263"/>
    </row>
    <row r="28" spans="1:35" ht="14.25" customHeight="1">
      <c r="A28" s="6"/>
      <c r="B28" s="6"/>
      <c r="C28" s="6"/>
      <c r="D28" s="6"/>
      <c r="E28" s="6"/>
      <c r="F28" s="6"/>
      <c r="G28" s="674" t="s">
        <v>393</v>
      </c>
      <c r="H28" s="674"/>
      <c r="I28" s="674"/>
      <c r="J28" s="674"/>
      <c r="K28" s="674"/>
      <c r="L28" s="674"/>
      <c r="M28" s="674"/>
      <c r="N28" s="674"/>
      <c r="O28" s="674"/>
      <c r="P28" s="674"/>
      <c r="Q28" s="674"/>
      <c r="S28" s="263"/>
      <c r="T28" s="263"/>
      <c r="U28" s="263"/>
      <c r="V28" s="263"/>
      <c r="W28" s="263"/>
      <c r="X28" s="263"/>
      <c r="Y28" s="263"/>
      <c r="Z28" s="263"/>
      <c r="AA28" s="263"/>
      <c r="AB28" s="263"/>
      <c r="AC28" s="263"/>
      <c r="AD28" s="263"/>
      <c r="AE28" s="263"/>
      <c r="AF28" s="263"/>
      <c r="AG28" s="263"/>
      <c r="AH28" s="263"/>
      <c r="AI28" s="263"/>
    </row>
  </sheetData>
  <sheetProtection selectLockedCells="1" selectUnlockedCells="1"/>
  <mergeCells count="43">
    <mergeCell ref="R20:R22"/>
    <mergeCell ref="R23:R25"/>
    <mergeCell ref="C4:D4"/>
    <mergeCell ref="E4:L4"/>
    <mergeCell ref="D5:N5"/>
    <mergeCell ref="F6:K6"/>
    <mergeCell ref="C9:E9"/>
    <mergeCell ref="G9:K9"/>
    <mergeCell ref="M9:Q9"/>
    <mergeCell ref="L19:Q19"/>
    <mergeCell ref="B2:Q2"/>
    <mergeCell ref="C3:D3"/>
    <mergeCell ref="E3:K3"/>
    <mergeCell ref="O3:P3"/>
    <mergeCell ref="B8:E8"/>
    <mergeCell ref="F8:K8"/>
    <mergeCell ref="L8:Q8"/>
    <mergeCell ref="B20:D20"/>
    <mergeCell ref="G20:K20"/>
    <mergeCell ref="L20:Q20"/>
    <mergeCell ref="E18:K18"/>
    <mergeCell ref="B19:D19"/>
    <mergeCell ref="G19:H19"/>
    <mergeCell ref="I19:J19"/>
    <mergeCell ref="B21:D21"/>
    <mergeCell ref="G21:K21"/>
    <mergeCell ref="L21:Q21"/>
    <mergeCell ref="B22:D22"/>
    <mergeCell ref="G22:K22"/>
    <mergeCell ref="L22:Q22"/>
    <mergeCell ref="B23:D23"/>
    <mergeCell ref="G23:K23"/>
    <mergeCell ref="L23:Q23"/>
    <mergeCell ref="B24:D24"/>
    <mergeCell ref="G24:K24"/>
    <mergeCell ref="L24:Q24"/>
    <mergeCell ref="G28:Q28"/>
    <mergeCell ref="B25:D25"/>
    <mergeCell ref="G25:K25"/>
    <mergeCell ref="L25:Q25"/>
    <mergeCell ref="B26:D26"/>
    <mergeCell ref="G26:K26"/>
    <mergeCell ref="L26:Q26"/>
  </mergeCells>
  <conditionalFormatting sqref="C4:D4">
    <cfRule type="cellIs" priority="31" dxfId="41" operator="equal" stopIfTrue="1">
      <formula>"C"</formula>
    </cfRule>
    <cfRule type="cellIs" priority="32" dxfId="42" operator="equal" stopIfTrue="1">
      <formula>"B2"</formula>
    </cfRule>
    <cfRule type="cellIs" priority="33" dxfId="43" operator="equal" stopIfTrue="1">
      <formula>"B1"</formula>
    </cfRule>
  </conditionalFormatting>
  <conditionalFormatting sqref="G20:G26">
    <cfRule type="cellIs" priority="34" dxfId="57" operator="between" stopIfTrue="1">
      <formula>0</formula>
      <formula>0.599</formula>
    </cfRule>
    <cfRule type="cellIs" priority="35" dxfId="56" operator="between" stopIfTrue="1">
      <formula>0.6</formula>
      <formula>0.899</formula>
    </cfRule>
    <cfRule type="cellIs" priority="36" dxfId="55"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r:id="rId2"/>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A14">
      <selection activeCell="D36" sqref="D36:G36"/>
    </sheetView>
  </sheetViews>
  <sheetFormatPr defaultColWidth="9.140625" defaultRowHeight="15"/>
  <cols>
    <col min="1" max="1" width="1.1484375" style="315" customWidth="1"/>
    <col min="2" max="2" width="19.28125" style="315" customWidth="1"/>
    <col min="3" max="3" width="1.1484375" style="315" customWidth="1"/>
    <col min="4" max="4" width="17.140625" style="315" customWidth="1"/>
    <col min="5" max="5" width="17.57421875" style="315" customWidth="1"/>
    <col min="6" max="6" width="9.7109375" style="315" customWidth="1"/>
    <col min="7" max="7" width="13.00390625" style="315" customWidth="1"/>
    <col min="8" max="8" width="4.28125" style="315" customWidth="1"/>
    <col min="9" max="9" width="15.8515625" style="315" customWidth="1"/>
    <col min="10" max="10" width="3.57421875" style="315" customWidth="1"/>
    <col min="11" max="11" width="7.57421875" style="316" customWidth="1"/>
    <col min="12" max="12" width="22.00390625" style="315" customWidth="1"/>
    <col min="13" max="13" width="12.00390625" style="315" customWidth="1"/>
    <col min="14" max="14" width="5.421875" style="315" customWidth="1"/>
    <col min="15" max="15" width="2.57421875" style="315" customWidth="1"/>
    <col min="16" max="16384" width="9.140625" style="315" customWidth="1"/>
  </cols>
  <sheetData>
    <row r="1" spans="1:14" ht="38.25" customHeight="1">
      <c r="A1" s="317"/>
      <c r="B1" s="317"/>
      <c r="C1" s="317"/>
      <c r="D1" s="317"/>
      <c r="E1" s="317"/>
      <c r="F1" s="317"/>
      <c r="G1" s="317"/>
      <c r="H1" s="317"/>
      <c r="I1" s="317"/>
      <c r="J1" s="317"/>
      <c r="K1" s="318"/>
      <c r="L1" s="317"/>
      <c r="M1" s="317"/>
      <c r="N1" s="317"/>
    </row>
    <row r="2" spans="1:256" ht="27.75" customHeight="1">
      <c r="A2" s="6"/>
      <c r="B2" s="699" t="str">
        <f>+"Cuadro de mando:  "&amp;"  "&amp;+'Introducción de datos'!C4&amp;" - "&amp;'Introducción de datos'!G6</f>
        <v>Cuadro de mando:    El Salvador - VIH / SIDA</v>
      </c>
      <c r="C2" s="699"/>
      <c r="D2" s="699"/>
      <c r="E2" s="699"/>
      <c r="F2" s="699"/>
      <c r="G2" s="699"/>
      <c r="H2" s="699"/>
      <c r="I2" s="699"/>
      <c r="J2" s="699"/>
      <c r="K2" s="699"/>
      <c r="L2" s="699"/>
      <c r="M2" s="699"/>
      <c r="N2" s="699"/>
      <c r="O2" s="31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49" t="str">
        <f>+'Introducción de datos'!G8</f>
        <v>Seleccionar</v>
      </c>
      <c r="C3" s="639" t="str">
        <f>+'Introducción de datos'!I8</f>
        <v>Seleccionar</v>
      </c>
      <c r="D3" s="639"/>
      <c r="E3" s="735"/>
      <c r="F3" s="735"/>
      <c r="G3" s="735"/>
      <c r="H3" s="735"/>
      <c r="I3" s="735"/>
      <c r="J3" s="735"/>
      <c r="K3" s="735"/>
      <c r="L3" s="249" t="str">
        <f>+'Introducción de datos'!B16</f>
        <v>Periodo:</v>
      </c>
      <c r="M3" s="296" t="str">
        <f>+'Introducción de datos'!C16</f>
        <v>P4</v>
      </c>
      <c r="N3" s="296"/>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49" t="str">
        <f>+'Introducción de datos'!B12</f>
        <v>Ultima calificación:</v>
      </c>
      <c r="C4" s="704" t="str">
        <f>+'Introducción de datos'!C12</f>
        <v>A1</v>
      </c>
      <c r="D4" s="704"/>
      <c r="E4" s="636" t="str">
        <f>+'Introducción de datos'!C8</f>
        <v>PLAN  INTERNACIONAL</v>
      </c>
      <c r="F4" s="636"/>
      <c r="G4" s="636"/>
      <c r="H4" s="636"/>
      <c r="I4" s="636"/>
      <c r="J4" s="636"/>
      <c r="K4" s="636"/>
      <c r="L4" s="249" t="str">
        <f>+'Introducción de datos'!D16</f>
        <v>Desde:</v>
      </c>
      <c r="M4" s="253">
        <f>+'Introducción de datos'!E16</f>
        <v>42186</v>
      </c>
      <c r="N4" s="25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49"/>
      <c r="C5" s="249"/>
      <c r="D5" s="255"/>
      <c r="E5" s="636" t="str">
        <f>+'Introducción de datos'!G4</f>
        <v>INNOVANDO SERVICIOS, REDUCIENDO RIESGOS, RENOVANDO VIDAS EN EL SALVADOR</v>
      </c>
      <c r="F5" s="636"/>
      <c r="G5" s="636"/>
      <c r="H5" s="636"/>
      <c r="I5" s="636"/>
      <c r="J5" s="636"/>
      <c r="K5" s="636"/>
      <c r="L5" s="249" t="str">
        <f>+'Introducción de datos'!F16</f>
        <v>Hasta:</v>
      </c>
      <c r="M5" s="253">
        <f>+'Introducción de datos'!G16</f>
        <v>42369</v>
      </c>
      <c r="N5" s="25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56"/>
      <c r="C6" s="250"/>
      <c r="D6" s="255"/>
      <c r="E6" s="731" t="s">
        <v>314</v>
      </c>
      <c r="F6" s="731"/>
      <c r="G6" s="731"/>
      <c r="H6" s="731"/>
      <c r="I6" s="731"/>
      <c r="J6" s="731"/>
      <c r="K6" s="731"/>
      <c r="L6" s="141"/>
      <c r="M6" s="141"/>
      <c r="N6" s="141"/>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24" customFormat="1" ht="4.5" customHeight="1">
      <c r="A7" s="320"/>
      <c r="B7" s="321"/>
      <c r="C7" s="321"/>
      <c r="D7" s="321"/>
      <c r="E7" s="321"/>
      <c r="F7" s="321"/>
      <c r="G7" s="321"/>
      <c r="H7" s="321"/>
      <c r="I7" s="321"/>
      <c r="J7" s="321"/>
      <c r="K7" s="321"/>
      <c r="L7" s="322"/>
      <c r="M7" s="322"/>
      <c r="N7" s="323"/>
    </row>
    <row r="8" spans="1:14" s="324" customFormat="1" ht="21" customHeight="1">
      <c r="A8" s="320"/>
      <c r="B8" s="714" t="s">
        <v>0</v>
      </c>
      <c r="C8" s="714"/>
      <c r="D8" s="714"/>
      <c r="E8" s="714"/>
      <c r="F8" s="714"/>
      <c r="G8" s="714"/>
      <c r="H8" s="714"/>
      <c r="I8" s="714"/>
      <c r="J8" s="714"/>
      <c r="K8" s="714"/>
      <c r="L8" s="714"/>
      <c r="M8" s="714"/>
      <c r="N8" s="714"/>
    </row>
    <row r="9" spans="1:14" s="324" customFormat="1" ht="3.75" customHeight="1">
      <c r="A9" s="320"/>
      <c r="B9" s="321"/>
      <c r="C9" s="321"/>
      <c r="D9" s="321"/>
      <c r="E9" s="321"/>
      <c r="F9" s="321"/>
      <c r="G9" s="321"/>
      <c r="H9" s="321"/>
      <c r="I9" s="321"/>
      <c r="J9" s="321"/>
      <c r="K9" s="321"/>
      <c r="L9" s="322"/>
      <c r="M9" s="322"/>
      <c r="N9" s="323"/>
    </row>
    <row r="10" spans="1:14" s="327" customFormat="1" ht="25.5" customHeight="1">
      <c r="A10" s="325"/>
      <c r="B10" s="732" t="s">
        <v>1</v>
      </c>
      <c r="C10" s="732"/>
      <c r="D10" s="733" t="s">
        <v>313</v>
      </c>
      <c r="E10" s="733"/>
      <c r="F10" s="733"/>
      <c r="G10" s="733"/>
      <c r="H10" s="326"/>
      <c r="I10" s="733" t="s">
        <v>314</v>
      </c>
      <c r="J10" s="733"/>
      <c r="K10" s="733"/>
      <c r="L10" s="733"/>
      <c r="M10" s="733"/>
      <c r="N10" s="733"/>
    </row>
    <row r="11" spans="1:14" s="327" customFormat="1" ht="28.5" customHeight="1">
      <c r="A11" s="325"/>
      <c r="B11" s="328" t="s">
        <v>2</v>
      </c>
      <c r="C11" s="329"/>
      <c r="D11" s="728" t="str">
        <f>IF(ISBLANK(Financiamiento!C9),"",(Financiamiento!C9))</f>
        <v>La diferencia entre el presupuesto aprobado y desembolsos recibidos, debido a que el FM efectuo el ajuste al efectivo tomando en consideraciòn la ejecucion presupuestaria y los compromisos al 31 de octubre/2015, desembolsando el colchòn financiero que corrresponde al primer trimestre el año 2016.</v>
      </c>
      <c r="E11" s="728"/>
      <c r="F11" s="728"/>
      <c r="G11" s="728"/>
      <c r="H11" s="330"/>
      <c r="I11" s="729"/>
      <c r="J11" s="729"/>
      <c r="K11" s="729"/>
      <c r="L11" s="729"/>
      <c r="M11" s="729"/>
      <c r="N11" s="729"/>
    </row>
    <row r="12" spans="1:14" s="327" customFormat="1" ht="27.75" customHeight="1">
      <c r="A12" s="325"/>
      <c r="B12" s="331" t="s">
        <v>3</v>
      </c>
      <c r="C12" s="332"/>
      <c r="D12" s="728" t="str">
        <f>IF(ISBLANK(Financiamiento!C24),"",(Financiamiento!C24))</f>
        <v>La diferencia entre el presupuesto y los gastos acumulados se debe principalmente a que al cierre del año 2015 se presentaron  compromisos en compras, sobre las cuales se solicitara una recalendarizacion. 
Al cierre 2015 se presentaron todas las ordenes de compras de los insumos de salud correspondientes a ese periodo.</v>
      </c>
      <c r="E12" s="728"/>
      <c r="F12" s="728"/>
      <c r="G12" s="728"/>
      <c r="H12" s="330"/>
      <c r="I12" s="730"/>
      <c r="J12" s="730"/>
      <c r="K12" s="730"/>
      <c r="L12" s="730"/>
      <c r="M12" s="730"/>
      <c r="N12" s="730"/>
    </row>
    <row r="13" spans="1:14" s="327" customFormat="1" ht="26.25" customHeight="1">
      <c r="A13" s="325"/>
      <c r="B13" s="331" t="s">
        <v>4</v>
      </c>
      <c r="C13" s="332"/>
      <c r="D13" s="728" t="str">
        <f>IF(ISBLANK(Financiamiento!I9),"",(Financiamiento!I9))</f>
        <v>La variación entre los desembolsos efectuados por el Fondo Mundial y los gastos del RP+ desembolsos a SR, se debe principalmente a compras en proceso que el RP no logro realizar en el P4. 
La variacion entre los desembolsos a SR y los gastos ejecutados por ellos, se debe principalmente a la recalendarización de actividades asi como, a la contratación tardia de recursos humanos en algunos SR,  que no permitieron la ejecucion total del desembolso asignado.</v>
      </c>
      <c r="E13" s="728"/>
      <c r="F13" s="728"/>
      <c r="G13" s="728"/>
      <c r="H13" s="330"/>
      <c r="I13" s="734"/>
      <c r="J13" s="734"/>
      <c r="K13" s="734"/>
      <c r="L13" s="734"/>
      <c r="M13" s="734"/>
      <c r="N13" s="734"/>
    </row>
    <row r="14" spans="1:14" s="327" customFormat="1" ht="28.5" customHeight="1">
      <c r="A14" s="325"/>
      <c r="B14" s="333" t="s">
        <v>5</v>
      </c>
      <c r="C14" s="334"/>
      <c r="D14" s="726" t="str">
        <f>IF(ISBLANK(Financiamiento!I24),"",(Financiamiento!I24))</f>
        <v>A solicitud del Fondo Mundial, se presentara informe PUDR el 15 de Marzo del 2016 (nueva fecha limite), sin embargo se presentara dicho informe para la fecha establecida.</v>
      </c>
      <c r="E14" s="726"/>
      <c r="F14" s="726"/>
      <c r="G14" s="726"/>
      <c r="H14" s="330"/>
      <c r="I14" s="727"/>
      <c r="J14" s="727"/>
      <c r="K14" s="727"/>
      <c r="L14" s="727"/>
      <c r="M14" s="727"/>
      <c r="N14" s="727"/>
    </row>
    <row r="15" spans="1:15" s="327" customFormat="1" ht="4.5" customHeight="1">
      <c r="A15" s="325"/>
      <c r="B15" s="335"/>
      <c r="C15" s="336"/>
      <c r="D15" s="337"/>
      <c r="E15" s="337"/>
      <c r="F15" s="337"/>
      <c r="G15" s="337"/>
      <c r="H15" s="330"/>
      <c r="I15" s="338"/>
      <c r="J15" s="338"/>
      <c r="K15" s="338"/>
      <c r="L15" s="338"/>
      <c r="M15" s="338"/>
      <c r="N15" s="338"/>
      <c r="O15" s="339"/>
    </row>
    <row r="16" spans="1:14" s="324" customFormat="1" ht="21" customHeight="1">
      <c r="A16" s="320"/>
      <c r="B16" s="714" t="s">
        <v>6</v>
      </c>
      <c r="C16" s="714"/>
      <c r="D16" s="714"/>
      <c r="E16" s="714"/>
      <c r="F16" s="714"/>
      <c r="G16" s="714"/>
      <c r="H16" s="714"/>
      <c r="I16" s="714"/>
      <c r="J16" s="714"/>
      <c r="K16" s="714"/>
      <c r="L16" s="714"/>
      <c r="M16" s="714"/>
      <c r="N16" s="714"/>
    </row>
    <row r="17" spans="1:14" s="327" customFormat="1" ht="3.75" customHeight="1">
      <c r="A17" s="325"/>
      <c r="B17" s="340"/>
      <c r="C17" s="341"/>
      <c r="D17" s="342"/>
      <c r="E17" s="343"/>
      <c r="F17" s="344"/>
      <c r="G17" s="344"/>
      <c r="H17" s="345"/>
      <c r="I17" s="346"/>
      <c r="J17" s="347"/>
      <c r="K17" s="348"/>
      <c r="L17" s="349"/>
      <c r="M17" s="350"/>
      <c r="N17" s="351"/>
    </row>
    <row r="18" spans="1:14" s="327" customFormat="1" ht="22.5" customHeight="1">
      <c r="A18" s="325"/>
      <c r="B18" s="723" t="s">
        <v>312</v>
      </c>
      <c r="C18" s="723"/>
      <c r="D18" s="724" t="s">
        <v>313</v>
      </c>
      <c r="E18" s="724"/>
      <c r="F18" s="724"/>
      <c r="G18" s="724"/>
      <c r="H18" s="326"/>
      <c r="I18" s="725" t="s">
        <v>314</v>
      </c>
      <c r="J18" s="725"/>
      <c r="K18" s="725"/>
      <c r="L18" s="725"/>
      <c r="M18" s="725"/>
      <c r="N18" s="725"/>
    </row>
    <row r="19" spans="1:14" s="327" customFormat="1" ht="21.75" customHeight="1">
      <c r="A19" s="325"/>
      <c r="B19" s="352" t="s">
        <v>315</v>
      </c>
      <c r="C19" s="353"/>
      <c r="D19" s="721" t="str">
        <f>IF(ISBLANK(Gestión!C8),"",(Gestión!C8))</f>
        <v>No existieron condiciones precedentes</v>
      </c>
      <c r="E19" s="721"/>
      <c r="F19" s="721"/>
      <c r="G19" s="721"/>
      <c r="H19" s="354"/>
      <c r="I19" s="722"/>
      <c r="J19" s="722"/>
      <c r="K19" s="722"/>
      <c r="L19" s="722"/>
      <c r="M19" s="722"/>
      <c r="N19" s="722"/>
    </row>
    <row r="20" spans="1:15" ht="24.75" customHeight="1">
      <c r="A20" s="317"/>
      <c r="B20" s="355" t="s">
        <v>316</v>
      </c>
      <c r="C20" s="356"/>
      <c r="D20" s="717" t="str">
        <f>IF(ISBLANK(Gestión!I8),"",(Gestión!I8))</f>
        <v>Los recursos estan contratados desde el primer semestre</v>
      </c>
      <c r="E20" s="717" t="e">
        <f>+'Introducción de datos'!D76/'Introducción de datos'!G76</f>
        <v>#DIV/0!</v>
      </c>
      <c r="F20" s="717" t="e">
        <f>+('Introducción de datos'!E76+'Introducción de datos'!F76)/'Introducción de datos'!G76</f>
        <v>#DIV/0!</v>
      </c>
      <c r="G20" s="717"/>
      <c r="H20" s="354"/>
      <c r="I20" s="718"/>
      <c r="J20" s="718"/>
      <c r="K20" s="718"/>
      <c r="L20" s="718"/>
      <c r="M20" s="718"/>
      <c r="N20" s="718"/>
      <c r="O20" s="357"/>
    </row>
    <row r="21" spans="1:15" ht="29.25" customHeight="1">
      <c r="A21" s="317"/>
      <c r="B21" s="358" t="s">
        <v>7</v>
      </c>
      <c r="C21" s="356"/>
      <c r="D21" s="717" t="str">
        <f>IF(ISBLANK(Gestión!C16),"",(Gestión!C16))</f>
        <v>10 subreceptores contratados , 6 contratos fueron firmados en el primer semestre y el resto corresponden al segundo semestre.</v>
      </c>
      <c r="E21" s="717"/>
      <c r="F21" s="717"/>
      <c r="G21" s="717"/>
      <c r="H21" s="354"/>
      <c r="I21" s="718"/>
      <c r="J21" s="718"/>
      <c r="K21" s="718"/>
      <c r="L21" s="718"/>
      <c r="M21" s="718"/>
      <c r="N21" s="718"/>
      <c r="O21" s="357"/>
    </row>
    <row r="22" spans="1:15" ht="26.25" customHeight="1">
      <c r="A22" s="317"/>
      <c r="B22" s="358" t="s">
        <v>8</v>
      </c>
      <c r="C22" s="356"/>
      <c r="D22" s="717" t="str">
        <f>IF(ISBLANK(Gestión!I16),"",(Gestión!I16))</f>
        <v>Los 10 SR presentaron sus informes de ejecucion técnica y financiera, correspondiente al segundo semestre.</v>
      </c>
      <c r="E22" s="717"/>
      <c r="F22" s="717"/>
      <c r="G22" s="717"/>
      <c r="H22" s="354"/>
      <c r="I22" s="718"/>
      <c r="J22" s="718"/>
      <c r="K22" s="718"/>
      <c r="L22" s="718"/>
      <c r="M22" s="718"/>
      <c r="N22" s="718"/>
      <c r="O22" s="357"/>
    </row>
    <row r="23" spans="1:15" ht="24.75" customHeight="1">
      <c r="A23" s="317"/>
      <c r="B23" s="358" t="s">
        <v>9</v>
      </c>
      <c r="C23" s="356"/>
      <c r="D23" s="717" t="str">
        <f>IF(ISBLANK(Gestión!C27),"",(Gestión!C27))</f>
        <v>La adquisicion de producto de salud a partir del 2015 ha siido realizada por Plan como RP.</v>
      </c>
      <c r="E23" s="717"/>
      <c r="F23" s="717"/>
      <c r="G23" s="717"/>
      <c r="H23" s="354"/>
      <c r="I23" s="718"/>
      <c r="J23" s="718"/>
      <c r="K23" s="718"/>
      <c r="L23" s="718"/>
      <c r="M23" s="718"/>
      <c r="N23" s="718"/>
      <c r="O23" s="357"/>
    </row>
    <row r="24" spans="1:15" ht="27" customHeight="1">
      <c r="A24" s="317"/>
      <c r="B24" s="359" t="s">
        <v>10</v>
      </c>
      <c r="C24" s="360"/>
      <c r="D24" s="719" t="str">
        <f>IF(ISBLANK(Gestión!I27),"",(Gestión!I27))</f>
        <v>Al cierre del periodo los producots que presentaban riesgo eran las Mantas de latex y lubricantes de Tubo, a la fecha estos ya fueron superado ya que ingrresaron nuevas compras en Enero 2016.</v>
      </c>
      <c r="E24" s="719"/>
      <c r="F24" s="719"/>
      <c r="G24" s="719"/>
      <c r="H24" s="354"/>
      <c r="I24" s="720"/>
      <c r="J24" s="720"/>
      <c r="K24" s="720"/>
      <c r="L24" s="720"/>
      <c r="M24" s="720"/>
      <c r="N24" s="720"/>
      <c r="O24" s="357"/>
    </row>
    <row r="25" spans="1:15" ht="4.5" customHeight="1">
      <c r="A25" s="320"/>
      <c r="B25" s="361"/>
      <c r="C25" s="362"/>
      <c r="D25" s="363"/>
      <c r="E25" s="364"/>
      <c r="F25" s="365"/>
      <c r="G25" s="365"/>
      <c r="H25" s="326"/>
      <c r="I25" s="364"/>
      <c r="J25" s="366"/>
      <c r="K25" s="348"/>
      <c r="L25" s="349"/>
      <c r="M25" s="350"/>
      <c r="N25" s="351"/>
      <c r="O25" s="357"/>
    </row>
    <row r="26" spans="1:14" s="324" customFormat="1" ht="21" customHeight="1">
      <c r="A26" s="320"/>
      <c r="B26" s="714" t="s">
        <v>11</v>
      </c>
      <c r="C26" s="714"/>
      <c r="D26" s="714"/>
      <c r="E26" s="714"/>
      <c r="F26" s="714"/>
      <c r="G26" s="714"/>
      <c r="H26" s="714"/>
      <c r="I26" s="714"/>
      <c r="J26" s="714"/>
      <c r="K26" s="714"/>
      <c r="L26" s="714"/>
      <c r="M26" s="714"/>
      <c r="N26" s="714"/>
    </row>
    <row r="27" spans="1:15" ht="3.75" customHeight="1">
      <c r="A27" s="320"/>
      <c r="B27" s="361"/>
      <c r="C27" s="362"/>
      <c r="D27" s="363"/>
      <c r="E27" s="364"/>
      <c r="F27" s="365"/>
      <c r="G27" s="365"/>
      <c r="H27" s="326"/>
      <c r="I27" s="364"/>
      <c r="J27" s="366"/>
      <c r="K27" s="348"/>
      <c r="L27" s="349"/>
      <c r="M27" s="350"/>
      <c r="N27" s="351"/>
      <c r="O27" s="357"/>
    </row>
    <row r="28" spans="1:15" ht="21.75" customHeight="1">
      <c r="A28" s="317"/>
      <c r="B28" s="715" t="s">
        <v>12</v>
      </c>
      <c r="C28" s="715"/>
      <c r="D28" s="716" t="s">
        <v>313</v>
      </c>
      <c r="E28" s="716"/>
      <c r="F28" s="716"/>
      <c r="G28" s="716"/>
      <c r="H28" s="326"/>
      <c r="I28" s="716" t="s">
        <v>314</v>
      </c>
      <c r="J28" s="716"/>
      <c r="K28" s="716"/>
      <c r="L28" s="716"/>
      <c r="M28" s="716"/>
      <c r="N28" s="716"/>
      <c r="O28" s="357"/>
    </row>
    <row r="29" spans="1:15" ht="29.25" customHeight="1">
      <c r="A29" s="317"/>
      <c r="B29" s="367" t="s">
        <v>13</v>
      </c>
      <c r="C29" s="368"/>
      <c r="D29" s="712" t="str">
        <f>IF(ISBLANK(Programatico!C9),"",(Programatico!C9))</f>
        <v>El porcentaje reportado indica el acumulado del año 2 y corresponde a las personas HSH que han participado en los componentes del paquete básico, de acuerdo con  el desarrollo de la metodologia de prevencion combinada.</v>
      </c>
      <c r="E29" s="712"/>
      <c r="F29" s="712"/>
      <c r="G29" s="712"/>
      <c r="H29" s="354"/>
      <c r="I29" s="713"/>
      <c r="J29" s="713"/>
      <c r="K29" s="713"/>
      <c r="L29" s="713"/>
      <c r="M29" s="713"/>
      <c r="N29" s="713"/>
      <c r="O29" s="357"/>
    </row>
    <row r="30" spans="1:15" ht="21.75" customHeight="1">
      <c r="A30" s="317"/>
      <c r="B30" s="369" t="s">
        <v>14</v>
      </c>
      <c r="C30" s="370"/>
      <c r="D30" s="711" t="str">
        <f>IF(ISBLANK(Programatico!G9),"",(Programatico!G9))</f>
        <v>El porcentaje reportado indica el acumulado del año 2 y corresponde a las personas TS que han participado en los componentes del paquete básico, de acuerdo con  el desarrollo de la metodologia de prevencion combinada. </v>
      </c>
      <c r="E30" s="711"/>
      <c r="F30" s="711"/>
      <c r="G30" s="711"/>
      <c r="H30" s="354"/>
      <c r="I30" s="710"/>
      <c r="J30" s="710"/>
      <c r="K30" s="710"/>
      <c r="L30" s="710"/>
      <c r="M30" s="710"/>
      <c r="N30" s="710"/>
      <c r="O30" s="357"/>
    </row>
    <row r="31" spans="1:15" ht="21.75" customHeight="1">
      <c r="A31" s="317"/>
      <c r="B31" s="369" t="s">
        <v>15</v>
      </c>
      <c r="C31" s="370"/>
      <c r="D31" s="711" t="str">
        <f>IF(ISBLANK(Programatico!M9),"",(Programatico!M9))</f>
        <v>El porcentaje reportado indica el acumulado del año 2 y corresponde a las personas TRANS que han participado en los componentes del paquete básico, de acuerdo con  el desarrollo de la metodologia de prevencion combinada.</v>
      </c>
      <c r="E31" s="711"/>
      <c r="F31" s="711"/>
      <c r="G31" s="711"/>
      <c r="H31" s="354"/>
      <c r="I31" s="710"/>
      <c r="J31" s="710"/>
      <c r="K31" s="710"/>
      <c r="L31" s="710"/>
      <c r="M31" s="710"/>
      <c r="N31" s="710"/>
      <c r="O31" s="357"/>
    </row>
    <row r="32" spans="1:15" ht="21.75" customHeight="1">
      <c r="A32" s="317"/>
      <c r="B32" s="371" t="s">
        <v>16</v>
      </c>
      <c r="C32" s="370"/>
      <c r="D32" s="708" t="str">
        <f>IF(ISBLANK(Programatico!L20),"",(Programatico!L20))</f>
        <v>. El progreso alcanzado durante el  segundo semestre del año 2015 permitió lograr las metas programáticas previstas   de acuerdo a los planes de trabajo  implementados por los socios de prevencion , los cuales incluyeron   el cierre de  ciclos de las personas con CUIs que se registraron en el sistema SIGPRO durante el segundo semestre del año 1 . Las actividades desarrolladas como parte de los planes operativos anuales  se enfocaron en: 
1- Actividades de cambio de comportamiento
2- La entrega de insumos exclusivamente en actividades educativas    y  en la cantidad requerida.
3- Referencias a pruebas de VIH
- Ademas dentro de estas acciones se realizaron  actividades de autocuido y  talleres especificos donde  se oferto prueba rápida oral  de VIH con pre y post consejería (En coordinación con las clínicas VICITS), promoviendo actividades que permitieron la concentración de la población HSH y así lograr un número mayor de intervenciones. 
- Para este semestre  se dio seguimiento  con las actividades  de focalizaciòn en acciones dentro de  zonas geográficas  de concentracion de  población  HSH que fueron identificadas por los diferentes SR´s, desde el periodoo anterior  lo que permitio  alcanzar de manera efectiva el cumplimeinto de la meta esto como resultado de las buenas practivas  y la experiencia que se obtuvo en el semestre pasado con muy bueno resultados. La  coordinación efectiva  del RP Plan  con el nivel central ( Gerencia Programa Clinicas VICITS , Sub-comision nacional de Monitoreo y Evaluacion, - -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 La promoción de actividades del componente complementario contribuyo grandemente al cierre de ciclos del paquete basico, al servir de enlace para que la población HSH asistiese a las  actividades. Sumado a ello los diferentes servicios que algunas organizaciones estan brindando dentro de sus organziaciones(Atencion Sicologica, Asistencia legal) lo cual vuelve atractivos los CCPI para la participacion de manera efectiva de los usuarios, por lo que  incremento de manera significativa el número de actividades dentro del componente complementario el cual puede verse reflejado en el indicador de referencia.
Tambien en este periodo se desarrolllaron otras actividades de cambio de comportamiento con los usuarios alcanzados en el año 1 y 2, los cuales fueron registrados como seguimiento. La meta de seguimientos para el  periodo 4 que comprendia de Julio a Diciembre del 2015 se tenia una meta paquetes basicos ( Nuevos+Seguimientos) de 6,254 logrando 6,892 lo que representa el 110% de alcance para este periodo de usuarios de la poblacion HSH que fueron beneficiados con las acciones dentro de la estrategia de prevencion combinada. </v>
      </c>
      <c r="E32" s="708"/>
      <c r="F32" s="708"/>
      <c r="G32" s="708"/>
      <c r="H32" s="354"/>
      <c r="I32" s="710"/>
      <c r="J32" s="710"/>
      <c r="K32" s="710"/>
      <c r="L32" s="710"/>
      <c r="M32" s="710"/>
      <c r="N32" s="710"/>
      <c r="O32" s="357"/>
    </row>
    <row r="33" spans="1:15" ht="27" customHeight="1">
      <c r="A33" s="317"/>
      <c r="B33" s="371" t="s">
        <v>17</v>
      </c>
      <c r="C33" s="370"/>
      <c r="D33" s="708" t="str">
        <f>IF(ISBLANK(Programatico!L21),"",(Programatico!L21))</f>
        <v>El progreso alcanzado durante para el semestre Julio-Diciembre del año 2015 permitió lograr las metas programáticas previstas   de acuerdo a los planes de trabajo  implementados por los socios de prevencion, los cuales incluyeron   el cierre de  ciclos de las usuarias con CUIs que se registraron en el sistema SIGPRO durante el segundo semestre del año 2. Las actividades desarrolladas como parte de los planes operativos anuales   dentro de la estrategia de prevencion combinada fueron: 
1- Actividades de cambio de comportamiento
2- La entrega de insumos como condones, lubricantes a base de agua en las  actividade educativas dentro de la estrategia y en las cantidades requeridas para cada usuaria que participo de las mismas.
3- Referencias a pruebas de VIH hacia los establecimientos de las Clincias VICITS para que puediera servir como puerta de entrada y acceso a los demas servicios que estas ofrecen a las poblacion de mujeres trabajadoras sexuales.
Ademas dentro de estas acciones se realizaron  actividades de autocuido y  talleres especificos donde  se oferto prueba rápida oral  de VIH con pre y post consejería,  promoviendo actividades que permitieron la concentración de la población TSF y así lograr un número mayor de intervenciones. 
Para este semestre las actividades  se fueron dirigidas en las zonas de trabajo sexual  dentro de  zonas geográficas  de concentracion de  población TSF que fueron identificadas por los diferentes SR´s, esto con la finalidad de acercar las atenciones a las usuarias en los centros de trabajo sexual  y de esta forma  pudieran obtener los beneficios del programa y  reicibir los  insumos como condones masculinnos, condones femeninos, lubricantes a base de agua y mantas de latex,  lo que permitio  alcanzar de manera efectiva el cumplimeinto de la meta proyectada.
 Las  coordinaciones e efectivas  del receptor principal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esto como parte de las acciones diarias de los educadores en prevencion cmobinado donde ofertaban no solamente la prueba para VIH, si no tambien la importancia de los demas servicios de prevencion, diagnostico y  tratamiento de otras ITS .
La promoción de actividades del componente complementario contribuyo grandemente al cierre de ciclos del paquete basico, al servir de enlace para que la población TSF asistiese a las  actividades, con  el objetivo de incentivar a las usuarias a acercarse a otros servicios como atenciones sicologicas, asistencia legal, etc. en coordinacion con instituciones prestadoras de estos servicios. Debido a la buena aceptacion que las usuarias mostraron a los servicios complementarios pudo observarse un  incremento de manera significativa el número de actividades dentro del componente complementario.
Tambien en este periodo se desarrolllaron otras actividades de cambio de comportamiento con las usuarias alcanzadas en el año 1   , las cuales fueron registradas como seguimiento. La meta de pauqtes basicos ( Nuevos+seguimientos) fue de 4754 logrando alcanzar a 4017 usuarias representando el 85% que sumaria al compromiso de cumplimiento del año 2015.
</v>
      </c>
      <c r="E33" s="708"/>
      <c r="F33" s="708"/>
      <c r="G33" s="708"/>
      <c r="H33" s="354"/>
      <c r="I33" s="710"/>
      <c r="J33" s="710"/>
      <c r="K33" s="710"/>
      <c r="L33" s="710"/>
      <c r="M33" s="710"/>
      <c r="N33" s="710"/>
      <c r="O33" s="357"/>
    </row>
    <row r="34" spans="1:15" ht="21.75" customHeight="1">
      <c r="A34" s="317"/>
      <c r="B34" s="371" t="s">
        <v>18</v>
      </c>
      <c r="C34" s="370"/>
      <c r="D34" s="708" t="str">
        <f>IF(ISBLANK(Programatico!L22),"",(Programatico!L22))</f>
        <v>El progreso alcanzado durante el segundo  semestre de Julio a Diciembre del año 2015 permitió alcanzar las metas programáticas correspondientes a este período . Esto se debió a la implementación de las actividades previstas dentro de los planes operativos anuales, que fueron elaborados en conjunto con cada organización sub receptora.  Dentro de  estas acciones se realizaron  actividades de:
1- Actividades de cambio de comportamiento.
2-  La entrega de insumos exclusivamente en actividades educativas    y  en la cantidad requerida.
3- Referencia a pruebas de VIH a traves de las Clinicas VICITS. 
4- Ademas dentro de estas acciones se realizaron actividades de autocuido, dias de formacion comunitaria, Barridos de zona.
5- Ferias de la salud para poder promocionar los servicios de la VICITS y atraer a las usuarias para la participacion en el programa, debido a lo complejo que es el acercarse a esta poblacion.
La  coordinación efectiva  del  receptro principal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Tambien en este periodo se desarrolllaron otras actividades de cambio de comportamiento con las usuarias alcanzadas en el año 1, las cuales fueron registradas como seguimiento. La meta de paquetes basicos para este periodos ( Nuevas + Seguimientos) fue de 819 logrando 719 lo que representa el 85% del alcance que sumaria  a la meta para el 2015, teniendo en cuenta que las acciones con esta poblacion han tenido que volverse mas atractivas con el objeto de incentivar la participacion de las usuarias en las actividades educativas para el cambio de comportamiento, asi como promocionarles los servicios de las clinicas VICITS tanto para la toma de prueba para VIH asi como para la prevencion, diagnostico y tratamiento de otras ITS.
El cumplimiento de las metas fue particularmente  ha mostrado una constate dificultad en este periodo  para esta población debido a la violencia concentrada  hacia las mujeres  TRANS y por ende de la migracion de las mismas,  lo que impacta de manera muy particular a la poblacion para este semestre se nos reporto (); por este mismo tema de violencia  muchas mujeres Trans decidieron migrar  de manera ilegal  por miedo a la situacion,  a la impunidad de los asesinatos y otros hechos de violencia en contra de las mujeres TRANS.</v>
      </c>
      <c r="E34" s="708"/>
      <c r="F34" s="708"/>
      <c r="G34" s="708"/>
      <c r="H34" s="354"/>
      <c r="I34" s="710"/>
      <c r="J34" s="710"/>
      <c r="K34" s="710"/>
      <c r="L34" s="710"/>
      <c r="M34" s="710"/>
      <c r="N34" s="710"/>
      <c r="O34" s="357"/>
    </row>
    <row r="35" spans="1:15" ht="21.75" customHeight="1">
      <c r="A35" s="317"/>
      <c r="B35" s="371" t="s">
        <v>19</v>
      </c>
      <c r="C35" s="372"/>
      <c r="D35" s="708" t="str">
        <f>IF(ISBLANK(Programatico!L23),"",(Programatico!L23))</f>
        <v>Para el periodo  4 de ejecucion comprendido de Julio a Diciembre del 2015, tal como en   semestres pasados la promoción de actividades del componente complementario contribuyó grandemente al cierre de los ciclos de prevención al servir de enlace para que la población HSH asistiese a actividades de prevención. Esto a su vez incrementó de manera significativa el número de actividades dentro del componente complementario.
Las proyecciones estimadas para la formulación de las metas de este indicador tomaron como referencia los datos historicos de PASMO con respecto al componente complementario. Estas actividades fueron realizadas por organizaciones o intituciones con las que PASMO realizo alianzas estrategicas para el desarrollo de este componente. En el caso de este proyecto la mayoría de actividades para el componente complementario se da en los CCPI aumentando la oferta de actividades y diversificando sus temas. 
Es importante mencionar que algunas de las organziaciones dentro de sus fortaleces cuentan con profesioanles que brindan  atenciones sicologicas dirigidas a cada usuario que lo requiera, asistencia legal ( Denuncias y acompañamiento de las mismas, asesoria en derechos humano, entre otros).
Asi tambien cada organización sub receptora implemento diferentes estrategias que generaron un aumento en la demanda y la oferta para el paquete complementario. PASMO continuó implementando la metodología llamada  "Lo que hablamos los hombres" que busca generar autoreflexión y demanda a servicios complementarios en la población. Los Sicologos contratados por la Asociacion Entre amigos siguieron atendiendo la demanda de los usuarios en temas como alcohol,drogas y  autoestima. Adicionalmente con el proyecto " Centroamerica Diferente"  que cuenta con el apoyo de un abogado, un sociologo y un trabajador social, quienes  brindan servicios de asesoria legal y proteccion social. Ademas en este semestre la organizacion "Asociacion Entre Amigos" continuo con la  estrategia la focalizacion de actividades dirigidas en areas geográficas de concentracion  HSH, lo cual permitió mayor alcance de la poblacion y facilitó la oferta de paquetes complementarios, como parte de las buenas paracticas aprendidas en  campo que voliveron efectivas las acciones dirigidas a los usuarios beneficiados con el programa. Ademas esta focalizacion permitió establecer coordinaciones con otras organizaciones socias (TRANS) realizando referencias cruzadas( De las organizaciones de población TRANS a las de HSH y viceversa) al momento de  identificar a las poblaciones; estas acciones permitieron aumentar no solamente el numero de referencia a paquetes complementarios, si no tambien el de paquetes basicos.
Debido al alto grado de aceptacion de los servicos complementarios ofertados por los centros,  se ha podido observar una alta demanda de  estos servicios  y el seguimeintoq ue las organziaciones brindan a los usurios como parte del compromiso de las mismas con los usurios.</v>
      </c>
      <c r="E35" s="708"/>
      <c r="F35" s="708"/>
      <c r="G35" s="708"/>
      <c r="H35" s="354"/>
      <c r="I35" s="710"/>
      <c r="J35" s="710"/>
      <c r="K35" s="710"/>
      <c r="L35" s="710"/>
      <c r="M35" s="710"/>
      <c r="N35" s="710"/>
      <c r="O35" s="357"/>
    </row>
    <row r="36" spans="1:15" ht="21.75" customHeight="1">
      <c r="A36" s="317"/>
      <c r="B36" s="371" t="s">
        <v>20</v>
      </c>
      <c r="C36" s="372"/>
      <c r="D36" s="708" t="str">
        <f>IF(ISBLANK(Programatico!L24),"",(Programatico!L24))</f>
        <v>Para el periodo  4 de ejecucion comprendido de Julio a Diciembre del 2015, tal como en   semestres pasados la promoción de actividades del componente complementario contribuyó grandemente al cierre de los ciclos de prevención al servir de enlace para que la población HSH asistiese a actividades de prevención. Esto a su vez incrementó de manera significativa el número de actividades dentro del componente complementario.
 Para la ejecucion del este  proyecto la mayoría de actividades para el componente complementario se da en los CCPI aumentando la oferta de actividades y diversificando sus temas.
 Durante este periodo se han reportado  un porcentaje significativamente  alto de  servicios complementarios, estos servicios  son demandados pero también responden a la oferta que los CCPI han  brindado.
 Estas actividades fueron realizadas en coordinacion con organizaciones o instituciones( PDDH, MINSAL, Fiscalia General de la República) con las que los SR  mantienen alianzas estratégicas para el desarrollo de este componente.
Cada organización sub receptora  implemento diferentes estrategias que generaron un aumento en la demanda y la oferta para el paquete complementario. Por su parte Oquídeas del Mar continuó implementando su plan de alfabetización dirigido a usuarias a traves de la estrategia de  casas abiertas, la cual consistia en actividades dentro de los CCPI con la colaboaracion de las supervisoras quienes brindaron acompañamiento en este proceso. 
Dentro del paquete complementario relacionado a derechos humanos, se brindo acompañamiento y asesoria legal a TSF sin identidad ( Tramitacion de Documento Unico de identidad, Partidas de nacimiento) y en algunos casos asesoria migratoria en el caso de TSF extranjeras.
PASMO continuó implementando  metodología llamada "Entre Nosotras" para generar demanda a servicios complementarios por parte de la población.</v>
      </c>
      <c r="E36" s="708"/>
      <c r="F36" s="708"/>
      <c r="G36" s="708"/>
      <c r="H36" s="354"/>
      <c r="I36" s="710"/>
      <c r="J36" s="710"/>
      <c r="K36" s="710"/>
      <c r="L36" s="710"/>
      <c r="M36" s="710"/>
      <c r="N36" s="710"/>
      <c r="O36" s="357"/>
    </row>
    <row r="37" spans="1:15" ht="21.75" customHeight="1">
      <c r="A37" s="317"/>
      <c r="B37" s="371" t="s">
        <v>21</v>
      </c>
      <c r="C37" s="372"/>
      <c r="D37" s="708" t="str">
        <f>IF(ISBLANK(Programatico!L25),"",(Programatico!L25))</f>
        <v>Para el  periodo 4 comprendido de Julio a Diciembre del 2015  se pudo ver un incremento del cumplimiento de la meta de paquetes compllementario, resultado del  esfuerzo que las roganziacionnes han estado realziando para llegar a aquellas usuarias que demandan un servicio complementarios, a pesar del ambiente de inseguridad que  aun ha manifestacion de las usuarias se vive, por el nivel de violencia e inseguridad del pais, que para el periodo anterior nos impacto de manera significativa para este indicador, pero fue atravez de estrategias coordiandas en conjunto con socios, como las Clinicas VICITS, PDDHH entreo otros se ha llegar al cumplimento que se refleja para este periodo.
  En el caso de este proyecto la mayoría de actividades para el componente complementario se continuan dando  en los CCPI, y debido a que muchas mujeres Trans tienen temor a trasladarse en horarios diurnos por distintas zonas de centro de San Salvador, debido al accionar de las maras (pandillas y grupos armados), este como un esfuerzo de las instituciones prestadoras de los servicios complelementarios para hacer llegar sus servicios a esta poblacion que por la naturaleza sociodemografica es dificil acceder aunado el temor que les impera de trasladarse a zonas de donde no son originarias por temor a los grupos de delincuentes que las han convertido en un blanco altamente vulnerable.
Cada organización sub receptora implemento diferentes estrategias que tenían la intención de generar un aumento en la demanda y la oferta para el paquete complementario. 
Como parte de las iniciativas del RP se coordinaron actividades en conjunto con las Clinicas VICITS para poder brindar y desentralizar las atenciones de los centros de Salud hacia los CCPI y aumentar el poder de comvocatoria atravez de " Ferias de la Salud" teniendo asi que para el CCPI de San Salvador dirigido por ASPIDH  dicha actividad tuvo la afluencia de 60 mujeres transxeuales mientras que en el CCPI de Stan Ana a cargo de Colectivo Alejandria participaron 20 Mujeres Transexuales quienes fueron beneficiarias de la actividad.</v>
      </c>
      <c r="E37" s="708"/>
      <c r="F37" s="708"/>
      <c r="G37" s="708"/>
      <c r="H37" s="354"/>
      <c r="I37" s="710"/>
      <c r="J37" s="710"/>
      <c r="K37" s="710"/>
      <c r="L37" s="710"/>
      <c r="M37" s="710"/>
      <c r="N37" s="710"/>
      <c r="O37" s="357"/>
    </row>
    <row r="38" spans="1:15" ht="21.75" customHeight="1">
      <c r="A38" s="317"/>
      <c r="B38" s="371" t="s">
        <v>22</v>
      </c>
      <c r="C38" s="372"/>
      <c r="D38" s="708" t="str">
        <f>IF(ISBLANK(Programatico!L26),"",(Programatico!L26))</f>
        <v>Según el  estudio de Normalizacion de Estimacion de Prevalencia considerando riesgos Relativos de VIH l (elaborado por Tephinet) el porcentaje de Poblacion Transgenero infectada por el VIH es de 16.6%, este dato fue validado por el Programa Nacional de VIH y reportado en el informe del semestre 3 al FM.</v>
      </c>
      <c r="E38" s="708"/>
      <c r="F38" s="708"/>
      <c r="G38" s="708"/>
      <c r="H38" s="354"/>
      <c r="I38" s="710"/>
      <c r="J38" s="710"/>
      <c r="K38" s="710"/>
      <c r="L38" s="710"/>
      <c r="M38" s="710"/>
      <c r="N38" s="710"/>
      <c r="O38" s="357"/>
    </row>
    <row r="39" spans="1:15" ht="21.75" customHeight="1">
      <c r="A39" s="317"/>
      <c r="B39" s="371" t="s">
        <v>23</v>
      </c>
      <c r="C39" s="372"/>
      <c r="D39" s="708" t="e">
        <f>IF(ISBLANK(Programatico!#REF!),"",(Programatico!#REF!))</f>
        <v>#REF!</v>
      </c>
      <c r="E39" s="708"/>
      <c r="F39" s="708"/>
      <c r="G39" s="708"/>
      <c r="H39" s="354"/>
      <c r="I39" s="710"/>
      <c r="J39" s="710"/>
      <c r="K39" s="710"/>
      <c r="L39" s="710"/>
      <c r="M39" s="710"/>
      <c r="N39" s="710"/>
      <c r="O39" s="357"/>
    </row>
    <row r="40" spans="1:15" ht="21.75" customHeight="1">
      <c r="A40" s="317"/>
      <c r="B40" s="371" t="s">
        <v>209</v>
      </c>
      <c r="C40" s="372"/>
      <c r="D40" s="708" t="e">
        <f>IF(ISBLANK(Programatico!#REF!),"",(Programatico!#REF!))</f>
        <v>#REF!</v>
      </c>
      <c r="E40" s="708"/>
      <c r="F40" s="708"/>
      <c r="G40" s="708"/>
      <c r="H40" s="354"/>
      <c r="I40" s="710"/>
      <c r="J40" s="710"/>
      <c r="K40" s="710"/>
      <c r="L40" s="710"/>
      <c r="M40" s="710"/>
      <c r="N40" s="710"/>
      <c r="O40" s="357"/>
    </row>
    <row r="41" spans="1:15" ht="21.75" customHeight="1">
      <c r="A41" s="317"/>
      <c r="B41" s="371" t="s">
        <v>210</v>
      </c>
      <c r="C41" s="373"/>
      <c r="D41" s="708" t="e">
        <f>IF(ISBLANK(Programatico!#REF!),"",(Programatico!#REF!))</f>
        <v>#REF!</v>
      </c>
      <c r="E41" s="708"/>
      <c r="F41" s="708"/>
      <c r="G41" s="708"/>
      <c r="H41" s="354"/>
      <c r="I41" s="709"/>
      <c r="J41" s="709"/>
      <c r="K41" s="709"/>
      <c r="L41" s="709"/>
      <c r="M41" s="709"/>
      <c r="N41" s="709"/>
      <c r="O41" s="357"/>
    </row>
  </sheetData>
  <sheetProtection password="CFC9" sheet="1" objects="1" scenarios="1"/>
  <mergeCells count="65">
    <mergeCell ref="B2:N2"/>
    <mergeCell ref="C3:D3"/>
    <mergeCell ref="E3:K3"/>
    <mergeCell ref="C4:D4"/>
    <mergeCell ref="E4:K4"/>
    <mergeCell ref="E5:K5"/>
    <mergeCell ref="E6:K6"/>
    <mergeCell ref="B8:N8"/>
    <mergeCell ref="B10:C10"/>
    <mergeCell ref="D10:G10"/>
    <mergeCell ref="I10:N10"/>
    <mergeCell ref="D13:G13"/>
    <mergeCell ref="I13:N13"/>
    <mergeCell ref="D14:G14"/>
    <mergeCell ref="I14:N14"/>
    <mergeCell ref="D11:G11"/>
    <mergeCell ref="I11:N11"/>
    <mergeCell ref="D12:G12"/>
    <mergeCell ref="I12:N12"/>
    <mergeCell ref="D19:G19"/>
    <mergeCell ref="I19:N19"/>
    <mergeCell ref="D20:G20"/>
    <mergeCell ref="I20:N20"/>
    <mergeCell ref="B16:N16"/>
    <mergeCell ref="B18:C18"/>
    <mergeCell ref="D18:G18"/>
    <mergeCell ref="I18:N18"/>
    <mergeCell ref="D23:G23"/>
    <mergeCell ref="I23:N23"/>
    <mergeCell ref="D24:G24"/>
    <mergeCell ref="I24:N24"/>
    <mergeCell ref="D21:G21"/>
    <mergeCell ref="I21:N21"/>
    <mergeCell ref="D22:G22"/>
    <mergeCell ref="I22:N22"/>
    <mergeCell ref="D29:G29"/>
    <mergeCell ref="I29:N29"/>
    <mergeCell ref="D30:G30"/>
    <mergeCell ref="I30:N30"/>
    <mergeCell ref="B26:N26"/>
    <mergeCell ref="B28:C28"/>
    <mergeCell ref="D28:G28"/>
    <mergeCell ref="I28:N28"/>
    <mergeCell ref="D33:G33"/>
    <mergeCell ref="I33:N33"/>
    <mergeCell ref="D34:G34"/>
    <mergeCell ref="I34:N34"/>
    <mergeCell ref="D31:G31"/>
    <mergeCell ref="I31:N31"/>
    <mergeCell ref="D32:G32"/>
    <mergeCell ref="I32:N32"/>
    <mergeCell ref="D37:G37"/>
    <mergeCell ref="I37:N37"/>
    <mergeCell ref="D38:G38"/>
    <mergeCell ref="I38:N38"/>
    <mergeCell ref="D35:G35"/>
    <mergeCell ref="I35:N35"/>
    <mergeCell ref="D36:G36"/>
    <mergeCell ref="I36:N36"/>
    <mergeCell ref="D41:G41"/>
    <mergeCell ref="I41:N41"/>
    <mergeCell ref="D39:G39"/>
    <mergeCell ref="I39:N39"/>
    <mergeCell ref="D40:G40"/>
    <mergeCell ref="I40:N40"/>
  </mergeCells>
  <conditionalFormatting sqref="C4:D4">
    <cfRule type="cellIs" priority="1" dxfId="41" operator="equal" stopIfTrue="1">
      <formula>"C"</formula>
    </cfRule>
    <cfRule type="cellIs" priority="2" dxfId="42" operator="equal" stopIfTrue="1">
      <formula>"B2"</formula>
    </cfRule>
    <cfRule type="cellIs" priority="3"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1">
      <selection activeCell="O16" sqref="O16"/>
    </sheetView>
  </sheetViews>
  <sheetFormatPr defaultColWidth="9.14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660" t="str">
        <f>+"Cuadro de mando:  "&amp;"  "&amp;+'Introducción de datos'!C4&amp;" - "&amp;'Introducción de datos'!G6</f>
        <v>Cuadro de mando:    El Salvador - VIH / SIDA</v>
      </c>
      <c r="C2" s="660"/>
      <c r="D2" s="660"/>
      <c r="E2" s="660"/>
      <c r="F2" s="660"/>
      <c r="G2" s="660"/>
      <c r="H2" s="660"/>
      <c r="I2" s="660"/>
      <c r="J2" s="660"/>
      <c r="K2" s="660"/>
      <c r="L2" s="660"/>
    </row>
    <row r="3" spans="2:13" ht="15">
      <c r="B3" s="278" t="str">
        <f>+'Introducción de datos'!G8</f>
        <v>Seleccionar</v>
      </c>
      <c r="C3" s="661" t="str">
        <f>+'Introducción de datos'!I8</f>
        <v>Seleccionar</v>
      </c>
      <c r="D3" s="661"/>
      <c r="E3" s="662"/>
      <c r="F3" s="662"/>
      <c r="G3" s="662"/>
      <c r="H3" s="662"/>
      <c r="I3" s="662"/>
      <c r="J3" s="663" t="str">
        <f>+'Introducción de datos'!B16</f>
        <v>Periodo:</v>
      </c>
      <c r="K3" s="663"/>
      <c r="L3" s="296" t="str">
        <f>+'Introducción de datos'!C16</f>
        <v>P4</v>
      </c>
      <c r="M3" s="374"/>
    </row>
    <row r="4" spans="2:12" ht="15">
      <c r="B4" s="278" t="str">
        <f>+'Introducción de datos'!B12</f>
        <v>Ultima calificación:</v>
      </c>
      <c r="C4" s="767" t="str">
        <f>+'Introducción de datos'!C12</f>
        <v>A1</v>
      </c>
      <c r="D4" s="767"/>
      <c r="E4" s="662" t="str">
        <f>+'Introducción de datos'!C8</f>
        <v>PLAN  INTERNACIONAL</v>
      </c>
      <c r="F4" s="662"/>
      <c r="G4" s="662"/>
      <c r="H4" s="662"/>
      <c r="I4" s="662"/>
      <c r="J4" s="663" t="str">
        <f>+'Introducción de datos'!D16</f>
        <v>Desde:</v>
      </c>
      <c r="K4" s="663"/>
      <c r="L4" s="253">
        <f>+'Introducción de datos'!E16</f>
        <v>42186</v>
      </c>
    </row>
    <row r="5" spans="2:12" ht="18.75" customHeight="1">
      <c r="B5" s="278"/>
      <c r="C5" s="278"/>
      <c r="D5" s="662" t="str">
        <f>+'Introducción de datos'!G4</f>
        <v>INNOVANDO SERVICIOS, REDUCIENDO RIESGOS, RENOVANDO VIDAS EN EL SALVADOR</v>
      </c>
      <c r="E5" s="662"/>
      <c r="F5" s="662"/>
      <c r="G5" s="662"/>
      <c r="H5" s="662"/>
      <c r="I5" s="662"/>
      <c r="J5" s="662"/>
      <c r="K5" s="278" t="str">
        <f>+'Introducción de datos'!F16</f>
        <v>Hasta:</v>
      </c>
      <c r="L5" s="253">
        <f>+'Introducción de datos'!G16</f>
        <v>42369</v>
      </c>
    </row>
    <row r="6" spans="2:9" ht="18.75">
      <c r="B6" s="279"/>
      <c r="C6" s="278"/>
      <c r="D6" s="255"/>
      <c r="E6" s="667" t="s">
        <v>24</v>
      </c>
      <c r="F6" s="667"/>
      <c r="G6" s="667"/>
      <c r="H6" s="667"/>
      <c r="I6" s="667"/>
    </row>
    <row r="7" spans="5:9" ht="18.75">
      <c r="E7" s="375"/>
      <c r="F7" s="375"/>
      <c r="G7" s="375"/>
      <c r="H7" s="375"/>
      <c r="I7" s="375"/>
    </row>
    <row r="8" spans="2:12" s="324" customFormat="1" ht="21" customHeight="1">
      <c r="B8" s="376" t="s">
        <v>25</v>
      </c>
      <c r="C8" s="377"/>
      <c r="D8" s="377"/>
      <c r="E8" s="377"/>
      <c r="F8" s="377"/>
      <c r="G8" s="377"/>
      <c r="H8" s="377"/>
      <c r="I8" s="377"/>
      <c r="J8" s="377"/>
      <c r="K8" s="377"/>
      <c r="L8" s="377"/>
    </row>
    <row r="9" ht="6" customHeight="1">
      <c r="B9" s="378"/>
    </row>
    <row r="10" spans="2:12" ht="15">
      <c r="B10" s="766"/>
      <c r="C10" s="766"/>
      <c r="D10" s="766"/>
      <c r="E10" s="766"/>
      <c r="F10" s="766"/>
      <c r="G10" s="766"/>
      <c r="H10" s="766"/>
      <c r="I10" s="766"/>
      <c r="J10" s="766"/>
      <c r="K10" s="766"/>
      <c r="L10" s="766"/>
    </row>
    <row r="11" spans="2:12" ht="15">
      <c r="B11" s="766"/>
      <c r="C11" s="766"/>
      <c r="D11" s="766"/>
      <c r="E11" s="766"/>
      <c r="F11" s="766"/>
      <c r="G11" s="766"/>
      <c r="H11" s="766"/>
      <c r="I11" s="766"/>
      <c r="J11" s="766"/>
      <c r="K11" s="766"/>
      <c r="L11" s="766"/>
    </row>
    <row r="13" spans="1:12" ht="42" customHeight="1">
      <c r="A13" s="379"/>
      <c r="B13" s="744" t="s">
        <v>26</v>
      </c>
      <c r="C13" s="744"/>
      <c r="D13" s="744"/>
      <c r="E13" s="744"/>
      <c r="F13" s="380"/>
      <c r="G13" s="745" t="s">
        <v>27</v>
      </c>
      <c r="H13" s="745"/>
      <c r="I13" s="745"/>
      <c r="J13" s="381" t="s">
        <v>28</v>
      </c>
      <c r="K13" s="746" t="s">
        <v>29</v>
      </c>
      <c r="L13" s="746"/>
    </row>
    <row r="14" spans="1:12" ht="33.75" customHeight="1">
      <c r="A14" s="747" t="s">
        <v>222</v>
      </c>
      <c r="B14" s="758"/>
      <c r="C14" s="758"/>
      <c r="D14" s="758"/>
      <c r="E14" s="758"/>
      <c r="F14" s="84"/>
      <c r="G14" s="763"/>
      <c r="H14" s="763"/>
      <c r="I14" s="763"/>
      <c r="J14" s="764"/>
      <c r="K14" s="760"/>
      <c r="L14" s="760"/>
    </row>
    <row r="15" spans="1:12" ht="39" customHeight="1">
      <c r="A15" s="747"/>
      <c r="B15" s="758"/>
      <c r="C15" s="758"/>
      <c r="D15" s="758"/>
      <c r="E15" s="758"/>
      <c r="F15" s="84"/>
      <c r="G15" s="763"/>
      <c r="H15" s="763"/>
      <c r="I15" s="763"/>
      <c r="J15" s="764"/>
      <c r="K15" s="760"/>
      <c r="L15" s="760"/>
    </row>
    <row r="16" spans="1:12" ht="25.5" customHeight="1">
      <c r="A16" s="747"/>
      <c r="B16" s="758"/>
      <c r="C16" s="758"/>
      <c r="D16" s="758"/>
      <c r="E16" s="758"/>
      <c r="F16" s="84"/>
      <c r="G16" s="761"/>
      <c r="H16" s="761"/>
      <c r="I16" s="761"/>
      <c r="J16" s="762"/>
      <c r="K16" s="752"/>
      <c r="L16" s="752"/>
    </row>
    <row r="17" spans="1:12" ht="24" customHeight="1">
      <c r="A17" s="747"/>
      <c r="B17" s="758"/>
      <c r="C17" s="758"/>
      <c r="D17" s="758"/>
      <c r="E17" s="758"/>
      <c r="F17" s="84"/>
      <c r="G17" s="761"/>
      <c r="H17" s="761"/>
      <c r="I17" s="761"/>
      <c r="J17" s="762"/>
      <c r="K17" s="752"/>
      <c r="L17" s="752"/>
    </row>
    <row r="18" spans="1:12" ht="15">
      <c r="A18" s="747"/>
      <c r="B18" s="758"/>
      <c r="C18" s="758"/>
      <c r="D18" s="758"/>
      <c r="E18" s="758"/>
      <c r="F18" s="84"/>
      <c r="G18" s="765"/>
      <c r="H18" s="765"/>
      <c r="I18" s="765"/>
      <c r="J18" s="753"/>
      <c r="K18" s="752"/>
      <c r="L18" s="752"/>
    </row>
    <row r="19" spans="1:12" ht="30.75" customHeight="1">
      <c r="A19" s="747"/>
      <c r="B19" s="758"/>
      <c r="C19" s="758"/>
      <c r="D19" s="758"/>
      <c r="E19" s="758"/>
      <c r="F19" s="84"/>
      <c r="G19" s="765"/>
      <c r="H19" s="765"/>
      <c r="I19" s="765"/>
      <c r="J19" s="753"/>
      <c r="K19" s="753"/>
      <c r="L19" s="752"/>
    </row>
    <row r="20" spans="1:12" ht="15">
      <c r="A20" s="747"/>
      <c r="B20" s="758"/>
      <c r="C20" s="758"/>
      <c r="D20" s="758"/>
      <c r="E20" s="758"/>
      <c r="F20" s="84"/>
      <c r="G20" s="759"/>
      <c r="H20" s="759"/>
      <c r="I20" s="759"/>
      <c r="J20" s="753"/>
      <c r="K20" s="752"/>
      <c r="L20" s="752"/>
    </row>
    <row r="21" spans="1:12" ht="15">
      <c r="A21" s="747"/>
      <c r="B21" s="758"/>
      <c r="C21" s="758"/>
      <c r="D21" s="758"/>
      <c r="E21" s="758"/>
      <c r="F21" s="84"/>
      <c r="G21" s="759"/>
      <c r="H21" s="759"/>
      <c r="I21" s="759"/>
      <c r="J21" s="753"/>
      <c r="K21" s="753"/>
      <c r="L21" s="752"/>
    </row>
    <row r="22" spans="1:12" ht="15">
      <c r="A22" s="747"/>
      <c r="B22" s="758"/>
      <c r="C22" s="758"/>
      <c r="D22" s="758"/>
      <c r="E22" s="758"/>
      <c r="F22" s="84"/>
      <c r="G22" s="759"/>
      <c r="H22" s="759"/>
      <c r="I22" s="759"/>
      <c r="J22" s="753"/>
      <c r="K22" s="752"/>
      <c r="L22" s="752"/>
    </row>
    <row r="23" spans="1:12" ht="15">
      <c r="A23" s="747"/>
      <c r="B23" s="758"/>
      <c r="C23" s="758"/>
      <c r="D23" s="758"/>
      <c r="E23" s="758"/>
      <c r="F23" s="84"/>
      <c r="G23" s="759"/>
      <c r="H23" s="759"/>
      <c r="I23" s="759"/>
      <c r="J23" s="753"/>
      <c r="K23" s="753"/>
      <c r="L23" s="752"/>
    </row>
    <row r="24" spans="1:12" ht="15">
      <c r="A24" s="747"/>
      <c r="B24" s="754"/>
      <c r="C24" s="754"/>
      <c r="D24" s="754"/>
      <c r="E24" s="754"/>
      <c r="F24" s="84"/>
      <c r="G24" s="755"/>
      <c r="H24" s="755"/>
      <c r="I24" s="755"/>
      <c r="J24" s="756"/>
      <c r="K24" s="757"/>
      <c r="L24" s="757"/>
    </row>
    <row r="25" spans="1:12" ht="15">
      <c r="A25" s="747"/>
      <c r="B25" s="754"/>
      <c r="C25" s="754"/>
      <c r="D25" s="754"/>
      <c r="E25" s="754"/>
      <c r="F25" s="84"/>
      <c r="G25" s="755"/>
      <c r="H25" s="755"/>
      <c r="I25" s="755"/>
      <c r="J25" s="756"/>
      <c r="K25" s="756"/>
      <c r="L25" s="757"/>
    </row>
    <row r="26" spans="1:12" ht="15">
      <c r="A26" s="379"/>
      <c r="B26" s="379"/>
      <c r="C26" s="379"/>
      <c r="D26" s="379"/>
      <c r="E26" s="379"/>
      <c r="F26" s="379"/>
      <c r="G26" s="379"/>
      <c r="H26" s="379"/>
      <c r="I26" s="379"/>
      <c r="J26" s="379"/>
      <c r="K26" s="379"/>
      <c r="L26" s="379"/>
    </row>
    <row r="27" spans="1:12" ht="18.75">
      <c r="A27" s="379"/>
      <c r="B27" s="379"/>
      <c r="C27" s="379"/>
      <c r="D27" s="379"/>
      <c r="E27" s="382" t="s">
        <v>30</v>
      </c>
      <c r="F27" s="383"/>
      <c r="G27" s="383"/>
      <c r="H27" s="383"/>
      <c r="I27" s="383"/>
      <c r="J27" s="379"/>
      <c r="K27" s="379"/>
      <c r="L27" s="379"/>
    </row>
    <row r="28" spans="1:12" ht="6" customHeight="1">
      <c r="A28" s="379"/>
      <c r="B28" s="379"/>
      <c r="C28" s="379"/>
      <c r="D28" s="379"/>
      <c r="E28" s="384"/>
      <c r="F28" s="384"/>
      <c r="G28" s="384"/>
      <c r="H28" s="384"/>
      <c r="I28" s="384"/>
      <c r="J28" s="379"/>
      <c r="K28" s="379"/>
      <c r="L28" s="379"/>
    </row>
    <row r="29" spans="1:12" s="324" customFormat="1" ht="21" customHeight="1">
      <c r="A29" s="385"/>
      <c r="B29" s="376" t="s">
        <v>31</v>
      </c>
      <c r="C29" s="386"/>
      <c r="D29" s="386"/>
      <c r="E29" s="386"/>
      <c r="F29" s="386"/>
      <c r="G29" s="386"/>
      <c r="H29" s="386"/>
      <c r="I29" s="386"/>
      <c r="J29" s="386"/>
      <c r="K29" s="386"/>
      <c r="L29" s="386"/>
    </row>
    <row r="30" spans="1:12" ht="6" customHeight="1">
      <c r="A30" s="379"/>
      <c r="B30" s="387"/>
      <c r="C30" s="379"/>
      <c r="D30" s="379"/>
      <c r="E30" s="379"/>
      <c r="F30" s="379"/>
      <c r="G30" s="379"/>
      <c r="H30" s="379"/>
      <c r="I30" s="379"/>
      <c r="J30" s="379"/>
      <c r="K30" s="379"/>
      <c r="L30" s="379"/>
    </row>
    <row r="31" spans="1:12" ht="45" customHeight="1">
      <c r="A31" s="379"/>
      <c r="B31" s="744" t="s">
        <v>27</v>
      </c>
      <c r="C31" s="744"/>
      <c r="D31" s="744"/>
      <c r="E31" s="744"/>
      <c r="F31" s="380"/>
      <c r="G31" s="745" t="s">
        <v>32</v>
      </c>
      <c r="H31" s="745"/>
      <c r="I31" s="745"/>
      <c r="J31" s="381" t="s">
        <v>28</v>
      </c>
      <c r="K31" s="746" t="s">
        <v>29</v>
      </c>
      <c r="L31" s="746"/>
    </row>
    <row r="32" spans="1:12" ht="18.75" customHeight="1">
      <c r="A32" s="747" t="s">
        <v>33</v>
      </c>
      <c r="B32" s="748"/>
      <c r="C32" s="748"/>
      <c r="D32" s="748"/>
      <c r="E32" s="748"/>
      <c r="F32" s="84"/>
      <c r="G32" s="749"/>
      <c r="H32" s="749"/>
      <c r="I32" s="749"/>
      <c r="J32" s="750"/>
      <c r="K32" s="751"/>
      <c r="L32" s="751"/>
    </row>
    <row r="33" spans="1:12" ht="18.75" customHeight="1">
      <c r="A33" s="747"/>
      <c r="B33" s="748"/>
      <c r="C33" s="748"/>
      <c r="D33" s="748"/>
      <c r="E33" s="748"/>
      <c r="F33" s="84"/>
      <c r="G33" s="749"/>
      <c r="H33" s="749"/>
      <c r="I33" s="749"/>
      <c r="J33" s="750"/>
      <c r="K33" s="750"/>
      <c r="L33" s="751"/>
    </row>
    <row r="34" spans="1:12" ht="18.75" customHeight="1">
      <c r="A34" s="747"/>
      <c r="B34" s="740">
        <f>IF(Recomendaciones!I43="","",Recomendaciones!I43)</f>
      </c>
      <c r="C34" s="740"/>
      <c r="D34" s="740"/>
      <c r="E34" s="740"/>
      <c r="F34" s="84"/>
      <c r="G34" s="741"/>
      <c r="H34" s="741"/>
      <c r="I34" s="741"/>
      <c r="J34" s="742"/>
      <c r="K34" s="743"/>
      <c r="L34" s="743"/>
    </row>
    <row r="35" spans="1:12" ht="18.75" customHeight="1">
      <c r="A35" s="747"/>
      <c r="B35" s="740"/>
      <c r="C35" s="740"/>
      <c r="D35" s="740"/>
      <c r="E35" s="740"/>
      <c r="F35" s="84"/>
      <c r="G35" s="741"/>
      <c r="H35" s="741"/>
      <c r="I35" s="741"/>
      <c r="J35" s="742"/>
      <c r="K35" s="742"/>
      <c r="L35" s="743"/>
    </row>
    <row r="36" spans="1:12" ht="18.75" customHeight="1">
      <c r="A36" s="747"/>
      <c r="B36" s="740">
        <f>+IF(Recomendaciones!I53="","",Recomendaciones!I53)</f>
      </c>
      <c r="C36" s="740"/>
      <c r="D36" s="740"/>
      <c r="E36" s="740"/>
      <c r="F36" s="84"/>
      <c r="G36" s="741"/>
      <c r="H36" s="741"/>
      <c r="I36" s="741"/>
      <c r="J36" s="742"/>
      <c r="K36" s="743"/>
      <c r="L36" s="743"/>
    </row>
    <row r="37" spans="1:12" ht="18.75" customHeight="1">
      <c r="A37" s="747"/>
      <c r="B37" s="740"/>
      <c r="C37" s="740"/>
      <c r="D37" s="740"/>
      <c r="E37" s="740"/>
      <c r="F37" s="84"/>
      <c r="G37" s="741"/>
      <c r="H37" s="741"/>
      <c r="I37" s="741"/>
      <c r="J37" s="742"/>
      <c r="K37" s="742"/>
      <c r="L37" s="743"/>
    </row>
    <row r="38" spans="1:12" ht="18.75" customHeight="1">
      <c r="A38" s="747"/>
      <c r="B38" s="740"/>
      <c r="C38" s="740"/>
      <c r="D38" s="740"/>
      <c r="E38" s="740"/>
      <c r="F38" s="84"/>
      <c r="G38" s="741"/>
      <c r="H38" s="741"/>
      <c r="I38" s="741"/>
      <c r="J38" s="742"/>
      <c r="K38" s="743"/>
      <c r="L38" s="743"/>
    </row>
    <row r="39" spans="1:12" ht="18.75" customHeight="1">
      <c r="A39" s="747"/>
      <c r="B39" s="740"/>
      <c r="C39" s="740"/>
      <c r="D39" s="740"/>
      <c r="E39" s="740"/>
      <c r="F39" s="84"/>
      <c r="G39" s="741"/>
      <c r="H39" s="741"/>
      <c r="I39" s="741"/>
      <c r="J39" s="742"/>
      <c r="K39" s="742"/>
      <c r="L39" s="743"/>
    </row>
    <row r="40" spans="1:12" ht="18.75" customHeight="1">
      <c r="A40" s="747"/>
      <c r="B40" s="740"/>
      <c r="C40" s="740"/>
      <c r="D40" s="740"/>
      <c r="E40" s="740"/>
      <c r="F40" s="84"/>
      <c r="G40" s="741"/>
      <c r="H40" s="741"/>
      <c r="I40" s="741"/>
      <c r="J40" s="742"/>
      <c r="K40" s="743"/>
      <c r="L40" s="743"/>
    </row>
    <row r="41" spans="1:12" ht="18.75" customHeight="1">
      <c r="A41" s="747"/>
      <c r="B41" s="740"/>
      <c r="C41" s="740"/>
      <c r="D41" s="740"/>
      <c r="E41" s="740"/>
      <c r="F41" s="84"/>
      <c r="G41" s="741"/>
      <c r="H41" s="741"/>
      <c r="I41" s="741"/>
      <c r="J41" s="742"/>
      <c r="K41" s="742"/>
      <c r="L41" s="743"/>
    </row>
    <row r="42" spans="1:12" ht="18.75" customHeight="1">
      <c r="A42" s="747"/>
      <c r="B42" s="736"/>
      <c r="C42" s="736"/>
      <c r="D42" s="736"/>
      <c r="E42" s="736"/>
      <c r="F42" s="84"/>
      <c r="G42" s="737"/>
      <c r="H42" s="737"/>
      <c r="I42" s="737"/>
      <c r="J42" s="738"/>
      <c r="K42" s="739"/>
      <c r="L42" s="739"/>
    </row>
    <row r="43" spans="1:12" ht="18.75" customHeight="1">
      <c r="A43" s="747"/>
      <c r="B43" s="736"/>
      <c r="C43" s="736"/>
      <c r="D43" s="736"/>
      <c r="E43" s="736"/>
      <c r="F43" s="84"/>
      <c r="G43" s="737"/>
      <c r="H43" s="737"/>
      <c r="I43" s="737"/>
      <c r="J43" s="738"/>
      <c r="K43" s="738"/>
      <c r="L43" s="739"/>
    </row>
  </sheetData>
  <sheetProtection selectLockedCells="1" selectUnlockedCells="1"/>
  <mergeCells count="66">
    <mergeCell ref="C4:D4"/>
    <mergeCell ref="E4:I4"/>
    <mergeCell ref="J4:K4"/>
    <mergeCell ref="D5:J5"/>
    <mergeCell ref="B2:L2"/>
    <mergeCell ref="C3:D3"/>
    <mergeCell ref="E3:I3"/>
    <mergeCell ref="J3:K3"/>
    <mergeCell ref="G18:I19"/>
    <mergeCell ref="J18:J19"/>
    <mergeCell ref="B22:E23"/>
    <mergeCell ref="G22:I23"/>
    <mergeCell ref="J22:J23"/>
    <mergeCell ref="E6:I6"/>
    <mergeCell ref="B10:L11"/>
    <mergeCell ref="B13:E13"/>
    <mergeCell ref="G13:I13"/>
    <mergeCell ref="K13:L13"/>
    <mergeCell ref="K14:L15"/>
    <mergeCell ref="B16:E17"/>
    <mergeCell ref="G16:I17"/>
    <mergeCell ref="J16:J17"/>
    <mergeCell ref="K16:L17"/>
    <mergeCell ref="A14:A25"/>
    <mergeCell ref="B14:E15"/>
    <mergeCell ref="G14:I15"/>
    <mergeCell ref="J14:J15"/>
    <mergeCell ref="B18:E19"/>
    <mergeCell ref="K22:L23"/>
    <mergeCell ref="B24:E25"/>
    <mergeCell ref="G24:I25"/>
    <mergeCell ref="J24:J25"/>
    <mergeCell ref="K24:L25"/>
    <mergeCell ref="K18:L19"/>
    <mergeCell ref="B20:E21"/>
    <mergeCell ref="G20:I21"/>
    <mergeCell ref="J20:J21"/>
    <mergeCell ref="K20:L21"/>
    <mergeCell ref="B31:E31"/>
    <mergeCell ref="G31:I31"/>
    <mergeCell ref="K31:L31"/>
    <mergeCell ref="A32:A43"/>
    <mergeCell ref="B32:E33"/>
    <mergeCell ref="G32:I33"/>
    <mergeCell ref="J32:J33"/>
    <mergeCell ref="K32:L33"/>
    <mergeCell ref="B34:E35"/>
    <mergeCell ref="G34:I35"/>
    <mergeCell ref="B38:E39"/>
    <mergeCell ref="G38:I39"/>
    <mergeCell ref="J38:J39"/>
    <mergeCell ref="K38:L39"/>
    <mergeCell ref="J34:J35"/>
    <mergeCell ref="K34:L35"/>
    <mergeCell ref="B36:E37"/>
    <mergeCell ref="G36:I37"/>
    <mergeCell ref="J36:J37"/>
    <mergeCell ref="K36:L37"/>
    <mergeCell ref="B42:E43"/>
    <mergeCell ref="G42:I43"/>
    <mergeCell ref="J42:J43"/>
    <mergeCell ref="K42:L43"/>
    <mergeCell ref="B40:E41"/>
    <mergeCell ref="G40:I41"/>
    <mergeCell ref="J40:J41"/>
    <mergeCell ref="K40:L41"/>
  </mergeCells>
  <conditionalFormatting sqref="C4:D4">
    <cfRule type="cellIs" priority="1" dxfId="41" operator="equal" stopIfTrue="1">
      <formula>"C"</formula>
    </cfRule>
    <cfRule type="cellIs" priority="2" dxfId="42" operator="equal" stopIfTrue="1">
      <formula>"B2"</formula>
    </cfRule>
    <cfRule type="cellIs" priority="3"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Carlos Alberto Gomez</cp:lastModifiedBy>
  <cp:lastPrinted>2011-01-31T13:36:40Z</cp:lastPrinted>
  <dcterms:created xsi:type="dcterms:W3CDTF">2008-11-20T16:06:13Z</dcterms:created>
  <dcterms:modified xsi:type="dcterms:W3CDTF">2016-02-15T02:49:48Z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