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48" tabRatio="820" activeTab="4"/>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'Gestión'!$A$1:$L$33</definedName>
    <definedName name="_xlnm.Print_Area" localSheetId="3">'Información de la subvención'!$A$1:$K$15</definedName>
    <definedName name="_xlnm.Print_Area" localSheetId="2">'Introducción de datos'!$A$1:$T$131</definedName>
    <definedName name="_xlnm.Print_Area" localSheetId="6">'Programatico'!$A$1:$Q$29</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datos'!$B$25:$J$67</definedName>
    <definedName name="PrintDataM">'Introducción de datos'!$B$69:$H$111</definedName>
    <definedName name="PrintF">'Financiamiento'!$A$2:$K$31</definedName>
    <definedName name="PrintGD">'Información de la subvención'!$A$2:$J$13</definedName>
    <definedName name="PrintM" localSheetId="8">'Acciones'!$A$2:$L$6</definedName>
    <definedName name="PrintM">'Gestión'!$A$2:$L$35</definedName>
    <definedName name="PrintP">'Programatico'!$A$2:$P$29</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4" authorId="0">
      <text>
        <r>
          <rPr>
            <b/>
            <sz val="8"/>
            <color indexed="32"/>
            <rFont val="Tahoma"/>
            <family val="2"/>
          </rPr>
          <t xml:space="preserve">Si los datos no están disponibles, no introduzca ceros; deje las celdas de la tabla en blanco. </t>
        </r>
      </text>
    </comment>
    <comment ref="B75"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<sst xmlns="http://schemas.openxmlformats.org/spreadsheetml/2006/main" count="575" uniqueCount="411">
  <si>
    <t>El RP MINSAL cuenta con los principales puestos directivos, no hay puestos vacantes.</t>
  </si>
  <si>
    <t>El RP MINSAL no cuenta con subreceptores</t>
  </si>
  <si>
    <t>Para el primer semestre se tuvo retrasos en la adquisición de 2 ARV situación que se solvento con préstamos al ISSS. En cuanto a reactivos no se ha presentado retraso durante este semestre en las compras, ya que se contaba con los reactivos que fueron adquiridos con presupuesto 2016 y recibidos a inicios del año en curso.</t>
  </si>
  <si>
    <t>Con presupuesto del Fondo Mundial actualmente no se adquieren ARV, 
 Casi un 50% de los usuarios VIH (+) utilizan Efavirenz + emtricitabina + tenofovir ( ATRIPLA) por lo cual es el que se esta reportando.
De este no se ha tenido desabastecimiento, ni vencimientos  durante el período de enero a junio del  año 2017 y se cuenta con existencias para 9 meses dándole cobertura a los 4,057 pacientes que actualmente se encuentran recibiendo dicho medicamento.</t>
  </si>
  <si>
    <t>Nivel de existencias expresado en meses de tratamiento para todos los pacientes actuales.</t>
  </si>
  <si>
    <t>Meses de existencias de seguridad</t>
  </si>
  <si>
    <t>Diferencia entre existencias actuales y existencias de seguridad</t>
  </si>
  <si>
    <t xml:space="preserve">                P7</t>
  </si>
  <si>
    <t>máx.</t>
  </si>
  <si>
    <t>Clasificación</t>
  </si>
  <si>
    <t>Indicadores de programa:</t>
  </si>
  <si>
    <t>KP-3c Número y porcentaje de trabajadoras sexuales que se sometieron a las pruebas y consejería del VIH y que recibieron sus resultados</t>
  </si>
  <si>
    <t>Comentario:</t>
  </si>
  <si>
    <t>Actualmente el 100% de los usuarios que consultan a los Hospitales con TAR y que cumplen criterios para iniciar la misma se encuentran recibiendo tratamiento.
En relación a la meta del año 2017 un  84% de los pacientes estimados  viviendo con VIH se encuentran en TAR.</t>
  </si>
  <si>
    <t>Se ha realizado un esfuerzo conjunto con PLAN Internacional logrando así mejorar la cobertura de años anteriores, pero a pesar del esfuerzo se ha encontrado con diferentes dificultades en la ejecución tales como:  dificultad en encontrar el número de HSH estimados por Departamentos, altos grados de delincuencia hacia estas poblaciones y la población en general.
El número de referencias efectivas registradas hasta el momento en el SUMEVE para esta población es de  2,273</t>
  </si>
  <si>
    <t>Debido a la diversidad de formas o lugares en el cual se puede desarrollar el TS, se ha tenido dificultad para el abordaje a esta población, ya que algunas laboran con horarios nocturnos y otras en lugares donde no les permiten salir del local y en ocasiones tampoco autorizan la entrada para abordaje o tamizaje de las TS, a pesar de estas dificultades el MINSAL ha recibido 1,871 referencias efectivas, muchas de ellas se han logrado a través de actividades extramurales con acompañamiento de personal de los CCPI y las UCSF.</t>
  </si>
  <si>
    <t>Indicadores</t>
  </si>
  <si>
    <t>Lograda al 30 de junio</t>
  </si>
  <si>
    <t>0% - 59%</t>
  </si>
  <si>
    <t>60% - 89%</t>
  </si>
  <si>
    <t>&gt; 90%</t>
  </si>
  <si>
    <t>¿Cumplen lo acordado la adquisición y la contratación?</t>
  </si>
  <si>
    <t>Gestión</t>
  </si>
  <si>
    <t>De las 10,799 personas viviendo con VIH estimadas para el año 2017actualmente 9076 se encuentran con TAR, alcanzando un logro del 84% con relación a la meta</t>
  </si>
  <si>
    <t>Comentarios resumidos</t>
  </si>
  <si>
    <t>Recomendaciones</t>
  </si>
  <si>
    <t>Los datos reportados en este indicador son datos preliminares, ya que actualmente no se ha realizado el barrido administrativo para recuperar la información en el SUMEVE, anteriormente las post consejerías se reportaban en el SEPS el cual no era de forma nominal. De igual manera aún no se cuenta con los datos de PEPFAR.
Lo que si se logra observar es que en comparación con el número de post consejerías brindadas  durante el año 2016  (3,957 post consejerías anuales) se evidencia un aumento de las mismas a pesar de que solo se esta reportando un semestre y que aún no se cuenta con la información completa. 
Si tomamos la meta completa al momento se tiene un logro del 28% de post consejerías registradas y si solo tomamos la meta de FM se tiene un logro de 32.3% en post consejerías y un alcance en pruebas de un 51% de la meta total y un 60% de la meta del FM.
Este logro se debe al esfuerzo realizado por PLAN internacional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t>
  </si>
  <si>
    <t>Los datos reportados en este indicador son datos preliminares, ya que actualmente no se ha realizado el barrido administrativo para recuperar la información en el SUMEVE, anteriormente las post consejerías se reportaban en el SEPS el cual no era de forma nominal. De igual manera aún no se cuenta con los datos de PEPFAR.
Lo que si se logra observar es que en comparación a la ejecución de este indicador con el año 2016 (4,713 post consejerías anual) se evidencia una mejora de las mismas a pesar de que solo se esta reportando un semestre y que aún no se cuenta con la información completa. 
Si tomamos la meta completa FM + PEPFAR al momento se tiene un logro del 45% de post consejerías registradas y si solo tomamos la meta de FM se tiene un logro de 48% en post consejerías y un alcance en pruebas de un 65%  del Total de la meta y 69% solo meta FM
Este logro se debe al esfuerzo realizado por PLAN internacional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t>
  </si>
  <si>
    <t>Los datos reportados en este indicador son datos preliminares, ya que actualmente no se ha realizado el barrido administrativo para recuperar la información en el SUMEVE, anteriormente las post consejerías se reportaban en el SEPS el cual no era de forma nominal. 
Comparando el número de post consejerías brindadas en el año 2016 ( 213 post consejerías anual) se evidencia una mejora de las mismas durante este período a pesar de que solo se esta reportando un semestre y que aún no se cuenta con la información completa. 
Este logro se debe al esfuerzo realizado por PLAN internacional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t>
  </si>
  <si>
    <t>Un 82% de los usuarios que iniciaron TAR y que cuentan aunque sea con una CV se les reporto CV indetectable</t>
  </si>
  <si>
    <t xml:space="preserve">El resultado alcanzado refleja el trabajo  realizado en conjunto  por la integración intersectorial,   desde hace 7 años, entre el Programa Nacional de VIH, personal de centros penales, personal de salud y grupos de apoyo que a traves de la metodología de pares se han capacitado a facilitadores de la población privada de libertad quienes posteriormente son los encargados de realizar las  intervenciones  de prevención, adherencia, estigma y discriminación, pre y pos consejerías; con las unidades móviles institucionales ( personal de laboratorio)  se les brinda tamizaje con la prueba del VIH a  esta población privada de libertad. Meta alcanzada y superada con un logro de cobertura del 107%. </t>
  </si>
  <si>
    <t>INDICADORES DE IMPACTO</t>
  </si>
  <si>
    <t>Este dato se brindará en el próximo Tablero de Mando ya que al sistema SIAP de las VICITS se le esta realizando actualizaciones y depuración. Dato pendiente de ser enviado por el PNVIH</t>
  </si>
  <si>
    <t>De los 646 usuarios HSH de son atendidos en las clínicas VICITS, 368 declaran haber utilizado un condón en su última relación sexual anal, alcanzando un logro de cobertura 79%  con respecto a la meta estimada.</t>
  </si>
  <si>
    <t>De las 625 TS atendidas en las clínicas VICITS que respondieron a las preguntas de comportamiento de su historia clínica durante el período de enero a junio 2017, 604 declaran haber utilizado un condón con su último cliente, alcanzando un logro de cobertura en relación a la meta del 101%</t>
  </si>
  <si>
    <t>Durante el período de la cohorte de enero a diciembre 2016 iniciaron TAR 981 usuarios de los cuales 752 han permanecido en terapia hasta la fecha ya que la cohorte de este indicador llega hasta diciembre 2017, obteniendo un resultado preliminar de un 76.9%</t>
  </si>
  <si>
    <t>¿Se están ejecutando los fondos de acuerdo al presupuesto?</t>
  </si>
  <si>
    <t>Financiera</t>
  </si>
  <si>
    <t>F1</t>
  </si>
  <si>
    <t>F2</t>
  </si>
  <si>
    <t>F3</t>
  </si>
  <si>
    <t>F4</t>
  </si>
  <si>
    <t>¿Están las adquisiciones y contrataciones ejecutándose en el tiempo previsto?</t>
  </si>
  <si>
    <t>M1</t>
  </si>
  <si>
    <t>M2</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</si>
  <si>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</si>
  <si>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</si>
  <si>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</si>
  <si>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</si>
  <si>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</si>
  <si>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</si>
  <si>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</si>
  <si>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</si>
  <si>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</si>
  <si>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</si>
  <si>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</si>
  <si>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</si>
  <si>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</si>
  <si>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</si>
  <si>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</si>
  <si>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 xml:space="preserve">Indicador kp -3a. MINSAL debera coordinar como reportar la pre y post consejerias alcanzadas por PEPFAR / PASMO en el periodo, que abonan al indicador. </t>
  </si>
  <si>
    <t xml:space="preserve">Indicador kp -3c. MINSAL debera coordinar como reportar la pre y post consejerias alcanzadas por PEPFAR / PASMO en el periodo, que abonan al indicador. </t>
  </si>
  <si>
    <t>Indicador HIV 04 b, presentar el instrumento utilizado para recoleccion del dato, y explicar como esta construido el indicador (el comité solicita clarificar y amplir la justificacion de este indicador y explicar la metodologia de calculo)</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</si>
  <si>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</si>
  <si>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</si>
  <si>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</si>
  <si>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</si>
  <si>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</si>
  <si>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</si>
  <si>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</si>
  <si>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</si>
  <si>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</si>
  <si>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</si>
  <si>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</si>
  <si>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</si>
  <si>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</si>
  <si>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</si>
  <si>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</si>
  <si>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Ronda 1</t>
  </si>
  <si>
    <t>Fase 1</t>
  </si>
  <si>
    <t>A1</t>
  </si>
  <si>
    <t>CA (Crown Agents)</t>
  </si>
  <si>
    <t>PASER</t>
  </si>
  <si>
    <t>Antigua y Barbuda</t>
  </si>
  <si>
    <t>MALARIA</t>
  </si>
  <si>
    <t>€</t>
  </si>
  <si>
    <t>Ronda 2</t>
  </si>
  <si>
    <t>A2</t>
  </si>
  <si>
    <t>DEL (Deloitte)</t>
  </si>
  <si>
    <t>Cicloserina 250mg</t>
  </si>
  <si>
    <t>Antillas Holandesas</t>
  </si>
  <si>
    <t>TB</t>
  </si>
  <si>
    <t>Ronda 3</t>
  </si>
  <si>
    <t>RCC</t>
  </si>
  <si>
    <t>B1</t>
  </si>
  <si>
    <t>DTT (DTT Emerging Markets)</t>
  </si>
  <si>
    <t>Kanamicina 1gr</t>
  </si>
  <si>
    <t>Argentina</t>
  </si>
  <si>
    <t>VIHSIDA / TB</t>
  </si>
  <si>
    <t>Ronda 4</t>
  </si>
  <si>
    <t>FIN (Finconsult)</t>
  </si>
  <si>
    <t>Etionamida 250mg</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</si>
  <si>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</si>
  <si>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</si>
  <si>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</si>
  <si>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</si>
  <si>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</si>
  <si>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</si>
  <si>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</si>
  <si>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</si>
  <si>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</si>
  <si>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</si>
  <si>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</si>
  <si>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</si>
  <si>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</si>
  <si>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</si>
  <si>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</si>
  <si>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</si>
  <si>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</si>
  <si>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</si>
  <si>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</si>
  <si>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</si>
  <si>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</si>
  <si>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</si>
  <si>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</si>
  <si>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</si>
  <si>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</si>
  <si>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</si>
  <si>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</si>
  <si>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</si>
  <si>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</si>
  <si>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</si>
  <si>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</si>
  <si>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</si>
  <si>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</si>
  <si>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</si>
  <si>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</si>
  <si>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</si>
  <si>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</si>
  <si>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</si>
  <si>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</si>
  <si>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</si>
  <si>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</si>
  <si>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</si>
  <si>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</si>
  <si>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</si>
  <si>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</si>
  <si>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</si>
  <si>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</si>
  <si>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</si>
  <si>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</si>
  <si>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</si>
  <si>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</si>
  <si>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</si>
  <si>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</si>
  <si>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</si>
  <si>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</si>
  <si>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</si>
  <si>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</si>
  <si>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</si>
  <si>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</si>
  <si>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</si>
  <si>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</si>
  <si>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</si>
  <si>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</si>
  <si>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</si>
  <si>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</si>
  <si>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F2: Presupuesto y gastos reales por Modulo de la subvención</t>
  </si>
  <si>
    <t>PMTCT</t>
  </si>
  <si>
    <t>Modulos de la subvención</t>
  </si>
  <si>
    <t>TABLERO DE MANDO: VIH</t>
  </si>
  <si>
    <t>VIH - SSF - El Salvador.</t>
  </si>
  <si>
    <t xml:space="preserve">Subvención N°: SLV - H - MINSAL </t>
  </si>
  <si>
    <t>Cuadro de mando: VIH - SSF - El Salvador.</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</si>
  <si>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</si>
  <si>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</si>
  <si>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</si>
  <si>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</si>
  <si>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</si>
  <si>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</si>
  <si>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</si>
  <si>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</si>
  <si>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</si>
  <si>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</si>
  <si>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</si>
  <si>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</si>
  <si>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</si>
  <si>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</si>
  <si>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</si>
  <si>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</si>
  <si>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</si>
  <si>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</si>
  <si>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</si>
  <si>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</si>
  <si>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</si>
  <si>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</si>
  <si>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</si>
  <si>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</si>
  <si>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</si>
  <si>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</si>
  <si>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</si>
  <si>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</si>
  <si>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</si>
  <si>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</si>
  <si>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</si>
  <si>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</si>
  <si>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</si>
  <si>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</si>
  <si>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</si>
  <si>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</si>
  <si>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</si>
  <si>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</si>
  <si>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</si>
  <si>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</si>
  <si>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</si>
  <si>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</si>
  <si>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</si>
  <si>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</si>
  <si>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</si>
  <si>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</si>
  <si>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INNOVANDO SERVICIOS, REDUCIENDO RIESGOS, RENOVANDO VIDAS EN EL SALVADOR</t>
  </si>
  <si>
    <t>Subvención nº:</t>
  </si>
  <si>
    <t>SLV - H - MINSAL</t>
  </si>
  <si>
    <t>Componente:</t>
  </si>
  <si>
    <t>VIH / SIDA</t>
  </si>
  <si>
    <t>Financiación total:</t>
  </si>
  <si>
    <t>Receptor Principal:</t>
  </si>
  <si>
    <t xml:space="preserve">Ministerio de Salud </t>
  </si>
  <si>
    <t>Convocatoria:</t>
  </si>
  <si>
    <t>SSF/NMF</t>
  </si>
  <si>
    <t>Fase:</t>
  </si>
  <si>
    <t>Fase 2</t>
  </si>
  <si>
    <t>Fecha de inicio (dd/mm/aa):</t>
  </si>
  <si>
    <t>01 de enero del 2017</t>
  </si>
  <si>
    <t>Agente Local del Fondo:</t>
  </si>
  <si>
    <t>JACOBS</t>
  </si>
  <si>
    <t>Ultima calificación:</t>
  </si>
  <si>
    <t>B2</t>
  </si>
  <si>
    <t>Gerente de Cartera del Fondo:</t>
  </si>
  <si>
    <t>Serena Buccini</t>
  </si>
  <si>
    <t>Periodo de referencia del que se informa</t>
  </si>
  <si>
    <t>Periodo:</t>
  </si>
  <si>
    <t>P1</t>
  </si>
  <si>
    <t>Desde:</t>
  </si>
  <si>
    <t>Hasta:</t>
  </si>
  <si>
    <t>Fecha de introducción de la información:</t>
  </si>
  <si>
    <t>Elaborado por:</t>
  </si>
  <si>
    <t>UAFM/FE/MINSAL.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</si>
  <si>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</si>
  <si>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</si>
  <si>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</si>
  <si>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</si>
  <si>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</si>
  <si>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</si>
  <si>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</si>
  <si>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</si>
  <si>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</si>
  <si>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</si>
  <si>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</si>
  <si>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</si>
  <si>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</si>
  <si>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</si>
  <si>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</si>
  <si>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</si>
  <si>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</si>
  <si>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</si>
  <si>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</si>
  <si>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</si>
  <si>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</si>
  <si>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</si>
  <si>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 del presupuesto desembolsado</t>
  </si>
  <si>
    <t>Presupuesto acumulado</t>
  </si>
  <si>
    <t>Desembolsos  acumulados</t>
  </si>
  <si>
    <t>Total</t>
  </si>
  <si>
    <t>F3: Desembolsos y gastos</t>
  </si>
  <si>
    <t>Anterior al periodo de referencia</t>
  </si>
  <si>
    <t>Periodo de referencia actual</t>
  </si>
  <si>
    <t xml:space="preserve">Gastos </t>
  </si>
  <si>
    <t xml:space="preserve">Compromisos </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</si>
  <si>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</si>
  <si>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</si>
  <si>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</si>
  <si>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</si>
  <si>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</si>
  <si>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</si>
  <si>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</si>
  <si>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</si>
  <si>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</si>
  <si>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</si>
  <si>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</si>
  <si>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</si>
  <si>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</si>
  <si>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</si>
  <si>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</si>
  <si>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 xml:space="preserve">Reportar cuales son no cumplidas con sus justificaciones </t>
  </si>
  <si>
    <t>M2: Estado de los principales puestos directivos del RP</t>
  </si>
  <si>
    <t>Planificados</t>
  </si>
  <si>
    <t>Cubiertos</t>
  </si>
  <si>
    <t>Vacantes</t>
  </si>
  <si>
    <t>Unidad de gestión de proyecto</t>
  </si>
  <si>
    <t xml:space="preserve">M3: Acuerdos contractuales (gestores de compra de bienes y servicios) </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</si>
  <si>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</si>
  <si>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</si>
  <si>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</si>
  <si>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</si>
  <si>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</si>
  <si>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</si>
  <si>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</si>
  <si>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</si>
  <si>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</si>
  <si>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</si>
  <si>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</si>
  <si>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</si>
  <si>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</si>
  <si>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</si>
  <si>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Compromisos ( Compra UACI)</t>
  </si>
  <si>
    <t>Gastos</t>
  </si>
  <si>
    <t>Presupuesto aprobado acumulado*</t>
  </si>
  <si>
    <t>Obligaciones acumuladas</t>
  </si>
  <si>
    <t>Gastos acumulados</t>
  </si>
  <si>
    <t>a que corresponde el gasto ejecutado?</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</si>
  <si>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</si>
  <si>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</si>
  <si>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</si>
  <si>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</si>
  <si>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</si>
  <si>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</si>
  <si>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</si>
  <si>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</si>
  <si>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</si>
  <si>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</si>
  <si>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</si>
  <si>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</si>
  <si>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VIH/SIDA</t>
  </si>
  <si>
    <t>Efavirenz 600 mg/Emtricitabina 200 mg/tenofovir 300 mg</t>
  </si>
  <si>
    <t>Información de programa:</t>
  </si>
  <si>
    <t xml:space="preserve">     Introduzca los datos de desempeño en todas las celdas amarillas.</t>
  </si>
  <si>
    <t>Indicadores de programa (Marco de Referencia)</t>
  </si>
  <si>
    <t>Código</t>
  </si>
  <si>
    <t>¿Directamente vinculados?</t>
  </si>
  <si>
    <t>Comentarios</t>
  </si>
  <si>
    <t>3 PRIMEROS</t>
  </si>
  <si>
    <t>TCS-1 Número y porcentaje de adultos y niños elegible que actualmente recibe terapia antirretroviral</t>
  </si>
  <si>
    <t>Top Ten</t>
  </si>
  <si>
    <t>Yes</t>
  </si>
  <si>
    <t>Meta</t>
  </si>
  <si>
    <r>
      <t xml:space="preserve">La meta proyectada de usuarios en TAR (10,799) se calculo en base a la cantidad de Personas viviendo con VIH estimadas para el año 2017. 
Para el año 2017 de estas 10799 personas viviendo con VIH, </t>
    </r>
    <r>
      <rPr>
        <b/>
        <sz val="10"/>
        <rFont val="Arial"/>
        <family val="2"/>
      </rPr>
      <t>9,076</t>
    </r>
    <r>
      <rPr>
        <b/>
        <sz val="10"/>
        <color indexed="16"/>
        <rFont val="Arial"/>
        <family val="2"/>
      </rPr>
      <t xml:space="preserve"> </t>
    </r>
    <r>
      <rPr>
        <sz val="10"/>
        <rFont val="Arial"/>
        <family val="2"/>
      </rPr>
      <t>se encuentran recibiendo TAR, debido a que son las que cumplen con los criterios  para inicio de la TAR ( CD4 menor e igual a 500). He de recordar que en el País no existe lista de espera. Para el semestre de enero a junio del presente año hubo retraso en la entrega de los medicamentos Ritonavir (215 pacientes) y Raltegravir (1solo paciente) sin dejar al usuario final desabastecido ya que se realizaron diferentes gestiones para evitar el desabastecimiento, entre ellas: Solicitar préstamos al ISSS  para cubrir la demanda existente. El Ritonavir ingreso el 9/8/2017 y el Raltegravir esta pendiente de ingresar debido a que el proveedor a informado que la liberación del lote esta demorada por el departamento de control de calidad, pero aun hay existencia del préstamo solicitado al ISSS.</t>
    </r>
  </si>
  <si>
    <t xml:space="preserve">Agregar que se ha realizado visita al Hospital San Rafael. </t>
  </si>
  <si>
    <t>Logro</t>
  </si>
  <si>
    <r>
      <t>KP-3</t>
    </r>
    <r>
      <rPr>
        <vertAlign val="superscript"/>
        <sz val="14"/>
        <rFont val="Arial"/>
        <family val="2"/>
      </rPr>
      <t>a</t>
    </r>
    <r>
      <rPr>
        <sz val="14"/>
        <rFont val="Arial"/>
        <family val="2"/>
      </rPr>
      <t xml:space="preserve">  Número y porcentaje de hombres que tienen sexo con hombres que se sometieron a las pruebas y consejería del VIH y que recibieron sus resultados</t>
    </r>
  </si>
  <si>
    <r>
      <t>Meta FM + PEPFAR:</t>
    </r>
    <r>
      <rPr>
        <sz val="10"/>
        <rFont val="Arial"/>
        <family val="2"/>
      </rPr>
      <t xml:space="preserve"> 14,618 personas HSH que se han realizado la prueba de VIH y que conocen sus resultados (</t>
    </r>
    <r>
      <rPr>
        <b/>
        <sz val="10"/>
        <rFont val="Arial"/>
        <family val="2"/>
      </rPr>
      <t>logro Nacional 28%</t>
    </r>
    <r>
      <rPr>
        <sz val="10"/>
        <rFont val="Arial"/>
        <family val="2"/>
      </rPr>
      <t xml:space="preserve">)
</t>
    </r>
    <r>
      <rPr>
        <b/>
        <u val="single"/>
        <sz val="10"/>
        <rFont val="Arial"/>
        <family val="2"/>
      </rPr>
      <t xml:space="preserve">Meta FM: 12,618 </t>
    </r>
    <r>
      <rPr>
        <sz val="10"/>
        <rFont val="Arial"/>
        <family val="2"/>
      </rPr>
      <t xml:space="preserve">HSH a los cuales se les debe hacer la prueba de VIH y deben conocer sus resultados. 
</t>
    </r>
    <r>
      <rPr>
        <b/>
        <u val="single"/>
        <sz val="10"/>
        <rFont val="Arial"/>
        <family val="2"/>
      </rPr>
      <t>Número total de pruebas realizadas FM (PLAN + MINSAL</t>
    </r>
    <r>
      <rPr>
        <b/>
        <sz val="10"/>
        <rFont val="Arial"/>
        <family val="2"/>
      </rPr>
      <t>)= 7513</t>
    </r>
    <r>
      <rPr>
        <sz val="10"/>
        <rFont val="Arial"/>
        <family val="2"/>
      </rPr>
      <t xml:space="preserve"> pruebas realizadas a esta población
</t>
    </r>
    <r>
      <rPr>
        <b/>
        <u val="single"/>
        <sz val="10"/>
        <rFont val="Arial"/>
        <family val="2"/>
      </rPr>
      <t xml:space="preserve">Pruebas realizadas por Unidades Móviles de PLAN: </t>
    </r>
    <r>
      <rPr>
        <sz val="10"/>
        <rFont val="Arial"/>
        <family val="2"/>
      </rPr>
      <t xml:space="preserve"> 5,240 
</t>
    </r>
    <r>
      <rPr>
        <b/>
        <u val="single"/>
        <sz val="10"/>
        <rFont val="Arial"/>
        <family val="2"/>
      </rPr>
      <t>Pruebas realizadas a través de referencia efectivas a UCSF y actividades extramurales:</t>
    </r>
    <r>
      <rPr>
        <b/>
        <sz val="10"/>
        <rFont val="Arial"/>
        <family val="2"/>
      </rPr>
      <t xml:space="preserve"> </t>
    </r>
    <r>
      <rPr>
        <sz val="10"/>
        <rFont val="Arial"/>
        <family val="2"/>
      </rPr>
      <t xml:space="preserve">2,273
</t>
    </r>
    <r>
      <rPr>
        <b/>
        <sz val="10"/>
        <rFont val="Arial"/>
        <family val="2"/>
      </rPr>
      <t xml:space="preserve">
</t>
    </r>
    <r>
      <rPr>
        <b/>
        <u val="single"/>
        <sz val="10"/>
        <color indexed="8"/>
        <rFont val="Arial"/>
        <family val="2"/>
      </rPr>
      <t>Logro FM:</t>
    </r>
    <r>
      <rPr>
        <sz val="10"/>
        <color indexed="8"/>
        <rFont val="Arial"/>
        <family val="2"/>
      </rPr>
      <t xml:space="preserve"> </t>
    </r>
    <r>
      <rPr>
        <b/>
        <sz val="10"/>
        <color indexed="8"/>
        <rFont val="Arial"/>
        <family val="2"/>
      </rPr>
      <t xml:space="preserve">4079/12619= 32.3% </t>
    </r>
    <r>
      <rPr>
        <sz val="10"/>
        <color indexed="8"/>
        <rFont val="Arial"/>
        <family val="2"/>
      </rPr>
      <t xml:space="preserve">de post consejerías registradas, pendiente de recibir producción de PEPFAR.
</t>
    </r>
    <r>
      <rPr>
        <sz val="10"/>
        <rFont val="Arial"/>
        <family val="2"/>
      </rPr>
      <t xml:space="preserve">Post consejerías registradas: 4,079  esto debido a que el SUMEVE ha experimentado modificaciones para poder registrar las post consejerías y los CUIs de los usuarios, estos cambios fueron implementados a nivel de todas las UCSF y hospitales a partir de junio del presente año, lo que ha traído retrasos en la digitación y subregistro de la información. El PNVIH para superar esta situación enviará a los establecimientos de salud memorándum solicitando un barrido administrativo de las post consejerías con el fin de rescatar la información en el SUMEVE. Por lo tanto la información brindada en este Tablero de Mando es preliminar. </t>
    </r>
  </si>
  <si>
    <t>KP-3c Número y porcentaje de trabajadores sexuales que se sometieron a las pruebas y consejería del VIH y que recibieron sus resultados</t>
  </si>
  <si>
    <t xml:space="preserve"> Top Ten</t>
  </si>
  <si>
    <r>
      <t xml:space="preserve">Meta FM + PEPFAR: </t>
    </r>
    <r>
      <rPr>
        <b/>
        <sz val="10"/>
        <rFont val="Arial"/>
        <family val="2"/>
      </rPr>
      <t>7264</t>
    </r>
    <r>
      <rPr>
        <sz val="10"/>
        <rFont val="Arial"/>
        <family val="2"/>
      </rPr>
      <t xml:space="preserve"> MTS que se han realizado la prueba y que conocen sus resultados. 
</t>
    </r>
    <r>
      <rPr>
        <b/>
        <u val="single"/>
        <sz val="10"/>
        <rFont val="Arial"/>
        <family val="2"/>
      </rPr>
      <t>Meta FM:</t>
    </r>
    <r>
      <rPr>
        <sz val="10"/>
        <rFont val="Arial"/>
        <family val="2"/>
      </rPr>
      <t xml:space="preserve">  aporta el 94% equivalente a</t>
    </r>
    <r>
      <rPr>
        <b/>
        <sz val="10"/>
        <rFont val="Arial"/>
        <family val="2"/>
      </rPr>
      <t xml:space="preserve"> 6,798 </t>
    </r>
    <r>
      <rPr>
        <sz val="10"/>
        <rFont val="Arial"/>
        <family val="2"/>
      </rPr>
      <t>pruebas con post consejerías para esta población. (</t>
    </r>
    <r>
      <rPr>
        <b/>
        <sz val="10"/>
        <rFont val="Arial"/>
        <family val="2"/>
      </rPr>
      <t>logro Nacional 45%</t>
    </r>
    <r>
      <rPr>
        <sz val="10"/>
        <rFont val="Arial"/>
        <family val="2"/>
      </rPr>
      <t xml:space="preserve">)
</t>
    </r>
    <r>
      <rPr>
        <b/>
        <u val="single"/>
        <sz val="10"/>
        <rFont val="Arial"/>
        <family val="2"/>
      </rPr>
      <t xml:space="preserve">Número total de pruebas realizadas por FM (PLAN + MINSAL)=  </t>
    </r>
    <r>
      <rPr>
        <b/>
        <sz val="10"/>
        <rFont val="Arial"/>
        <family val="2"/>
      </rPr>
      <t>4,705</t>
    </r>
    <r>
      <rPr>
        <sz val="10"/>
        <rFont val="Arial"/>
        <family val="2"/>
      </rPr>
      <t xml:space="preserve"> pruebas 
</t>
    </r>
    <r>
      <rPr>
        <b/>
        <u val="single"/>
        <sz val="10"/>
        <rFont val="Arial"/>
        <family val="2"/>
      </rPr>
      <t>Pruebas realizadas por Unidades Móviles de PLAN:</t>
    </r>
    <r>
      <rPr>
        <sz val="10"/>
        <rFont val="Arial"/>
        <family val="2"/>
      </rPr>
      <t xml:space="preserve"> </t>
    </r>
    <r>
      <rPr>
        <b/>
        <sz val="10"/>
        <rFont val="Arial"/>
        <family val="2"/>
      </rPr>
      <t>2834</t>
    </r>
    <r>
      <rPr>
        <sz val="10"/>
        <rFont val="Arial"/>
        <family val="2"/>
      </rPr>
      <t xml:space="preserve"> pruebas
</t>
    </r>
    <r>
      <rPr>
        <b/>
        <u val="single"/>
        <sz val="10"/>
        <rFont val="Arial"/>
        <family val="2"/>
      </rPr>
      <t>Pruebas realizadas a través de referencias efectivas a UCSF+ actividades extramurales:</t>
    </r>
    <r>
      <rPr>
        <sz val="10"/>
        <rFont val="Arial"/>
        <family val="2"/>
      </rPr>
      <t xml:space="preserve"> </t>
    </r>
    <r>
      <rPr>
        <b/>
        <sz val="10"/>
        <rFont val="Arial"/>
        <family val="2"/>
      </rPr>
      <t xml:space="preserve">1,871 </t>
    </r>
    <r>
      <rPr>
        <sz val="10"/>
        <rFont val="Arial"/>
        <family val="2"/>
      </rPr>
      <t xml:space="preserve">pruebas
</t>
    </r>
    <r>
      <rPr>
        <b/>
        <u val="single"/>
        <sz val="10"/>
        <rFont val="Arial"/>
        <family val="2"/>
      </rPr>
      <t>Logro FM</t>
    </r>
    <r>
      <rPr>
        <b/>
        <sz val="10"/>
        <rFont val="Arial"/>
        <family val="2"/>
      </rPr>
      <t xml:space="preserve">: 3242/6798= 48% </t>
    </r>
    <r>
      <rPr>
        <sz val="10"/>
        <rFont val="Arial"/>
        <family val="2"/>
      </rPr>
      <t xml:space="preserve">de post consejerías registradas, pendiente recibir producción de PEPFAR
</t>
    </r>
    <r>
      <rPr>
        <b/>
        <sz val="10"/>
        <rFont val="Arial"/>
        <family val="2"/>
      </rPr>
      <t xml:space="preserve">
</t>
    </r>
    <r>
      <rPr>
        <sz val="10"/>
        <rFont val="Arial"/>
        <family val="2"/>
      </rPr>
      <t>Esto debido a que el SUMEVE ha experimentado modificaciones para poder registrar las post consejerías y los CUIs de los usuarios, estos cambios fueron implementados a nivel de todas las UCSF y hospitales a partir de junio del presente año, lo que ha traído retrasos en la digitación y subregistro de la misma. El PNVIH para superar esta situación enviará a los establecimientos de salud memorándum solicitando un barrido administrativo de las post consejerías con el fin de rescatar la información en el SUMEVE. Por lo tanto la información brindada en este Tablero de Mando es preliminar. Pendiente de recibir producción de PEPFAR</t>
    </r>
  </si>
  <si>
    <t>KP-3b Número y porcentaje de personas transgénero que se sometieron a las pruebas y consejería del VIH y que recibieron sus resultados</t>
  </si>
  <si>
    <r>
      <t>Meta 100% FM:</t>
    </r>
    <r>
      <rPr>
        <b/>
        <sz val="10"/>
        <rFont val="Arial"/>
        <family val="2"/>
      </rPr>
      <t xml:space="preserve"> 1126  </t>
    </r>
    <r>
      <rPr>
        <sz val="10"/>
        <rFont val="Arial"/>
        <family val="2"/>
      </rPr>
      <t xml:space="preserve">Trans que se han realizado la prueba y que han recibido post consejerías.
</t>
    </r>
    <r>
      <rPr>
        <b/>
        <u val="single"/>
        <sz val="10"/>
        <rFont val="Arial"/>
        <family val="2"/>
      </rPr>
      <t>Total de pruebas realizadas:</t>
    </r>
    <r>
      <rPr>
        <b/>
        <sz val="10"/>
        <rFont val="Arial"/>
        <family val="2"/>
      </rPr>
      <t xml:space="preserve"> 421
</t>
    </r>
    <r>
      <rPr>
        <b/>
        <u val="single"/>
        <sz val="10"/>
        <rFont val="Arial"/>
        <family val="2"/>
      </rPr>
      <t>Pruebas realizadas con Unidades móviles de PLAN:</t>
    </r>
    <r>
      <rPr>
        <b/>
        <sz val="10"/>
        <rFont val="Arial"/>
        <family val="2"/>
      </rPr>
      <t xml:space="preserve"> 341
</t>
    </r>
    <r>
      <rPr>
        <b/>
        <u val="single"/>
        <sz val="10"/>
        <rFont val="Arial"/>
        <family val="2"/>
      </rPr>
      <t xml:space="preserve">Pruebas realizadas a través de referencias efectivas a UCSF y actividades extramurales: </t>
    </r>
    <r>
      <rPr>
        <b/>
        <sz val="10"/>
        <rFont val="Arial"/>
        <family val="2"/>
      </rPr>
      <t xml:space="preserve">80
</t>
    </r>
    <r>
      <rPr>
        <b/>
        <u val="single"/>
        <sz val="10"/>
        <rFont val="Arial"/>
        <family val="2"/>
      </rPr>
      <t>Logro:</t>
    </r>
    <r>
      <rPr>
        <b/>
        <sz val="10"/>
        <rFont val="Arial"/>
        <family val="2"/>
      </rPr>
      <t xml:space="preserve"> 399/1126=  logro Nacional 35%</t>
    </r>
    <r>
      <rPr>
        <sz val="10"/>
        <rFont val="Arial"/>
        <family val="2"/>
      </rPr>
      <t xml:space="preserve"> post consejerías registradas.
A la fecha el SUMEVE registra que para esta población se ha realizado 421 pruebas de las cuales solo se tiene registradas 399 post consejerías, esto debido a que el SUMEVE ha experimentado modificaciones parta poder registrar las post consejerías y los CUIs de los usuarios, estos cambios fueron implementados a nivel de todas las UCSF y hospitales a partir de junio del presente año, lo que ha traído retrasos en la digitación y subregistro de la misma. El PNVIH para superar esta situación enviará a los establecimientos de salud memorándum solicitando un barrido administrativo de las post consejerías con el fin de rescatar la información en el SUMEVE. Por lo tanto la información brindada en este Tablero de Mando es preliminar.</t>
    </r>
  </si>
  <si>
    <t>TCS-3 Porcentaje de adultos y niños los cuales 12 meses despues de haber iniciado la TAR cuentan con una carga viral indetectable (&lt; 1000 copias)</t>
  </si>
  <si>
    <t>Este indicador mide el % de personas que inician tratamiento ARV y que 12 meses después de iniciarlo reporten una CV &lt; 1000 copias entre todas las personas con nuevo diagnostico que tengan aunque sea una CV en los 12 meses del diagnóstico.
La cohorte a presentar para el reporte del año 2017 es la del año 2015, durante este año se diagnosticaron 896 casos nuevos de los cuales 609 contaban con una CV y de estos 497 reportaron una CV &lt; de 1000 copias, obteniendo un logro del 81.6%</t>
  </si>
  <si>
    <t>KP-3e Número de personas privadas de libertad que se sometieron a las pruebas y consejería del VIH y que recibieron sus resultados</t>
  </si>
  <si>
    <t>Dato pendiente aún no se tiene el consolidado debido a los cambios que ha tenido el SUMEVE en la incorporación de las post consejerías.</t>
  </si>
  <si>
    <t>INDICADORES DE IMPACTO Y RESULTADOS</t>
  </si>
  <si>
    <r>
      <t>HIV I-9</t>
    </r>
    <r>
      <rPr>
        <vertAlign val="superscript"/>
        <sz val="14"/>
        <rFont val="Arial"/>
        <family val="2"/>
      </rPr>
      <t>a</t>
    </r>
    <r>
      <rPr>
        <sz val="14"/>
        <rFont val="Arial"/>
        <family val="2"/>
      </rPr>
      <t xml:space="preserve">    % de Hombres que tienen relaciones sexuales con hombres infectados por el VIH </t>
    </r>
  </si>
  <si>
    <t>Impacto</t>
  </si>
  <si>
    <t>Dato pendiente de ser enviado por el PNVIH</t>
  </si>
  <si>
    <t>Este dato se brindará en el próximo Tablero de Mando ya que al sistema SIAP de las VICITS se le esta realizando actualizaciones y depuración. Dato pendiente de ser enviado por el PNVIH Dato pendiente de ser enviado por el PNVIH</t>
  </si>
  <si>
    <t>HIV I-10   % de Trabajadoras sexuales  femeninas y masculinos infectados por el VIH</t>
  </si>
  <si>
    <t>HIV I-9b   % de Población Transgénero infectada por el VIH</t>
  </si>
  <si>
    <r>
      <t>HIV O-4</t>
    </r>
    <r>
      <rPr>
        <vertAlign val="superscript"/>
        <sz val="14"/>
        <rFont val="Arial"/>
        <family val="2"/>
      </rPr>
      <t xml:space="preserve">a  </t>
    </r>
    <r>
      <rPr>
        <sz val="14"/>
        <rFont val="Arial"/>
        <family val="2"/>
      </rPr>
      <t xml:space="preserve"> % de Hombres que reportan haber utilizado condón en su ultima relación sexual anal con una pareja masculina</t>
    </r>
  </si>
  <si>
    <t>Resultados</t>
  </si>
  <si>
    <t>Durante este semestre se han atendido 1014 HSH en las clínicas VICITS de los cuales  646 declararon haber tenido una practica sexual anal, de estos 354 declararon haber usado un condón en la ultima relación anal con otro hombre, alcanzando un logro del 55% con respecto a la población que declaro tener una practica anal.</t>
  </si>
  <si>
    <t xml:space="preserve">HIV O-4b % de personas transgénero que practican el trabajo sexual que reporta haber utilizado condón con su último cliente </t>
  </si>
  <si>
    <t xml:space="preserve">Resultados </t>
  </si>
  <si>
    <t>La meta para este indicador (44%) fue establecida a partir de la línea de base de año 2016 (42%)
Durante este semestre se han atendido 259 Mujeres trans  en las clínicas VICITS  de las cuales 75 declaran ejercer el trabajo sexual y de estas  65 refirieron haber utilizado un condón con su último cliente, alcanzando un logro del  86%.</t>
  </si>
  <si>
    <t>De las 625 TS atendidas durante el período de enero a junio 2017, 604 declararon haber utilizado un condón con su último cliente, alcanzando un logro del 97%</t>
  </si>
  <si>
    <t xml:space="preserve">HIV O-5   % de Trabajadoras del sexo que practican el trabajo sexual que reporta haber utilizado condón con su último cliente </t>
  </si>
  <si>
    <t>HIV O-1: % de adultos y niños con VIH quienes continúan en tratamiento 12 meses después de haber iniciado la terapia</t>
  </si>
  <si>
    <r>
      <t>Meta</t>
    </r>
    <r>
      <rPr>
        <sz val="10"/>
        <rFont val="Arial"/>
        <family val="2"/>
      </rPr>
      <t xml:space="preserve">: 85%
</t>
    </r>
    <r>
      <rPr>
        <b/>
        <u val="single"/>
        <sz val="10"/>
        <rFont val="Arial"/>
        <family val="2"/>
      </rPr>
      <t>Logro</t>
    </r>
    <r>
      <rPr>
        <sz val="10"/>
        <rFont val="Arial"/>
        <family val="2"/>
      </rPr>
      <t>: 76.9%
Durante el período de la cohorte de enero a diciembre 2016 iniciaron TAR 981 usuarios de los cuales 752 han permanecido en terapia hasta la fecha ya que el cohorte de este indicador llega hasta diciembre 2017, obteniendo un resultado preliminar de un 76.9%</t>
    </r>
  </si>
  <si>
    <t xml:space="preserve"> </t>
  </si>
  <si>
    <t>Fecha de inicio:</t>
  </si>
  <si>
    <t>Financiación total</t>
  </si>
  <si>
    <t>Receptor principal:</t>
  </si>
  <si>
    <t>Periodo de referencia:</t>
  </si>
  <si>
    <t>desde:</t>
  </si>
  <si>
    <t>hasta:</t>
  </si>
  <si>
    <t>Última calificación:</t>
  </si>
  <si>
    <t>Fecha de elaboración del informe:</t>
  </si>
  <si>
    <t>Indicadores financieros</t>
  </si>
  <si>
    <t>Comentarios:</t>
  </si>
  <si>
    <t xml:space="preserve">El presupuesto aprobado por Fondo Mundial para el semestre enero- dic 2017  es por la cantidad de $1,994,855.00; recibiendo desembolso por la cantidad de $2,477,274.00; esto debido a que han desembolsado $ 482,419.00 como  Colchon para el siguiente trimestre. </t>
  </si>
  <si>
    <t>Al cierre del semestre se observa en la gráfica un gasto del 2%, con un 86% en compromisos en realacion a  $ 1,994,855 del presupuesto semestral,  lo que será cancelado al momento de recibir los productos, reactivos, medicamentos u otros que se encuentran en etapa de compra en UACI</t>
  </si>
  <si>
    <t>Periodo Actual</t>
  </si>
  <si>
    <t>Periodo Anterior</t>
  </si>
  <si>
    <t xml:space="preserve">Comentarios: </t>
  </si>
  <si>
    <t>Al cierre del P1 se observa un gasto del 2% del presupuesto asignado para el P1; debido a que se encuentran en proceso de compras en UACI un 86% del presupuesto ($1,716,064.92)</t>
  </si>
  <si>
    <t>El ciclo de información de esta Subvención es Anual por lo tanto a la fecha no se han remitido ningun reporte al FM</t>
  </si>
  <si>
    <t>Último desembolso de fondos: Días calendario</t>
  </si>
  <si>
    <t>Dos condiciones parcialmente cumplidas: 
1: Absorción de recursos de la cual ya se le envió copia al FM de los contratos de los recursos absorbidos.
2.Actualización del PENM: Actualmente se esta trabajando en la revisión del mismo para poder dar respuesta al FM.
Las Acciones con fecha límite no cumplidas son:
1.Reconciliación de gastos con PNUD
2.Segregación de gastos de PNUD
3.Consolidado de existencias de productos de salud
4. Consolidado de alcance de Productos de Salud
5.Riesgo de ruptura de inventario de ARV</t>
  </si>
  <si>
    <t>Presupuesto aprobado* para el semestre</t>
  </si>
  <si>
    <t>INFORMACION SEMESTRAL ENERO-JUNIO 2017</t>
  </si>
  <si>
    <t>Salud Comunitaria</t>
  </si>
  <si>
    <t>Sistema de Información y Monitoreo y Evaluación</t>
  </si>
  <si>
    <t>Financiamiento de la Salud</t>
  </si>
  <si>
    <t>Programas de prevención para HSH Y TGS</t>
  </si>
  <si>
    <t>Programa de prevención para otras poblaciones vulnerables</t>
  </si>
  <si>
    <t>Programas de prevencion para TS y sus clientes</t>
  </si>
  <si>
    <t>Gestion de Programas</t>
  </si>
  <si>
    <t>TB/VIH (Coinfeccion)</t>
  </si>
  <si>
    <t>Tratamiento, atencion y apoyo</t>
  </si>
  <si>
    <t>De las 200 Mujeres trans atendidas en las clínicas VICITS, 75 confirman ejercer en trabajo sexual y de estas 65 refieren haber utilizado un condón con su último cliente, alcanzando un logro de cobertura mayor del 100% en relación a la meta estimada.
Durante años anteriores este indicador no se reportaba, desde el año pasado durante la entrevista de la historia clínica en las VICITS, se realiza la segregación de cuantas mujeres trans ejercer el TS y a estas se les consulta cuantas han usado el condón con su último cliente, para el año pasado fueron pocas las que habían registradas como TS por lo que la línea de base de este indicador fue del 42%, para este año se ha realizado la segregación y se ha consultado a todas las Trans sobre si practica el TS y si usó condón con su último cliente y es de donde sale el resultado mostrado.
Numerador: Número de mujeres trans que declaran practicar el TS y haber utilizado un condón con su último cliente. (65)
Denominador: Número Total de mujeres Trans que declarar ejercer el TS. (75).
La interpretación del resultado es el siguiente de las 75 mujeres trans que declararon practicar el TS 65 dijeron haber utilizado un condón con su último cliente, esto resulta ser un 86% de las mujeres trans que practican el TS entrevistadas en las clínicas VICITS, notablemente se puede observar que este indicador supera el 100% de la meta establecida (44%) debido a que para la línea de base se utilizo la información con la que se contaba en el sistema al momento de la propuesta.
El instrumento con que se mide este indicador es a través de las preguntas que se realizan durante la historia clínica de las VICITS cuya información es sistematizada en el SIAP</t>
  </si>
  <si>
    <t>Saldo en Caja 
al 30 de junio</t>
  </si>
  <si>
    <t>Desembolsado por el FM</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</si>
</sst>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 \-??_);_(@_)"/>
    <numFmt numFmtId="181" formatCode="_(* #,##0.00_);_(* \(#,##0.00\);_(* \-??_);_(@_)"/>
    <numFmt numFmtId="182" formatCode="_(\Q* #,##0.00_);_(\Q* \(#,##0.00\);_(\Q* \-??_);_(@_)"/>
    <numFmt numFmtId="183" formatCode="d&quot; de &quot;mmm&quot; de &quot;yy"/>
    <numFmt numFmtId="184" formatCode="\Q#,##0_);[Red]&quot;(Q&quot;#,##0\)"/>
    <numFmt numFmtId="185" formatCode="_(* #,##0_);_(* \(#,##0\);_(* \-??_);_(@_)"/>
    <numFmt numFmtId="186" formatCode="\$#,##0"/>
    <numFmt numFmtId="187" formatCode="\$#,##0.00"/>
    <numFmt numFmtId="188" formatCode="#.##0"/>
    <numFmt numFmtId="189" formatCode="[$$-409]#,##0"/>
    <numFmt numFmtId="190" formatCode="_(\$* #,##0.00_);_(\$* \(#,##0.00\);_(\$* \-??_);_(@_)"/>
    <numFmt numFmtId="191" formatCode="#.##000"/>
    <numFmt numFmtId="192" formatCode="_-[$$-240A]* #,##0.00000_-;\-[$$-240A]* #,##0.00000_-;_-[$$-240A]* \-?????_-;_-@_-"/>
    <numFmt numFmtId="193" formatCode="000%"/>
    <numFmt numFmtId="194" formatCode="_-\$* #,##0.00_-;&quot;-$&quot;* #,##0.00_-;_-\$* \-??_-;_-@_-"/>
    <numFmt numFmtId="195" formatCode="_-[$$-240A]* #,##0.00_-;\-[$$-240A]* #,##0.00_-;_-[$$-240A]* \-?????_-;_-@_-"/>
    <numFmt numFmtId="196" formatCode="_-[$$-240A]* #,##0.00_-;\-[$$-240A]* #,##0.00_-;_-[$$-240A]* \-??_-;_-@_-"/>
    <numFmt numFmtId="197" formatCode="\$#,##0.000"/>
    <numFmt numFmtId="198" formatCode="0.0"/>
    <numFmt numFmtId="199" formatCode="#"/>
    <numFmt numFmtId="200" formatCode="#,#00.0%"/>
    <numFmt numFmtId="201" formatCode="#,##0.0"/>
    <numFmt numFmtId="202" formatCode="#,#00.00%"/>
    <numFmt numFmtId="203" formatCode="#,##0.0%"/>
    <numFmt numFmtId="204" formatCode="#,#00%"/>
    <numFmt numFmtId="205" formatCode="#.00"/>
    <numFmt numFmtId="206" formatCode="#.0"/>
    <numFmt numFmtId="207" formatCode="dd/mm/yyyy"/>
    <numFmt numFmtId="208" formatCode="[$$-409]#,##0_);\([$$-409]#,##0\)"/>
    <numFmt numFmtId="209" formatCode="d/mmm/yyyy;@"/>
    <numFmt numFmtId="210" formatCode="dd/mm/yy\ hh:mm"/>
    <numFmt numFmtId="211" formatCode="000"/>
    <numFmt numFmtId="212" formatCode="#,###.0%"/>
    <numFmt numFmtId="213" formatCode=";;;"/>
    <numFmt numFmtId="214" formatCode=";;;&quot;Financial Variance in %&quot;"/>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154">
    <font>
      <sz val="11"/>
      <color indexed="8"/>
      <name val="Calibri"/>
      <family val="2"/>
    </font>
    <font>
      <sz val="10"/>
      <name val="Arial"/>
      <family val="0"/>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sz val="12"/>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sz val="11"/>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color indexed="10"/>
      <name val="Calibri"/>
      <family val="2"/>
    </font>
    <font>
      <b/>
      <sz val="14"/>
      <color indexed="40"/>
      <name val="Calibri"/>
      <family val="2"/>
    </font>
    <font>
      <b/>
      <sz val="14"/>
      <color indexed="44"/>
      <name val="Calibri"/>
      <family val="2"/>
    </font>
    <font>
      <sz val="11"/>
      <color indexed="40"/>
      <name val="Calibri"/>
      <family val="2"/>
    </font>
    <font>
      <b/>
      <sz val="14"/>
      <name val="Calibri"/>
      <family val="2"/>
    </font>
    <font>
      <i/>
      <sz val="11"/>
      <name val="Calibri"/>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sz val="14"/>
      <name val="Arial"/>
      <family val="2"/>
    </font>
    <font>
      <b/>
      <sz val="10"/>
      <color indexed="16"/>
      <name val="Arial"/>
      <family val="2"/>
    </font>
    <font>
      <vertAlign val="superscript"/>
      <sz val="14"/>
      <name val="Arial"/>
      <family val="2"/>
    </font>
    <font>
      <b/>
      <u val="single"/>
      <sz val="10"/>
      <name val="Arial"/>
      <family val="2"/>
    </font>
    <font>
      <b/>
      <u val="single"/>
      <sz val="10"/>
      <color indexed="8"/>
      <name val="Arial"/>
      <family val="2"/>
    </font>
    <font>
      <b/>
      <sz val="10"/>
      <color indexed="8"/>
      <name val="Arial"/>
      <family val="2"/>
    </font>
    <font>
      <sz val="48"/>
      <color indexed="8"/>
      <name val="Calibri"/>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sz val="11"/>
      <color indexed="29"/>
      <name val="Calibri"/>
      <family val="2"/>
    </font>
    <font>
      <b/>
      <sz val="9"/>
      <name val="Calibri"/>
      <family val="2"/>
    </font>
    <font>
      <sz val="12"/>
      <name val="Arial"/>
      <family val="2"/>
    </font>
    <font>
      <sz val="18"/>
      <color indexed="8"/>
      <name val="Calibri"/>
      <family val="2"/>
    </font>
    <font>
      <b/>
      <sz val="12"/>
      <color indexed="16"/>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b/>
      <sz val="10.5"/>
      <color indexed="8"/>
      <name val="Calibri"/>
      <family val="0"/>
    </font>
    <font>
      <sz val="4.6"/>
      <color indexed="8"/>
      <name val="Calibri"/>
      <family val="0"/>
    </font>
    <font>
      <b/>
      <sz val="9"/>
      <color indexed="8"/>
      <name val="Arial"/>
      <family val="0"/>
    </font>
    <font>
      <sz val="8"/>
      <color indexed="8"/>
      <name val="Arial"/>
      <family val="0"/>
    </font>
    <font>
      <sz val="3.05"/>
      <color indexed="8"/>
      <name val="Arial"/>
      <family val="0"/>
    </font>
    <font>
      <b/>
      <sz val="8"/>
      <color indexed="8"/>
      <name val="Arial"/>
      <family val="0"/>
    </font>
    <font>
      <b/>
      <sz val="11"/>
      <color indexed="9"/>
      <name val="Calibri"/>
      <family val="0"/>
    </font>
    <font>
      <sz val="6.75"/>
      <color indexed="8"/>
      <name val="Arial"/>
      <family val="0"/>
    </font>
    <font>
      <sz val="4.25"/>
      <color indexed="8"/>
      <name val="Arial"/>
      <family val="0"/>
    </font>
    <font>
      <sz val="3.15"/>
      <color indexed="8"/>
      <name val="Arial"/>
      <family val="0"/>
    </font>
    <font>
      <b/>
      <sz val="5.5"/>
      <color indexed="8"/>
      <name val="Arial"/>
      <family val="0"/>
    </font>
    <font>
      <sz val="4.75"/>
      <color indexed="8"/>
      <name val="Arial"/>
      <family val="0"/>
    </font>
    <font>
      <sz val="9"/>
      <color indexed="8"/>
      <name val="Calibri"/>
      <family val="0"/>
    </font>
    <font>
      <sz val="5"/>
      <color indexed="8"/>
      <name val="Calibri"/>
      <family val="0"/>
    </font>
    <font>
      <sz val="11"/>
      <color indexed="17"/>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b/>
      <sz val="11"/>
      <color indexed="63"/>
      <name val="Calibri"/>
      <family val="2"/>
    </font>
    <font>
      <i/>
      <sz val="11"/>
      <color indexed="23"/>
      <name val="Calibri"/>
      <family val="2"/>
    </font>
    <font>
      <b/>
      <sz val="18"/>
      <color indexed="54"/>
      <name val="Cambria"/>
      <family val="2"/>
    </font>
    <font>
      <b/>
      <sz val="13"/>
      <color indexed="54"/>
      <name val="Calibri"/>
      <family val="2"/>
    </font>
    <font>
      <sz val="12"/>
      <color indexed="28"/>
      <name val="Arial"/>
      <family val="2"/>
    </font>
    <font>
      <sz val="9.6"/>
      <color indexed="8"/>
      <name val="Arial"/>
      <family val="0"/>
    </font>
    <font>
      <sz val="7"/>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222222"/>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25"/>
        <bgColor indexed="64"/>
      </patternFill>
    </fill>
    <fill>
      <patternFill patternType="solid">
        <fgColor indexed="42"/>
        <bgColor indexed="64"/>
      </patternFill>
    </fill>
    <fill>
      <patternFill patternType="solid">
        <fgColor theme="4" tint="0.7999799847602844"/>
        <bgColor indexed="64"/>
      </patternFill>
    </fill>
    <fill>
      <patternFill patternType="solid">
        <fgColor indexed="18"/>
        <bgColor indexed="64"/>
      </patternFill>
    </fill>
    <fill>
      <patternFill patternType="solid">
        <fgColor indexed="62"/>
        <bgColor indexed="64"/>
      </patternFill>
    </fill>
    <fill>
      <patternFill patternType="solid">
        <fgColor indexed="57"/>
        <bgColor indexed="64"/>
      </patternFill>
    </fill>
    <fill>
      <patternFill patternType="solid">
        <fgColor indexed="61"/>
        <bgColor indexed="64"/>
      </patternFill>
    </fill>
    <fill>
      <patternFill patternType="solid">
        <fgColor theme="4" tint="0.39998000860214233"/>
        <bgColor indexed="64"/>
      </patternFill>
    </fill>
    <fill>
      <patternFill patternType="solid">
        <fgColor theme="4" tint="0.5999900102615356"/>
        <bgColor indexed="64"/>
      </patternFill>
    </fill>
  </fills>
  <borders count="1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style="thin">
        <color indexed="32"/>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style="medium">
        <color indexed="32"/>
      </left>
      <right style="thin">
        <color indexed="32"/>
      </right>
      <top style="medium">
        <color indexed="32"/>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58"/>
      </left>
      <right style="thin">
        <color indexed="58"/>
      </right>
      <top style="thin">
        <color indexed="58"/>
      </top>
      <bottom style="thin">
        <color indexed="58"/>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thin">
        <color indexed="16"/>
      </left>
      <right style="medium">
        <color indexed="51"/>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style="thin">
        <color indexed="32"/>
      </bottom>
    </border>
    <border>
      <left style="thin">
        <color indexed="28"/>
      </left>
      <right style="thin">
        <color indexed="28"/>
      </right>
      <top style="thin">
        <color indexed="28"/>
      </top>
      <bottom style="thin">
        <color indexed="28"/>
      </bottom>
    </border>
    <border>
      <left style="thin">
        <color indexed="32"/>
      </left>
      <right style="medium">
        <color indexed="51"/>
      </right>
      <top style="thin">
        <color indexed="32"/>
      </top>
      <bottom style="thin">
        <color indexed="32"/>
      </bottom>
    </border>
    <border>
      <left style="medium">
        <color indexed="51"/>
      </left>
      <right style="medium">
        <color indexed="51"/>
      </right>
      <top style="thin">
        <color indexed="32"/>
      </top>
      <bottom style="medium">
        <color indexed="51"/>
      </bottom>
    </border>
    <border>
      <left style="thin">
        <color indexed="32"/>
      </left>
      <right style="thin">
        <color indexed="32"/>
      </right>
      <top style="thin">
        <color indexed="32"/>
      </top>
      <bottom style="medium">
        <color indexed="51"/>
      </bottom>
    </border>
    <border>
      <left style="thin">
        <color indexed="32"/>
      </left>
      <right style="medium">
        <color indexed="51"/>
      </right>
      <top style="thin">
        <color indexed="32"/>
      </top>
      <bottom style="medium">
        <color indexed="51"/>
      </bottom>
    </border>
    <border>
      <left style="thin">
        <color indexed="28"/>
      </left>
      <right style="thin">
        <color indexed="28"/>
      </right>
      <top style="thin">
        <color indexed="2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style="thin">
        <color indexed="28"/>
      </left>
      <right>
        <color indexed="63"/>
      </right>
      <top style="thin">
        <color indexed="28"/>
      </top>
      <bottom style="thin">
        <color indexed="28"/>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hair">
        <color indexed="8"/>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60"/>
      </left>
      <right style="thin">
        <color indexed="60"/>
      </right>
      <top style="medium"/>
      <bottom style="thin">
        <color indexed="60"/>
      </bottom>
    </border>
    <border>
      <left style="thin">
        <color indexed="60"/>
      </left>
      <right style="medium"/>
      <top style="medium"/>
      <bottom style="thin">
        <color indexed="60"/>
      </bottom>
    </border>
    <border>
      <left style="medium"/>
      <right style="thin">
        <color indexed="60"/>
      </right>
      <top style="thin">
        <color indexed="60"/>
      </top>
      <bottom style="thin">
        <color indexed="60"/>
      </bottom>
    </border>
    <border>
      <left style="thin">
        <color indexed="32"/>
      </left>
      <right style="medium"/>
      <top style="thin">
        <color indexed="32"/>
      </top>
      <bottom style="thin">
        <color indexed="32"/>
      </bottom>
    </border>
    <border>
      <left style="medium"/>
      <right style="thin">
        <color indexed="60"/>
      </right>
      <top style="thin">
        <color indexed="60"/>
      </top>
      <bottom style="medium"/>
    </border>
    <border>
      <left style="thin">
        <color indexed="60"/>
      </left>
      <right style="thin">
        <color indexed="60"/>
      </right>
      <top style="thin">
        <color indexed="60"/>
      </top>
      <bottom style="medium"/>
    </border>
    <border>
      <left style="medium"/>
      <right style="thin">
        <color indexed="60"/>
      </right>
      <top style="medium"/>
      <bottom style="thin">
        <color indexed="60"/>
      </bottom>
    </border>
    <border>
      <left style="medium">
        <color rgb="FFF5F5F5"/>
      </left>
      <right style="medium">
        <color rgb="FFF5F5F5"/>
      </right>
      <top style="medium">
        <color rgb="FFF5F5F5"/>
      </top>
      <bottom style="medium">
        <color rgb="FFF5F5F5"/>
      </bottom>
    </border>
    <border>
      <left>
        <color indexed="63"/>
      </left>
      <right>
        <color indexed="63"/>
      </right>
      <top style="thin">
        <color indexed="32"/>
      </top>
      <bottom>
        <color indexed="63"/>
      </bottom>
    </border>
    <border>
      <left style="thin">
        <color indexed="32"/>
      </left>
      <right style="thin">
        <color indexed="32"/>
      </right>
      <top style="thin">
        <color indexed="32"/>
      </top>
      <bottom>
        <color indexed="63"/>
      </bottom>
    </border>
    <border>
      <left style="thin">
        <color indexed="32"/>
      </left>
      <right style="thin">
        <color indexed="32"/>
      </right>
      <top>
        <color indexed="63"/>
      </top>
      <bottom>
        <color indexed="63"/>
      </bottom>
    </border>
    <border>
      <left>
        <color indexed="63"/>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16"/>
      </left>
      <right style="medium">
        <color indexed="16"/>
      </right>
      <top style="thin">
        <color indexed="16"/>
      </top>
      <bottom style="medium">
        <color indexed="16"/>
      </bottom>
    </border>
    <border>
      <left style="medium">
        <color indexed="32"/>
      </left>
      <right style="medium">
        <color indexed="32"/>
      </right>
      <top style="medium">
        <color indexed="32"/>
      </top>
      <bottom style="medium">
        <color indexed="32"/>
      </bottom>
    </border>
    <border>
      <left>
        <color indexed="63"/>
      </left>
      <right style="medium">
        <color indexed="51"/>
      </right>
      <top>
        <color indexed="63"/>
      </top>
      <bottom>
        <color indexed="63"/>
      </bottom>
    </border>
    <border>
      <left style="medium">
        <color indexed="51"/>
      </left>
      <right style="medium">
        <color indexed="51"/>
      </right>
      <top style="thin">
        <color indexed="32"/>
      </top>
      <bottom style="thin">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color indexed="63"/>
      </bottom>
    </border>
    <border>
      <left style="medium">
        <color indexed="51"/>
      </left>
      <right style="thin">
        <color indexed="32"/>
      </right>
      <top style="thin">
        <color indexed="32"/>
      </top>
      <bottom>
        <color indexed="63"/>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style="thin">
        <color indexed="32"/>
      </top>
      <bottom style="thin">
        <color indexed="32"/>
      </bottom>
    </border>
    <border>
      <left style="thin">
        <color indexed="32"/>
      </left>
      <right style="thin">
        <color indexed="32"/>
      </right>
      <top style="thin">
        <color indexed="32"/>
      </top>
      <bottom style="medium">
        <color indexed="32"/>
      </bottom>
    </border>
    <border>
      <left style="thin">
        <color indexed="32"/>
      </left>
      <right>
        <color indexed="63"/>
      </right>
      <top>
        <color indexed="63"/>
      </top>
      <bottom style="thin">
        <color indexed="32"/>
      </bottom>
    </border>
    <border>
      <left>
        <color indexed="63"/>
      </left>
      <right style="medium">
        <color indexed="60"/>
      </right>
      <top style="hair">
        <color indexed="23"/>
      </top>
      <bottom style="hair">
        <color indexed="23"/>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style="medium">
        <color indexed="60"/>
      </left>
      <right style="medium">
        <color indexed="60"/>
      </right>
      <top>
        <color indexed="63"/>
      </top>
      <bottom style="hair">
        <color indexed="32"/>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color indexed="63"/>
      </left>
      <right style="medium">
        <color indexed="52"/>
      </right>
      <top>
        <color indexed="63"/>
      </top>
      <bottom>
        <color indexed="63"/>
      </bottom>
    </border>
    <border>
      <left style="medium">
        <color indexed="51"/>
      </left>
      <right style="medium">
        <color indexed="51"/>
      </right>
      <top style="hair">
        <color indexed="51"/>
      </top>
      <bottom style="medium">
        <color indexed="51"/>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color indexed="63"/>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135" fillId="3" borderId="0" applyNumberFormat="0" applyBorder="0" applyAlignment="0" applyProtection="0"/>
    <xf numFmtId="0" fontId="135" fillId="4" borderId="0" applyNumberFormat="0" applyBorder="0" applyAlignment="0" applyProtection="0"/>
    <xf numFmtId="0" fontId="135" fillId="5" borderId="0" applyNumberFormat="0" applyBorder="0" applyAlignment="0" applyProtection="0"/>
    <xf numFmtId="0" fontId="135" fillId="6"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7" fillId="20" borderId="0" applyNumberFormat="0" applyBorder="0" applyAlignment="0" applyProtection="0"/>
    <xf numFmtId="0" fontId="138" fillId="21" borderId="1" applyNumberFormat="0" applyAlignment="0" applyProtection="0"/>
    <xf numFmtId="0" fontId="139" fillId="22" borderId="2" applyNumberFormat="0" applyAlignment="0" applyProtection="0"/>
    <xf numFmtId="0" fontId="140" fillId="0" borderId="3" applyNumberFormat="0" applyFill="0" applyAlignment="0" applyProtection="0"/>
    <xf numFmtId="0" fontId="141" fillId="0" borderId="4" applyNumberFormat="0" applyFill="0" applyAlignment="0" applyProtection="0"/>
    <xf numFmtId="0" fontId="142" fillId="0" borderId="0" applyNumberFormat="0" applyFill="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6" fillId="26" borderId="0" applyNumberFormat="0" applyBorder="0" applyAlignment="0" applyProtection="0"/>
    <xf numFmtId="0" fontId="136" fillId="27" borderId="0" applyNumberFormat="0" applyBorder="0" applyAlignment="0" applyProtection="0"/>
    <xf numFmtId="0" fontId="136" fillId="28" borderId="0" applyNumberFormat="0" applyBorder="0" applyAlignment="0" applyProtection="0"/>
    <xf numFmtId="0" fontId="143" fillId="29" borderId="1" applyNumberFormat="0" applyAlignment="0" applyProtection="0"/>
    <xf numFmtId="180" fontId="0" fillId="0" borderId="0" applyFill="0" applyBorder="0" applyAlignment="0" applyProtection="0"/>
    <xf numFmtId="0" fontId="144" fillId="30" borderId="0" applyNumberFormat="0" applyBorder="0" applyAlignment="0" applyProtection="0"/>
    <xf numFmtId="181" fontId="0" fillId="0" borderId="0" applyFill="0" applyBorder="0" applyAlignment="0" applyProtection="0"/>
    <xf numFmtId="177" fontId="1" fillId="0" borderId="0" applyFill="0" applyBorder="0" applyAlignment="0" applyProtection="0"/>
    <xf numFmtId="181" fontId="1" fillId="0" borderId="0" applyFill="0" applyBorder="0" applyAlignment="0" applyProtection="0"/>
    <xf numFmtId="182" fontId="0" fillId="0" borderId="0" applyFill="0" applyBorder="0" applyAlignment="0" applyProtection="0"/>
    <xf numFmtId="176" fontId="1" fillId="0" borderId="0" applyFill="0" applyBorder="0" applyAlignment="0" applyProtection="0"/>
    <xf numFmtId="0" fontId="145" fillId="31" borderId="0" applyNumberFormat="0" applyBorder="0" applyAlignment="0" applyProtection="0"/>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0" fontId="146" fillId="21" borderId="6" applyNumberFormat="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7" applyNumberFormat="0" applyFill="0" applyAlignment="0" applyProtection="0"/>
    <xf numFmtId="0" fontId="142" fillId="0" borderId="8"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51" fillId="0" borderId="10" applyNumberFormat="0" applyFill="0" applyAlignment="0" applyProtection="0"/>
  </cellStyleXfs>
  <cellXfs count="669">
    <xf numFmtId="0" fontId="0" fillId="0" borderId="0" xfId="0" applyAlignment="1">
      <alignment/>
    </xf>
    <xf numFmtId="181" fontId="3" fillId="0" borderId="0" xfId="63" applyFont="1" applyFill="1" applyAlignment="1">
      <alignment vertical="center"/>
      <protection/>
    </xf>
    <xf numFmtId="0" fontId="5" fillId="0" borderId="0" xfId="0" applyFont="1" applyAlignment="1">
      <alignment/>
    </xf>
    <xf numFmtId="181" fontId="5" fillId="0" borderId="0" xfId="0" applyNumberFormat="1" applyFont="1" applyAlignment="1">
      <alignment/>
    </xf>
    <xf numFmtId="181" fontId="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1" fontId="2" fillId="0" borderId="0" xfId="62" applyFont="1" applyFill="1" applyAlignment="1" applyProtection="1">
      <alignment horizontal="center" vertical="center"/>
      <protection/>
    </xf>
    <xf numFmtId="181" fontId="3" fillId="0" borderId="0" xfId="62" applyFont="1" applyFill="1" applyAlignment="1" applyProtection="1">
      <alignment vertical="center"/>
      <protection/>
    </xf>
    <xf numFmtId="0" fontId="16" fillId="0" borderId="0" xfId="0" applyFont="1" applyAlignment="1">
      <alignment/>
    </xf>
    <xf numFmtId="0" fontId="0" fillId="0" borderId="0" xfId="0" applyBorder="1" applyAlignment="1">
      <alignment/>
    </xf>
    <xf numFmtId="0" fontId="16" fillId="0" borderId="0" xfId="0" applyFont="1" applyBorder="1" applyAlignment="1">
      <alignment/>
    </xf>
    <xf numFmtId="0" fontId="0" fillId="0" borderId="0" xfId="0" applyBorder="1" applyAlignment="1">
      <alignment horizontal="center"/>
    </xf>
    <xf numFmtId="0" fontId="19" fillId="0" borderId="0" xfId="0" applyFont="1" applyFill="1" applyAlignment="1">
      <alignment/>
    </xf>
    <xf numFmtId="0" fontId="0" fillId="0" borderId="0" xfId="0" applyFont="1" applyAlignment="1">
      <alignment/>
    </xf>
    <xf numFmtId="0" fontId="9" fillId="33" borderId="11" xfId="0" applyFont="1" applyFill="1" applyBorder="1" applyAlignment="1">
      <alignment horizontal="justify" vertical="center" wrapText="1"/>
    </xf>
    <xf numFmtId="0" fontId="14" fillId="33" borderId="12" xfId="0" applyFont="1" applyFill="1" applyBorder="1" applyAlignment="1">
      <alignment horizontal="justify" vertical="center" wrapText="1"/>
    </xf>
    <xf numFmtId="0" fontId="14" fillId="33" borderId="13" xfId="0" applyFont="1" applyFill="1" applyBorder="1" applyAlignment="1">
      <alignment horizontal="justify"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justify" vertical="center" wrapText="1"/>
      <protection locked="0"/>
    </xf>
    <xf numFmtId="0" fontId="14" fillId="0" borderId="12" xfId="0" applyFont="1" applyBorder="1" applyAlignment="1" applyProtection="1">
      <alignment horizontal="justify" vertical="center" wrapText="1"/>
      <protection locked="0"/>
    </xf>
    <xf numFmtId="0" fontId="14" fillId="0" borderId="13" xfId="0" applyFont="1" applyBorder="1" applyAlignment="1" applyProtection="1">
      <alignment horizontal="justify" vertical="center" wrapText="1"/>
      <protection locked="0"/>
    </xf>
    <xf numFmtId="0" fontId="13" fillId="0" borderId="11" xfId="0" applyFont="1" applyBorder="1" applyAlignment="1">
      <alignment vertical="center" wrapText="1"/>
    </xf>
    <xf numFmtId="0" fontId="13" fillId="0" borderId="12" xfId="0" applyFont="1" applyBorder="1" applyAlignment="1">
      <alignment vertical="center" wrapText="1"/>
    </xf>
    <xf numFmtId="0" fontId="9" fillId="0" borderId="12" xfId="0" applyFont="1" applyBorder="1" applyAlignment="1">
      <alignment horizontal="justify" vertical="center" wrapText="1"/>
    </xf>
    <xf numFmtId="0" fontId="14"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1" xfId="0" applyFont="1" applyBorder="1" applyAlignment="1">
      <alignment horizontal="justify" vertical="center" wrapText="1"/>
    </xf>
    <xf numFmtId="181" fontId="25" fillId="0" borderId="0" xfId="54" applyFont="1" applyFill="1" applyAlignment="1" applyProtection="1">
      <alignment vertical="center"/>
      <protection/>
    </xf>
    <xf numFmtId="181" fontId="26" fillId="0" borderId="0" xfId="0" applyNumberFormat="1" applyFont="1" applyAlignment="1" applyProtection="1">
      <alignment horizontal="right"/>
      <protection/>
    </xf>
    <xf numFmtId="181" fontId="0" fillId="0" borderId="14" xfId="0" applyNumberFormat="1" applyFont="1" applyBorder="1" applyAlignment="1" applyProtection="1">
      <alignment horizontal="center"/>
      <protection locked="0"/>
    </xf>
    <xf numFmtId="181" fontId="26" fillId="0" borderId="0" xfId="0" applyNumberFormat="1" applyFont="1" applyBorder="1" applyAlignment="1" applyProtection="1">
      <alignment horizontal="right"/>
      <protection/>
    </xf>
    <xf numFmtId="0" fontId="26" fillId="0" borderId="0" xfId="0" applyFont="1" applyAlignment="1" applyProtection="1">
      <alignment horizontal="right"/>
      <protection/>
    </xf>
    <xf numFmtId="0" fontId="26" fillId="0" borderId="0" xfId="0" applyFont="1" applyAlignment="1" applyProtection="1">
      <alignment/>
      <protection/>
    </xf>
    <xf numFmtId="49" fontId="26" fillId="0" borderId="0" xfId="0" applyNumberFormat="1" applyFont="1" applyAlignment="1" applyProtection="1">
      <alignment horizontal="right"/>
      <protection/>
    </xf>
    <xf numFmtId="0" fontId="26" fillId="0" borderId="0" xfId="0" applyFont="1" applyBorder="1" applyAlignment="1" applyProtection="1">
      <alignment/>
      <protection/>
    </xf>
    <xf numFmtId="183" fontId="0" fillId="0" borderId="0" xfId="0" applyNumberFormat="1" applyAlignment="1" applyProtection="1">
      <alignment/>
      <protection/>
    </xf>
    <xf numFmtId="183" fontId="0" fillId="0" borderId="14" xfId="88" applyNumberFormat="1" applyFont="1" applyFill="1" applyBorder="1" applyAlignment="1" applyProtection="1">
      <alignment horizontal="center"/>
      <protection locked="0"/>
    </xf>
    <xf numFmtId="181" fontId="26" fillId="0" borderId="15" xfId="0" applyNumberFormat="1" applyFont="1" applyBorder="1" applyAlignment="1" applyProtection="1">
      <alignment horizontal="right"/>
      <protection/>
    </xf>
    <xf numFmtId="0" fontId="0" fillId="0" borderId="0" xfId="0" applyBorder="1" applyAlignment="1" applyProtection="1">
      <alignment/>
      <protection/>
    </xf>
    <xf numFmtId="181" fontId="26" fillId="0" borderId="0" xfId="0" applyNumberFormat="1" applyFont="1" applyAlignment="1" applyProtection="1">
      <alignment/>
      <protection/>
    </xf>
    <xf numFmtId="0" fontId="0" fillId="0" borderId="0" xfId="0" applyAlignment="1" applyProtection="1">
      <alignment/>
      <protection/>
    </xf>
    <xf numFmtId="0" fontId="0" fillId="34" borderId="14" xfId="0" applyFill="1" applyBorder="1" applyAlignment="1" applyProtection="1">
      <alignment/>
      <protection/>
    </xf>
    <xf numFmtId="0" fontId="0" fillId="35" borderId="14" xfId="0" applyFill="1" applyBorder="1" applyAlignment="1" applyProtection="1">
      <alignment/>
      <protection/>
    </xf>
    <xf numFmtId="0" fontId="0" fillId="0" borderId="0" xfId="0" applyFill="1" applyBorder="1" applyAlignment="1">
      <alignment/>
    </xf>
    <xf numFmtId="181" fontId="29" fillId="0" borderId="16" xfId="94" applyNumberFormat="1" applyFont="1" applyFill="1" applyBorder="1" applyAlignment="1" applyProtection="1">
      <alignment/>
      <protection/>
    </xf>
    <xf numFmtId="181" fontId="0" fillId="0" borderId="16" xfId="94" applyNumberFormat="1" applyFill="1" applyBorder="1" applyAlignment="1" applyProtection="1">
      <alignment vertical="center"/>
      <protection/>
    </xf>
    <xf numFmtId="181" fontId="30" fillId="0" borderId="16" xfId="94" applyNumberFormat="1" applyFont="1" applyFill="1" applyBorder="1" applyAlignment="1" applyProtection="1">
      <alignment horizontal="left" vertical="center"/>
      <protection/>
    </xf>
    <xf numFmtId="181" fontId="0" fillId="34" borderId="17" xfId="94" applyNumberFormat="1" applyFill="1" applyBorder="1" applyAlignment="1" applyProtection="1">
      <alignment vertical="center"/>
      <protection/>
    </xf>
    <xf numFmtId="181" fontId="0" fillId="0" borderId="0" xfId="94" applyNumberFormat="1" applyFill="1" applyBorder="1" applyAlignment="1" applyProtection="1">
      <alignment vertical="center"/>
      <protection locked="0"/>
    </xf>
    <xf numFmtId="181" fontId="31" fillId="0" borderId="0" xfId="94" applyNumberFormat="1" applyFont="1" applyFill="1" applyBorder="1" applyAlignment="1" applyProtection="1">
      <alignment vertical="center"/>
      <protection locked="0"/>
    </xf>
    <xf numFmtId="181" fontId="7" fillId="0" borderId="14" xfId="0" applyNumberFormat="1" applyFont="1" applyBorder="1" applyAlignment="1" applyProtection="1">
      <alignment horizontal="center"/>
      <protection locked="0"/>
    </xf>
    <xf numFmtId="181" fontId="0" fillId="0" borderId="0" xfId="94" applyNumberFormat="1" applyFill="1" applyBorder="1" applyAlignment="1" applyProtection="1">
      <alignment vertical="center"/>
      <protection/>
    </xf>
    <xf numFmtId="181" fontId="0" fillId="0" borderId="0" xfId="94" applyNumberFormat="1" applyFont="1" applyFill="1" applyBorder="1" applyAlignment="1" applyProtection="1">
      <alignment vertical="center"/>
      <protection/>
    </xf>
    <xf numFmtId="181" fontId="29" fillId="0" borderId="0" xfId="94" applyNumberFormat="1" applyFont="1" applyFill="1" applyBorder="1" applyAlignment="1" applyProtection="1">
      <alignment/>
      <protection/>
    </xf>
    <xf numFmtId="0" fontId="27" fillId="36" borderId="0" xfId="0" applyFont="1" applyFill="1" applyAlignment="1">
      <alignment/>
    </xf>
    <xf numFmtId="184" fontId="27" fillId="36" borderId="0" xfId="0" applyNumberFormat="1" applyFont="1" applyFill="1" applyAlignment="1">
      <alignment/>
    </xf>
    <xf numFmtId="185" fontId="27" fillId="36" borderId="0" xfId="0" applyNumberFormat="1" applyFont="1" applyFill="1" applyAlignment="1">
      <alignment/>
    </xf>
    <xf numFmtId="181" fontId="32" fillId="0" borderId="18" xfId="0" applyNumberFormat="1" applyFont="1" applyBorder="1" applyAlignment="1" applyProtection="1">
      <alignment horizontal="left"/>
      <protection/>
    </xf>
    <xf numFmtId="184" fontId="32" fillId="37" borderId="19" xfId="0" applyNumberFormat="1" applyFont="1" applyFill="1" applyBorder="1" applyAlignment="1" applyProtection="1">
      <alignment horizontal="center"/>
      <protection locked="0"/>
    </xf>
    <xf numFmtId="184" fontId="32" fillId="37" borderId="20" xfId="0" applyNumberFormat="1" applyFont="1" applyFill="1" applyBorder="1" applyAlignment="1" applyProtection="1">
      <alignment horizontal="center"/>
      <protection locked="0"/>
    </xf>
    <xf numFmtId="184" fontId="32" fillId="37" borderId="21" xfId="0" applyNumberFormat="1" applyFont="1" applyFill="1" applyBorder="1" applyAlignment="1" applyProtection="1">
      <alignment horizontal="center" wrapText="1"/>
      <protection locked="0"/>
    </xf>
    <xf numFmtId="183" fontId="23" fillId="0" borderId="22" xfId="0" applyNumberFormat="1" applyFont="1" applyBorder="1" applyAlignment="1" applyProtection="1">
      <alignment horizontal="left"/>
      <protection/>
    </xf>
    <xf numFmtId="186" fontId="23" fillId="34" borderId="23" xfId="0" applyNumberFormat="1" applyFont="1" applyFill="1" applyBorder="1" applyAlignment="1" applyProtection="1">
      <alignment/>
      <protection locked="0"/>
    </xf>
    <xf numFmtId="187" fontId="23" fillId="34" borderId="19" xfId="51" applyNumberFormat="1" applyFont="1" applyFill="1" applyBorder="1" applyAlignment="1" applyProtection="1">
      <alignment/>
      <protection locked="0"/>
    </xf>
    <xf numFmtId="188" fontId="23" fillId="34" borderId="19" xfId="0" applyNumberFormat="1" applyFont="1" applyFill="1" applyBorder="1" applyAlignment="1" applyProtection="1">
      <alignment/>
      <protection locked="0"/>
    </xf>
    <xf numFmtId="0" fontId="23" fillId="0" borderId="18" xfId="0" applyFont="1" applyBorder="1" applyAlignment="1" applyProtection="1">
      <alignment horizontal="left"/>
      <protection/>
    </xf>
    <xf numFmtId="187" fontId="23" fillId="34" borderId="23" xfId="51" applyNumberFormat="1" applyFont="1" applyFill="1" applyBorder="1" applyAlignment="1" applyProtection="1">
      <alignment/>
      <protection locked="0"/>
    </xf>
    <xf numFmtId="188" fontId="23" fillId="34" borderId="23" xfId="0" applyNumberFormat="1" applyFont="1" applyFill="1" applyBorder="1" applyAlignment="1" applyProtection="1">
      <alignment/>
      <protection locked="0"/>
    </xf>
    <xf numFmtId="183" fontId="23" fillId="0" borderId="24" xfId="0" applyNumberFormat="1" applyFont="1" applyBorder="1" applyAlignment="1" applyProtection="1">
      <alignment horizontal="left"/>
      <protection/>
    </xf>
    <xf numFmtId="186" fontId="23" fillId="0" borderId="14" xfId="0" applyNumberFormat="1" applyFont="1" applyFill="1" applyBorder="1" applyAlignment="1" applyProtection="1">
      <alignment/>
      <protection/>
    </xf>
    <xf numFmtId="187" fontId="23" fillId="0" borderId="14" xfId="51" applyNumberFormat="1" applyFont="1" applyFill="1" applyBorder="1" applyAlignment="1" applyProtection="1">
      <alignment/>
      <protection/>
    </xf>
    <xf numFmtId="188" fontId="23" fillId="0" borderId="14" xfId="0" applyNumberFormat="1" applyFont="1" applyFill="1" applyBorder="1" applyAlignment="1" applyProtection="1">
      <alignment/>
      <protection/>
    </xf>
    <xf numFmtId="189" fontId="33" fillId="36" borderId="0" xfId="0" applyNumberFormat="1" applyFont="1" applyFill="1" applyAlignment="1">
      <alignment/>
    </xf>
    <xf numFmtId="183" fontId="23" fillId="0" borderId="25" xfId="0" applyNumberFormat="1" applyFont="1" applyBorder="1" applyAlignment="1" applyProtection="1">
      <alignment horizontal="left"/>
      <protection/>
    </xf>
    <xf numFmtId="186" fontId="23" fillId="0" borderId="26" xfId="0" applyNumberFormat="1" applyFont="1" applyFill="1" applyBorder="1" applyAlignment="1" applyProtection="1">
      <alignment/>
      <protection/>
    </xf>
    <xf numFmtId="187" fontId="23" fillId="0" borderId="26" xfId="0" applyNumberFormat="1" applyFont="1" applyFill="1" applyBorder="1" applyAlignment="1" applyProtection="1">
      <alignment/>
      <protection/>
    </xf>
    <xf numFmtId="188" fontId="23" fillId="0" borderId="26" xfId="0" applyNumberFormat="1" applyFont="1" applyFill="1" applyBorder="1" applyAlignment="1" applyProtection="1">
      <alignment/>
      <protection/>
    </xf>
    <xf numFmtId="9" fontId="27" fillId="0" borderId="0" xfId="73" applyFont="1" applyFill="1" applyBorder="1" applyAlignment="1" applyProtection="1">
      <alignment/>
      <protection/>
    </xf>
    <xf numFmtId="188" fontId="0" fillId="0" borderId="0" xfId="0" applyNumberFormat="1" applyFill="1" applyAlignment="1" applyProtection="1">
      <alignment/>
      <protection/>
    </xf>
    <xf numFmtId="188" fontId="27" fillId="36" borderId="0" xfId="0" applyNumberFormat="1" applyFont="1" applyFill="1" applyAlignment="1" applyProtection="1">
      <alignment/>
      <protection/>
    </xf>
    <xf numFmtId="184" fontId="27" fillId="36" borderId="0" xfId="0" applyNumberFormat="1" applyFont="1" applyFill="1" applyAlignment="1" applyProtection="1">
      <alignment/>
      <protection/>
    </xf>
    <xf numFmtId="49" fontId="0" fillId="0" borderId="0" xfId="0" applyNumberFormat="1" applyAlignment="1" applyProtection="1">
      <alignment/>
      <protection/>
    </xf>
    <xf numFmtId="185" fontId="0" fillId="0" borderId="0" xfId="0" applyNumberFormat="1" applyAlignment="1" applyProtection="1">
      <alignment/>
      <protection/>
    </xf>
    <xf numFmtId="184" fontId="32" fillId="0" borderId="0" xfId="0" applyNumberFormat="1" applyFont="1" applyFill="1" applyBorder="1" applyAlignment="1">
      <alignment horizontal="center"/>
    </xf>
    <xf numFmtId="181" fontId="23" fillId="0" borderId="0" xfId="0" applyNumberFormat="1" applyFont="1" applyFill="1" applyBorder="1" applyAlignment="1">
      <alignment/>
    </xf>
    <xf numFmtId="0" fontId="26" fillId="0" borderId="0" xfId="0" applyFont="1" applyFill="1" applyBorder="1" applyAlignment="1" applyProtection="1">
      <alignment horizontal="center"/>
      <protection/>
    </xf>
    <xf numFmtId="0" fontId="35"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center"/>
      <protection/>
    </xf>
    <xf numFmtId="0" fontId="36" fillId="0" borderId="0" xfId="0" applyFont="1" applyFill="1" applyBorder="1" applyAlignment="1">
      <alignment horizontal="center"/>
    </xf>
    <xf numFmtId="190" fontId="0" fillId="34" borderId="14" xfId="51" applyNumberFormat="1" applyFill="1" applyBorder="1" applyAlignment="1" applyProtection="1">
      <alignment/>
      <protection locked="0"/>
    </xf>
    <xf numFmtId="191" fontId="0" fillId="0" borderId="0" xfId="0" applyNumberFormat="1" applyFill="1" applyBorder="1" applyAlignment="1" applyProtection="1">
      <alignment/>
      <protection locked="0"/>
    </xf>
    <xf numFmtId="19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0" fontId="0" fillId="0" borderId="0" xfId="0" applyNumberFormat="1" applyFill="1" applyBorder="1" applyAlignment="1" applyProtection="1">
      <alignment/>
      <protection locked="0"/>
    </xf>
    <xf numFmtId="189"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8" fontId="0" fillId="0" borderId="0" xfId="0" applyNumberFormat="1" applyAlignment="1" applyProtection="1">
      <alignment/>
      <protection/>
    </xf>
    <xf numFmtId="188" fontId="35" fillId="0" borderId="0" xfId="0" applyNumberFormat="1" applyFont="1" applyAlignment="1" applyProtection="1">
      <alignment horizontal="right"/>
      <protection/>
    </xf>
    <xf numFmtId="0" fontId="34" fillId="0" borderId="27" xfId="0" applyFont="1" applyBorder="1" applyAlignment="1" applyProtection="1">
      <alignment vertical="distributed" wrapText="1"/>
      <protection/>
    </xf>
    <xf numFmtId="181" fontId="37" fillId="0" borderId="28" xfId="0" applyNumberFormat="1" applyFont="1" applyFill="1" applyBorder="1" applyAlignment="1" applyProtection="1">
      <alignment horizontal="center" vertical="center" wrapText="1"/>
      <protection/>
    </xf>
    <xf numFmtId="183" fontId="37" fillId="0" borderId="29"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protection/>
    </xf>
    <xf numFmtId="183" fontId="39" fillId="0" borderId="0" xfId="0" applyNumberFormat="1" applyFont="1" applyFill="1" applyBorder="1" applyAlignment="1" applyProtection="1">
      <alignment horizontal="center" vertical="center" wrapText="1"/>
      <protection/>
    </xf>
    <xf numFmtId="183" fontId="39" fillId="0" borderId="0" xfId="0" applyNumberFormat="1" applyFont="1" applyFill="1" applyBorder="1" applyAlignment="1" applyProtection="1">
      <alignment horizontal="center" vertical="center" wrapText="1"/>
      <protection locked="0"/>
    </xf>
    <xf numFmtId="181" fontId="35" fillId="0" borderId="30" xfId="0" applyNumberFormat="1" applyFont="1" applyBorder="1" applyAlignment="1" applyProtection="1">
      <alignment/>
      <protection/>
    </xf>
    <xf numFmtId="190" fontId="0" fillId="0" borderId="31" xfId="51" applyNumberFormat="1" applyFill="1" applyBorder="1" applyAlignment="1" applyProtection="1">
      <alignment/>
      <protection/>
    </xf>
    <xf numFmtId="0" fontId="35" fillId="0" borderId="0" xfId="0" applyFont="1" applyFill="1" applyBorder="1" applyAlignment="1" applyProtection="1">
      <alignment horizontal="center"/>
      <protection/>
    </xf>
    <xf numFmtId="0" fontId="35" fillId="0" borderId="0" xfId="0" applyFont="1" applyFill="1" applyBorder="1" applyAlignment="1" applyProtection="1">
      <alignment/>
      <protection locked="0"/>
    </xf>
    <xf numFmtId="185" fontId="27" fillId="0" borderId="0" xfId="0" applyNumberFormat="1" applyFont="1" applyFill="1" applyBorder="1" applyAlignment="1" applyProtection="1">
      <alignment/>
      <protection/>
    </xf>
    <xf numFmtId="185" fontId="35" fillId="0" borderId="0" xfId="48" applyNumberFormat="1" applyFont="1" applyFill="1" applyBorder="1" applyAlignment="1" applyProtection="1">
      <alignment/>
      <protection locked="0"/>
    </xf>
    <xf numFmtId="193" fontId="35" fillId="0" borderId="0" xfId="73" applyNumberFormat="1" applyFont="1" applyFill="1" applyBorder="1" applyAlignment="1" applyProtection="1">
      <alignment horizontal="center"/>
      <protection/>
    </xf>
    <xf numFmtId="183" fontId="35" fillId="0" borderId="0" xfId="0" applyNumberFormat="1" applyFont="1" applyFill="1" applyBorder="1" applyAlignment="1" applyProtection="1">
      <alignment horizontal="center"/>
      <protection/>
    </xf>
    <xf numFmtId="193" fontId="35" fillId="0" borderId="0" xfId="73" applyNumberFormat="1" applyFont="1" applyFill="1" applyBorder="1" applyAlignment="1" applyProtection="1">
      <alignment horizontal="center"/>
      <protection locked="0"/>
    </xf>
    <xf numFmtId="181" fontId="35" fillId="0" borderId="32" xfId="0" applyNumberFormat="1" applyFont="1" applyBorder="1" applyAlignment="1" applyProtection="1">
      <alignment wrapText="1"/>
      <protection/>
    </xf>
    <xf numFmtId="190" fontId="0" fillId="34" borderId="33" xfId="51" applyNumberFormat="1" applyFill="1" applyBorder="1" applyAlignment="1" applyProtection="1">
      <alignment/>
      <protection locked="0"/>
    </xf>
    <xf numFmtId="194" fontId="40" fillId="0" borderId="0" xfId="0" applyNumberFormat="1" applyFont="1" applyAlignment="1" applyProtection="1">
      <alignment/>
      <protection/>
    </xf>
    <xf numFmtId="0" fontId="35" fillId="0" borderId="0" xfId="0" applyFont="1" applyFill="1" applyBorder="1" applyAlignment="1" applyProtection="1">
      <alignment/>
      <protection/>
    </xf>
    <xf numFmtId="190" fontId="0" fillId="0" borderId="0" xfId="0" applyNumberFormat="1" applyAlignment="1" applyProtection="1">
      <alignment/>
      <protection/>
    </xf>
    <xf numFmtId="194" fontId="0" fillId="0" borderId="0" xfId="0" applyNumberFormat="1" applyFont="1" applyAlignment="1" applyProtection="1">
      <alignment/>
      <protection/>
    </xf>
    <xf numFmtId="195" fontId="0" fillId="0" borderId="0" xfId="0" applyNumberFormat="1" applyAlignment="1" applyProtection="1">
      <alignment/>
      <protection/>
    </xf>
    <xf numFmtId="196" fontId="0" fillId="0" borderId="0" xfId="0" applyNumberFormat="1" applyAlignment="1" applyProtection="1">
      <alignment/>
      <protection/>
    </xf>
    <xf numFmtId="183" fontId="36" fillId="0" borderId="34" xfId="0" applyNumberFormat="1" applyFont="1" applyFill="1" applyBorder="1" applyAlignment="1" applyProtection="1">
      <alignment/>
      <protection/>
    </xf>
    <xf numFmtId="181" fontId="36" fillId="0" borderId="14" xfId="0" applyNumberFormat="1" applyFont="1" applyFill="1" applyBorder="1" applyAlignment="1" applyProtection="1">
      <alignment horizontal="center"/>
      <protection/>
    </xf>
    <xf numFmtId="181" fontId="36" fillId="0" borderId="35" xfId="0" applyNumberFormat="1" applyFont="1" applyFill="1" applyBorder="1" applyAlignment="1" applyProtection="1">
      <alignment horizontal="center"/>
      <protection/>
    </xf>
    <xf numFmtId="181" fontId="36" fillId="0" borderId="34" xfId="0" applyNumberFormat="1" applyFont="1" applyFill="1" applyBorder="1" applyAlignment="1" applyProtection="1">
      <alignment/>
      <protection/>
    </xf>
    <xf numFmtId="1" fontId="0" fillId="34" borderId="14" xfId="0" applyNumberFormat="1" applyFill="1" applyBorder="1" applyAlignment="1" applyProtection="1">
      <alignment horizontal="center"/>
      <protection locked="0"/>
    </xf>
    <xf numFmtId="1" fontId="0" fillId="34" borderId="35" xfId="0" applyNumberFormat="1" applyFill="1" applyBorder="1" applyAlignment="1" applyProtection="1">
      <alignment horizontal="center"/>
      <protection locked="0"/>
    </xf>
    <xf numFmtId="181" fontId="36" fillId="0" borderId="36" xfId="0" applyNumberFormat="1" applyFont="1" applyFill="1" applyBorder="1" applyAlignment="1" applyProtection="1">
      <alignment/>
      <protection/>
    </xf>
    <xf numFmtId="181" fontId="36" fillId="0" borderId="37" xfId="0" applyNumberFormat="1" applyFont="1" applyFill="1" applyBorder="1" applyAlignment="1" applyProtection="1">
      <alignment wrapText="1"/>
      <protection/>
    </xf>
    <xf numFmtId="1" fontId="0" fillId="34" borderId="26" xfId="0" applyNumberFormat="1" applyFill="1" applyBorder="1" applyAlignment="1" applyProtection="1">
      <alignment horizontal="center"/>
      <protection locked="0"/>
    </xf>
    <xf numFmtId="1" fontId="0" fillId="34" borderId="38" xfId="0" applyNumberFormat="1" applyFill="1" applyBorder="1" applyAlignment="1" applyProtection="1">
      <alignment horizontal="center"/>
      <protection locked="0"/>
    </xf>
    <xf numFmtId="0" fontId="0" fillId="0" borderId="39" xfId="0" applyBorder="1" applyAlignment="1" applyProtection="1">
      <alignment/>
      <protection/>
    </xf>
    <xf numFmtId="181" fontId="41" fillId="0" borderId="39" xfId="94" applyNumberFormat="1" applyFont="1" applyFill="1" applyBorder="1" applyAlignment="1" applyProtection="1">
      <alignment/>
      <protection/>
    </xf>
    <xf numFmtId="181" fontId="31" fillId="0" borderId="39" xfId="94" applyNumberFormat="1" applyFont="1" applyFill="1" applyBorder="1" applyAlignment="1" applyProtection="1">
      <alignment vertical="center"/>
      <protection/>
    </xf>
    <xf numFmtId="181" fontId="42" fillId="0" borderId="39" xfId="94" applyNumberFormat="1" applyFont="1" applyFill="1" applyBorder="1" applyAlignment="1" applyProtection="1">
      <alignment vertical="center"/>
      <protection/>
    </xf>
    <xf numFmtId="181" fontId="31" fillId="0" borderId="39" xfId="94" applyNumberFormat="1" applyFont="1" applyFill="1" applyBorder="1" applyAlignment="1" applyProtection="1">
      <alignment horizontal="center" vertical="center"/>
      <protection/>
    </xf>
    <xf numFmtId="181" fontId="31" fillId="35" borderId="40" xfId="94" applyNumberFormat="1" applyFont="1" applyFill="1" applyBorder="1" applyAlignment="1" applyProtection="1">
      <alignment horizontal="center" vertical="center"/>
      <protection/>
    </xf>
    <xf numFmtId="181" fontId="31" fillId="0" borderId="41" xfId="94" applyNumberFormat="1" applyFont="1" applyFill="1" applyBorder="1" applyAlignment="1" applyProtection="1">
      <alignment vertical="center"/>
      <protection/>
    </xf>
    <xf numFmtId="181" fontId="31" fillId="0" borderId="0" xfId="94" applyNumberFormat="1" applyFont="1" applyFill="1" applyBorder="1" applyAlignment="1" applyProtection="1">
      <alignment horizontal="center" vertical="center"/>
      <protection locked="0"/>
    </xf>
    <xf numFmtId="181" fontId="41" fillId="0" borderId="0" xfId="94" applyNumberFormat="1" applyFont="1" applyFill="1" applyBorder="1" applyAlignment="1" applyProtection="1">
      <alignment/>
      <protection/>
    </xf>
    <xf numFmtId="181" fontId="31" fillId="0" borderId="0" xfId="94" applyNumberFormat="1" applyFont="1" applyFill="1" applyBorder="1" applyAlignment="1" applyProtection="1">
      <alignment vertical="center"/>
      <protection/>
    </xf>
    <xf numFmtId="181" fontId="43" fillId="0" borderId="0" xfId="94" applyNumberFormat="1" applyFont="1" applyFill="1" applyBorder="1" applyAlignment="1" applyProtection="1">
      <alignment vertical="center"/>
      <protection/>
    </xf>
    <xf numFmtId="181" fontId="44" fillId="0" borderId="0" xfId="94" applyNumberFormat="1" applyFont="1" applyFill="1" applyBorder="1" applyAlignment="1" applyProtection="1">
      <alignment/>
      <protection/>
    </xf>
    <xf numFmtId="181" fontId="33" fillId="0" borderId="0" xfId="94" applyNumberFormat="1" applyFont="1" applyFill="1" applyBorder="1" applyAlignment="1" applyProtection="1">
      <alignment vertical="center"/>
      <protection/>
    </xf>
    <xf numFmtId="0" fontId="0" fillId="0" borderId="0" xfId="0" applyBorder="1" applyAlignment="1" applyProtection="1">
      <alignment/>
      <protection/>
    </xf>
    <xf numFmtId="0" fontId="20" fillId="0" borderId="0" xfId="0" applyFont="1" applyBorder="1" applyAlignment="1" applyProtection="1">
      <alignment horizontal="center"/>
      <protection/>
    </xf>
    <xf numFmtId="181" fontId="20" fillId="0" borderId="42" xfId="0" applyNumberFormat="1" applyFont="1" applyBorder="1" applyAlignment="1" applyProtection="1">
      <alignment horizontal="center"/>
      <protection/>
    </xf>
    <xf numFmtId="181" fontId="20" fillId="0" borderId="42" xfId="0" applyNumberFormat="1" applyFont="1" applyBorder="1" applyAlignment="1" applyProtection="1">
      <alignment horizontal="center" wrapText="1"/>
      <protection/>
    </xf>
    <xf numFmtId="181" fontId="20" fillId="0" borderId="43"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31" fillId="0" borderId="0" xfId="0" applyFont="1" applyFill="1" applyBorder="1" applyAlignment="1" applyProtection="1">
      <alignment horizontal="center" vertical="center"/>
      <protection/>
    </xf>
    <xf numFmtId="181" fontId="0" fillId="0" borderId="44" xfId="0" applyNumberFormat="1" applyFont="1" applyBorder="1" applyAlignment="1" applyProtection="1">
      <alignment horizontal="left"/>
      <protection/>
    </xf>
    <xf numFmtId="1" fontId="33" fillId="35" borderId="14" xfId="0" applyNumberFormat="1" applyFont="1" applyFill="1" applyBorder="1" applyAlignment="1" applyProtection="1">
      <alignment horizontal="center"/>
      <protection locked="0"/>
    </xf>
    <xf numFmtId="1" fontId="33" fillId="36" borderId="45"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1" fontId="0" fillId="0" borderId="46" xfId="0" applyNumberFormat="1" applyFont="1" applyBorder="1" applyAlignment="1" applyProtection="1">
      <alignment horizontal="left"/>
      <protection/>
    </xf>
    <xf numFmtId="1" fontId="33" fillId="35" borderId="47" xfId="0" applyNumberFormat="1" applyFont="1" applyFill="1" applyBorder="1" applyAlignment="1" applyProtection="1">
      <alignment horizontal="center"/>
      <protection locked="0"/>
    </xf>
    <xf numFmtId="1" fontId="33" fillId="36" borderId="48" xfId="0" applyNumberFormat="1" applyFont="1" applyFill="1" applyBorder="1" applyAlignment="1" applyProtection="1">
      <alignment horizontal="center"/>
      <protection/>
    </xf>
    <xf numFmtId="0" fontId="33" fillId="0" borderId="0" xfId="0" applyFont="1" applyBorder="1" applyAlignment="1" applyProtection="1">
      <alignment/>
      <protection/>
    </xf>
    <xf numFmtId="0" fontId="0" fillId="0" borderId="49" xfId="0" applyBorder="1" applyAlignment="1" applyProtection="1">
      <alignment/>
      <protection/>
    </xf>
    <xf numFmtId="181" fontId="0" fillId="0" borderId="42" xfId="0" applyNumberFormat="1" applyFont="1" applyBorder="1" applyAlignment="1" applyProtection="1">
      <alignment horizontal="center"/>
      <protection/>
    </xf>
    <xf numFmtId="181" fontId="0" fillId="0" borderId="43" xfId="0" applyNumberFormat="1" applyFont="1" applyBorder="1" applyAlignment="1" applyProtection="1">
      <alignment horizontal="center"/>
      <protection/>
    </xf>
    <xf numFmtId="0" fontId="0" fillId="35" borderId="47" xfId="0" applyNumberFormat="1" applyFill="1" applyBorder="1" applyAlignment="1" applyProtection="1">
      <alignment horizontal="center"/>
      <protection locked="0"/>
    </xf>
    <xf numFmtId="0" fontId="0" fillId="0" borderId="48" xfId="0" applyNumberFormat="1" applyFill="1" applyBorder="1" applyAlignment="1" applyProtection="1">
      <alignment horizontal="center"/>
      <protection/>
    </xf>
    <xf numFmtId="0" fontId="26" fillId="0" borderId="0" xfId="0" applyFont="1" applyFill="1" applyBorder="1" applyAlignment="1" applyProtection="1">
      <alignment horizontal="right"/>
      <protection/>
    </xf>
    <xf numFmtId="183" fontId="0" fillId="0" borderId="0" xfId="0" applyNumberFormat="1" applyFont="1" applyFill="1" applyBorder="1" applyAlignment="1" applyProtection="1">
      <alignment horizontal="left"/>
      <protection/>
    </xf>
    <xf numFmtId="181" fontId="0" fillId="0" borderId="43" xfId="0" applyNumberFormat="1" applyFont="1" applyBorder="1" applyAlignment="1" applyProtection="1">
      <alignment horizontal="center" wrapText="1"/>
      <protection/>
    </xf>
    <xf numFmtId="0" fontId="45" fillId="0" borderId="0" xfId="0" applyFont="1" applyFill="1" applyBorder="1" applyAlignment="1" applyProtection="1">
      <alignment horizontal="center" wrapText="1"/>
      <protection/>
    </xf>
    <xf numFmtId="0" fontId="0" fillId="35" borderId="48" xfId="0" applyNumberFormat="1" applyFont="1" applyFill="1" applyBorder="1" applyAlignment="1" applyProtection="1">
      <alignment horizontal="center"/>
      <protection locked="0"/>
    </xf>
    <xf numFmtId="183" fontId="0" fillId="0" borderId="0" xfId="0" applyNumberFormat="1" applyFill="1" applyBorder="1" applyAlignment="1" applyProtection="1">
      <alignment horizontal="center"/>
      <protection locked="0"/>
    </xf>
    <xf numFmtId="181" fontId="32" fillId="0" borderId="42" xfId="0" applyNumberFormat="1" applyFont="1" applyBorder="1" applyAlignment="1" applyProtection="1">
      <alignment horizontal="center"/>
      <protection/>
    </xf>
    <xf numFmtId="181" fontId="32" fillId="0" borderId="43" xfId="0" applyNumberFormat="1" applyFont="1" applyBorder="1" applyAlignment="1" applyProtection="1">
      <alignment horizontal="center"/>
      <protection/>
    </xf>
    <xf numFmtId="1" fontId="0" fillId="35" borderId="14" xfId="0" applyNumberFormat="1" applyFont="1" applyFill="1" applyBorder="1" applyAlignment="1" applyProtection="1">
      <alignment horizontal="center"/>
      <protection locked="0"/>
    </xf>
    <xf numFmtId="1" fontId="0" fillId="0" borderId="45" xfId="0" applyNumberFormat="1" applyFont="1" applyFill="1" applyBorder="1" applyAlignment="1" applyProtection="1">
      <alignment horizontal="center"/>
      <protection/>
    </xf>
    <xf numFmtId="1" fontId="0" fillId="35" borderId="47" xfId="0" applyNumberFormat="1" applyFont="1" applyFill="1" applyBorder="1" applyAlignment="1" applyProtection="1">
      <alignment horizontal="center"/>
      <protection locked="0"/>
    </xf>
    <xf numFmtId="184" fontId="32" fillId="37" borderId="50" xfId="0" applyNumberFormat="1" applyFont="1" applyFill="1" applyBorder="1" applyAlignment="1" applyProtection="1">
      <alignment horizontal="center"/>
      <protection locked="0"/>
    </xf>
    <xf numFmtId="184" fontId="32" fillId="37" borderId="51" xfId="0" applyNumberFormat="1" applyFont="1" applyFill="1" applyBorder="1" applyAlignment="1" applyProtection="1">
      <alignment horizontal="center"/>
      <protection locked="0"/>
    </xf>
    <xf numFmtId="184" fontId="0" fillId="0" borderId="52" xfId="0" applyNumberFormat="1" applyFont="1" applyFill="1" applyBorder="1" applyAlignment="1" applyProtection="1">
      <alignment horizontal="left"/>
      <protection/>
    </xf>
    <xf numFmtId="197" fontId="0" fillId="35" borderId="14" xfId="51" applyNumberFormat="1" applyFont="1" applyFill="1" applyBorder="1" applyAlignment="1" applyProtection="1">
      <alignment horizontal="right" wrapText="1"/>
      <protection locked="0"/>
    </xf>
    <xf numFmtId="188" fontId="0" fillId="35" borderId="14" xfId="0" applyNumberFormat="1" applyFill="1" applyBorder="1" applyAlignment="1" applyProtection="1">
      <alignment horizontal="right" wrapText="1"/>
      <protection locked="0"/>
    </xf>
    <xf numFmtId="184" fontId="0" fillId="0" borderId="53" xfId="0" applyNumberFormat="1" applyFont="1" applyBorder="1" applyAlignment="1" applyProtection="1">
      <alignment horizontal="left"/>
      <protection/>
    </xf>
    <xf numFmtId="197" fontId="0" fillId="34" borderId="14" xfId="51" applyNumberFormat="1" applyFont="1" applyFill="1" applyBorder="1" applyAlignment="1" applyProtection="1">
      <alignment horizontal="right" wrapText="1"/>
      <protection locked="0"/>
    </xf>
    <xf numFmtId="197" fontId="0" fillId="34" borderId="14" xfId="0" applyNumberFormat="1" applyFill="1" applyBorder="1" applyAlignment="1" applyProtection="1">
      <alignment horizontal="right" wrapText="1"/>
      <protection/>
    </xf>
    <xf numFmtId="188" fontId="0" fillId="34" borderId="14" xfId="0" applyNumberFormat="1" applyFill="1" applyBorder="1" applyAlignment="1" applyProtection="1">
      <alignment horizontal="right" wrapText="1"/>
      <protection/>
    </xf>
    <xf numFmtId="184" fontId="0" fillId="0" borderId="36" xfId="0" applyNumberFormat="1" applyFont="1" applyBorder="1" applyAlignment="1" applyProtection="1">
      <alignment horizontal="left" wrapText="1"/>
      <protection/>
    </xf>
    <xf numFmtId="0" fontId="0" fillId="0" borderId="0" xfId="0" applyFill="1" applyBorder="1" applyAlignment="1" applyProtection="1">
      <alignment horizontal="center" wrapText="1"/>
      <protection/>
    </xf>
    <xf numFmtId="181" fontId="0" fillId="0" borderId="0" xfId="48" applyFont="1" applyFill="1" applyBorder="1" applyAlignment="1" applyProtection="1">
      <alignment/>
      <protection/>
    </xf>
    <xf numFmtId="181" fontId="0" fillId="0" borderId="0" xfId="0" applyNumberFormat="1" applyFill="1" applyBorder="1" applyAlignment="1" applyProtection="1">
      <alignment/>
      <protection/>
    </xf>
    <xf numFmtId="184" fontId="0" fillId="0" borderId="0" xfId="0" applyNumberFormat="1" applyFont="1" applyBorder="1" applyAlignment="1" applyProtection="1">
      <alignment/>
      <protection/>
    </xf>
    <xf numFmtId="0" fontId="33" fillId="0" borderId="0" xfId="0" applyFont="1" applyAlignment="1" applyProtection="1">
      <alignment/>
      <protection/>
    </xf>
    <xf numFmtId="181" fontId="0" fillId="0" borderId="54" xfId="0" applyNumberFormat="1" applyFont="1" applyFill="1" applyBorder="1" applyAlignment="1" applyProtection="1">
      <alignment horizontal="left"/>
      <protection/>
    </xf>
    <xf numFmtId="181" fontId="0" fillId="0" borderId="55" xfId="0" applyNumberFormat="1" applyFont="1" applyFill="1" applyBorder="1" applyAlignment="1" applyProtection="1">
      <alignment horizontal="center" wrapText="1"/>
      <protection/>
    </xf>
    <xf numFmtId="181" fontId="23" fillId="0" borderId="55" xfId="0" applyNumberFormat="1" applyFont="1" applyBorder="1" applyAlignment="1">
      <alignment horizontal="center" wrapText="1"/>
    </xf>
    <xf numFmtId="181" fontId="0" fillId="0" borderId="55" xfId="0" applyNumberFormat="1" applyFont="1" applyBorder="1" applyAlignment="1">
      <alignment horizontal="center" wrapText="1"/>
    </xf>
    <xf numFmtId="181" fontId="0" fillId="0" borderId="56" xfId="0" applyNumberFormat="1" applyFont="1" applyFill="1" applyBorder="1" applyAlignment="1" applyProtection="1">
      <alignment horizontal="center" wrapText="1"/>
      <protection/>
    </xf>
    <xf numFmtId="181" fontId="0" fillId="35" borderId="57" xfId="0" applyNumberFormat="1" applyFont="1" applyFill="1" applyBorder="1" applyAlignment="1" applyProtection="1">
      <alignment wrapText="1"/>
      <protection locked="0"/>
    </xf>
    <xf numFmtId="0" fontId="0" fillId="35" borderId="57" xfId="0" applyNumberFormat="1" applyFill="1" applyBorder="1" applyAlignment="1" applyProtection="1">
      <alignment horizontal="center"/>
      <protection locked="0"/>
    </xf>
    <xf numFmtId="0" fontId="0" fillId="0" borderId="57" xfId="0" applyNumberFormat="1" applyFill="1" applyBorder="1" applyAlignment="1" applyProtection="1">
      <alignment horizontal="center"/>
      <protection/>
    </xf>
    <xf numFmtId="188" fontId="0" fillId="35" borderId="57" xfId="0" applyNumberFormat="1" applyFill="1" applyBorder="1" applyAlignment="1" applyProtection="1">
      <alignment horizontal="center"/>
      <protection locked="0"/>
    </xf>
    <xf numFmtId="188" fontId="0" fillId="0" borderId="57" xfId="0" applyNumberFormat="1" applyFill="1" applyBorder="1" applyAlignment="1" applyProtection="1">
      <alignment horizontal="center"/>
      <protection/>
    </xf>
    <xf numFmtId="1" fontId="0" fillId="0" borderId="57" xfId="0" applyNumberFormat="1" applyFill="1" applyBorder="1" applyAlignment="1" applyProtection="1">
      <alignment horizontal="center"/>
      <protection/>
    </xf>
    <xf numFmtId="181" fontId="0" fillId="35" borderId="57" xfId="0" applyNumberFormat="1" applyFont="1" applyFill="1" applyBorder="1" applyAlignment="1" applyProtection="1">
      <alignment/>
      <protection locked="0"/>
    </xf>
    <xf numFmtId="0" fontId="0" fillId="35" borderId="57" xfId="0" applyNumberFormat="1" applyFill="1" applyBorder="1" applyAlignment="1" applyProtection="1">
      <alignment/>
      <protection locked="0"/>
    </xf>
    <xf numFmtId="0" fontId="0" fillId="0" borderId="57" xfId="0" applyNumberFormat="1" applyFill="1" applyBorder="1" applyAlignment="1" applyProtection="1">
      <alignment/>
      <protection/>
    </xf>
    <xf numFmtId="188" fontId="0" fillId="35" borderId="57" xfId="0" applyNumberFormat="1" applyFill="1" applyBorder="1" applyAlignment="1" applyProtection="1">
      <alignment/>
      <protection locked="0"/>
    </xf>
    <xf numFmtId="188" fontId="0" fillId="0" borderId="57" xfId="0" applyNumberFormat="1" applyFill="1" applyBorder="1" applyAlignment="1" applyProtection="1">
      <alignment/>
      <protection/>
    </xf>
    <xf numFmtId="198" fontId="0" fillId="0" borderId="57" xfId="0" applyNumberFormat="1" applyFill="1" applyBorder="1" applyAlignment="1" applyProtection="1">
      <alignment horizontal="center"/>
      <protection/>
    </xf>
    <xf numFmtId="198" fontId="0" fillId="0" borderId="57" xfId="0" applyNumberFormat="1" applyFill="1" applyBorder="1" applyAlignment="1" applyProtection="1">
      <alignment/>
      <protection/>
    </xf>
    <xf numFmtId="181" fontId="46" fillId="0" borderId="58" xfId="94" applyNumberFormat="1" applyFont="1" applyFill="1" applyBorder="1" applyAlignment="1" applyProtection="1">
      <alignment/>
      <protection/>
    </xf>
    <xf numFmtId="181" fontId="47" fillId="0" borderId="58" xfId="94" applyNumberFormat="1" applyFont="1" applyFill="1" applyBorder="1" applyAlignment="1" applyProtection="1">
      <alignment/>
      <protection/>
    </xf>
    <xf numFmtId="181" fontId="31" fillId="0" borderId="58" xfId="94" applyNumberFormat="1" applyFont="1" applyFill="1" applyBorder="1" applyAlignment="1" applyProtection="1">
      <alignment vertical="center"/>
      <protection/>
    </xf>
    <xf numFmtId="181" fontId="48" fillId="0" borderId="58" xfId="94" applyNumberFormat="1" applyFont="1" applyFill="1" applyBorder="1" applyAlignment="1" applyProtection="1">
      <alignment vertical="center"/>
      <protection/>
    </xf>
    <xf numFmtId="181" fontId="49" fillId="0" borderId="58" xfId="94" applyNumberFormat="1" applyFont="1" applyFill="1" applyBorder="1" applyAlignment="1" applyProtection="1">
      <alignment vertical="center"/>
      <protection/>
    </xf>
    <xf numFmtId="0" fontId="0" fillId="0" borderId="58" xfId="0" applyFill="1" applyBorder="1" applyAlignment="1" applyProtection="1">
      <alignment/>
      <protection/>
    </xf>
    <xf numFmtId="181" fontId="47" fillId="0" borderId="58" xfId="94" applyNumberFormat="1" applyFont="1" applyFill="1" applyBorder="1" applyAlignment="1" applyProtection="1">
      <alignment vertical="center"/>
      <protection/>
    </xf>
    <xf numFmtId="0" fontId="0" fillId="0" borderId="58" xfId="0" applyBorder="1" applyAlignment="1" applyProtection="1">
      <alignment/>
      <protection/>
    </xf>
    <xf numFmtId="0" fontId="0" fillId="0" borderId="58" xfId="0" applyBorder="1" applyAlignment="1">
      <alignment/>
    </xf>
    <xf numFmtId="0" fontId="0" fillId="33" borderId="59" xfId="0" applyFill="1" applyBorder="1" applyAlignment="1">
      <alignment/>
    </xf>
    <xf numFmtId="181" fontId="50" fillId="0" borderId="60" xfId="0" applyNumberFormat="1" applyFont="1" applyFill="1" applyBorder="1" applyAlignment="1" applyProtection="1">
      <alignment horizontal="center" vertical="center"/>
      <protection/>
    </xf>
    <xf numFmtId="181" fontId="50" fillId="0" borderId="61" xfId="0" applyNumberFormat="1" applyFont="1" applyFill="1" applyBorder="1" applyAlignment="1" applyProtection="1">
      <alignment horizontal="center" vertical="center" wrapText="1"/>
      <protection/>
    </xf>
    <xf numFmtId="0" fontId="1" fillId="0" borderId="62" xfId="0" applyFont="1" applyFill="1" applyBorder="1" applyAlignment="1" applyProtection="1">
      <alignment horizontal="center"/>
      <protection/>
    </xf>
    <xf numFmtId="184" fontId="20" fillId="37" borderId="63" xfId="0" applyNumberFormat="1" applyFont="1" applyFill="1" applyBorder="1" applyAlignment="1" applyProtection="1">
      <alignment horizontal="center"/>
      <protection locked="0"/>
    </xf>
    <xf numFmtId="184" fontId="20" fillId="37" borderId="64" xfId="0" applyNumberFormat="1" applyFont="1" applyFill="1" applyBorder="1" applyAlignment="1" applyProtection="1">
      <alignment horizontal="center"/>
      <protection locked="0"/>
    </xf>
    <xf numFmtId="181" fontId="50" fillId="0" borderId="65" xfId="0" applyNumberFormat="1" applyFont="1" applyFill="1" applyBorder="1" applyAlignment="1" applyProtection="1">
      <alignment horizontal="center" vertical="center"/>
      <protection/>
    </xf>
    <xf numFmtId="0" fontId="50" fillId="0" borderId="66" xfId="0" applyFont="1" applyFill="1" applyBorder="1" applyAlignment="1" applyProtection="1">
      <alignment horizontal="center" vertical="center"/>
      <protection/>
    </xf>
    <xf numFmtId="181" fontId="50" fillId="0" borderId="67" xfId="0" applyNumberFormat="1" applyFont="1" applyFill="1" applyBorder="1" applyAlignment="1" applyProtection="1">
      <alignment horizontal="center" vertical="center"/>
      <protection/>
    </xf>
    <xf numFmtId="181" fontId="50" fillId="0" borderId="68" xfId="0" applyNumberFormat="1" applyFont="1" applyFill="1" applyBorder="1" applyAlignment="1" applyProtection="1">
      <alignment horizontal="center" vertical="center" wrapText="1"/>
      <protection/>
    </xf>
    <xf numFmtId="0" fontId="1" fillId="0" borderId="69" xfId="0" applyFont="1" applyFill="1" applyBorder="1" applyAlignment="1" applyProtection="1">
      <alignment horizontal="center"/>
      <protection/>
    </xf>
    <xf numFmtId="184" fontId="20" fillId="37" borderId="66" xfId="0" applyNumberFormat="1" applyFont="1" applyFill="1" applyBorder="1" applyAlignment="1" applyProtection="1">
      <alignment horizontal="center"/>
      <protection locked="0"/>
    </xf>
    <xf numFmtId="184" fontId="20" fillId="37" borderId="70"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left"/>
      <protection/>
    </xf>
    <xf numFmtId="199" fontId="51" fillId="33" borderId="14" xfId="0" applyNumberFormat="1" applyFont="1" applyFill="1" applyBorder="1" applyAlignment="1" applyProtection="1">
      <alignment horizontal="center" vertical="center"/>
      <protection locked="0"/>
    </xf>
    <xf numFmtId="0" fontId="51" fillId="38" borderId="14" xfId="0" applyNumberFormat="1" applyFont="1" applyFill="1" applyBorder="1" applyAlignment="1" applyProtection="1">
      <alignment horizontal="center" vertical="center"/>
      <protection locked="0"/>
    </xf>
    <xf numFmtId="0" fontId="51" fillId="33" borderId="14" xfId="73" applyNumberFormat="1" applyFont="1" applyFill="1" applyBorder="1" applyAlignment="1" applyProtection="1">
      <alignment horizontal="center" vertical="center"/>
      <protection locked="0"/>
    </xf>
    <xf numFmtId="199" fontId="51" fillId="33" borderId="71" xfId="0" applyNumberFormat="1" applyFont="1" applyFill="1" applyBorder="1" applyAlignment="1" applyProtection="1">
      <alignment horizontal="center" vertical="center"/>
      <protection locked="0"/>
    </xf>
    <xf numFmtId="188" fontId="51" fillId="33" borderId="14" xfId="0" applyNumberFormat="1" applyFont="1" applyFill="1" applyBorder="1" applyAlignment="1" applyProtection="1">
      <alignment horizontal="center" vertical="center"/>
      <protection locked="0"/>
    </xf>
    <xf numFmtId="188" fontId="51" fillId="33" borderId="72" xfId="0" applyNumberFormat="1" applyFont="1" applyFill="1" applyBorder="1" applyAlignment="1" applyProtection="1">
      <alignment horizontal="center" vertical="center"/>
      <protection locked="0"/>
    </xf>
    <xf numFmtId="199" fontId="51" fillId="38" borderId="14" xfId="0" applyNumberFormat="1" applyFont="1" applyFill="1" applyBorder="1" applyAlignment="1" applyProtection="1">
      <alignment horizontal="center" vertical="center"/>
      <protection locked="0"/>
    </xf>
    <xf numFmtId="49" fontId="1" fillId="39" borderId="14" xfId="0" applyNumberFormat="1" applyFont="1" applyFill="1" applyBorder="1" applyAlignment="1" applyProtection="1">
      <alignment horizontal="left"/>
      <protection/>
    </xf>
    <xf numFmtId="188" fontId="51" fillId="38" borderId="14" xfId="0" applyNumberFormat="1" applyFont="1" applyFill="1" applyBorder="1" applyAlignment="1" applyProtection="1">
      <alignment horizontal="center" vertical="center"/>
      <protection locked="0"/>
    </xf>
    <xf numFmtId="199" fontId="51" fillId="38" borderId="71" xfId="0" applyNumberFormat="1" applyFont="1" applyFill="1" applyBorder="1" applyAlignment="1" applyProtection="1">
      <alignment horizontal="center" vertical="center"/>
      <protection locked="0"/>
    </xf>
    <xf numFmtId="188" fontId="51" fillId="38" borderId="72" xfId="0" applyNumberFormat="1" applyFont="1" applyFill="1" applyBorder="1" applyAlignment="1" applyProtection="1">
      <alignment horizontal="center" vertical="center"/>
      <protection locked="0"/>
    </xf>
    <xf numFmtId="188" fontId="52" fillId="38" borderId="73" xfId="0" applyNumberFormat="1" applyFont="1" applyFill="1" applyBorder="1" applyAlignment="1" applyProtection="1">
      <alignment horizontal="left" vertical="center" wrapText="1"/>
      <protection locked="0"/>
    </xf>
    <xf numFmtId="49" fontId="1" fillId="39" borderId="74" xfId="0" applyNumberFormat="1" applyFont="1" applyFill="1" applyBorder="1" applyAlignment="1" applyProtection="1">
      <alignment horizontal="left"/>
      <protection/>
    </xf>
    <xf numFmtId="0" fontId="51" fillId="33" borderId="14" xfId="0" applyNumberFormat="1" applyFont="1" applyFill="1" applyBorder="1" applyAlignment="1" applyProtection="1">
      <alignment horizontal="center" vertical="center"/>
      <protection locked="0"/>
    </xf>
    <xf numFmtId="188" fontId="51" fillId="38" borderId="74" xfId="0" applyNumberFormat="1" applyFont="1" applyFill="1" applyBorder="1" applyAlignment="1" applyProtection="1">
      <alignment horizontal="center" vertical="center"/>
      <protection locked="0"/>
    </xf>
    <xf numFmtId="188" fontId="51" fillId="38" borderId="75" xfId="0" applyNumberFormat="1" applyFont="1" applyFill="1" applyBorder="1" applyAlignment="1" applyProtection="1">
      <alignment horizontal="center" vertical="center"/>
      <protection locked="0"/>
    </xf>
    <xf numFmtId="200" fontId="51" fillId="38" borderId="14" xfId="0" applyNumberFormat="1" applyFont="1" applyFill="1" applyBorder="1" applyAlignment="1" applyProtection="1">
      <alignment horizontal="center" vertical="center"/>
      <protection locked="0"/>
    </xf>
    <xf numFmtId="201" fontId="51" fillId="38" borderId="14" xfId="0" applyNumberFormat="1" applyFont="1" applyFill="1" applyBorder="1" applyAlignment="1" applyProtection="1">
      <alignment horizontal="center" vertical="center"/>
      <protection locked="0"/>
    </xf>
    <xf numFmtId="188" fontId="51" fillId="38" borderId="71" xfId="0" applyNumberFormat="1" applyFont="1" applyFill="1" applyBorder="1" applyAlignment="1" applyProtection="1">
      <alignment horizontal="center" vertical="center"/>
      <protection locked="0"/>
    </xf>
    <xf numFmtId="49" fontId="51" fillId="38" borderId="14" xfId="0" applyNumberFormat="1" applyFont="1" applyFill="1" applyBorder="1" applyAlignment="1" applyProtection="1">
      <alignment horizontal="center" vertical="center"/>
      <protection locked="0"/>
    </xf>
    <xf numFmtId="188" fontId="52" fillId="38" borderId="73" xfId="0" applyNumberFormat="1" applyFont="1" applyFill="1" applyBorder="1" applyAlignment="1" applyProtection="1">
      <alignment horizontal="center" vertical="center" wrapText="1"/>
      <protection locked="0"/>
    </xf>
    <xf numFmtId="202" fontId="51" fillId="38" borderId="14" xfId="0" applyNumberFormat="1" applyFont="1" applyFill="1" applyBorder="1" applyAlignment="1" applyProtection="1">
      <alignment horizontal="center" vertical="center"/>
      <protection locked="0"/>
    </xf>
    <xf numFmtId="191" fontId="51" fillId="38" borderId="14" xfId="0" applyNumberFormat="1" applyFont="1" applyFill="1" applyBorder="1" applyAlignment="1" applyProtection="1">
      <alignment horizontal="center" vertical="center"/>
      <protection locked="0"/>
    </xf>
    <xf numFmtId="203" fontId="51" fillId="38" borderId="14" xfId="0" applyNumberFormat="1" applyFont="1" applyFill="1" applyBorder="1" applyAlignment="1" applyProtection="1">
      <alignment horizontal="center" vertical="center"/>
      <protection locked="0"/>
    </xf>
    <xf numFmtId="191" fontId="51" fillId="33" borderId="14" xfId="0" applyNumberFormat="1" applyFont="1" applyFill="1" applyBorder="1" applyAlignment="1" applyProtection="1">
      <alignment horizontal="center" vertical="center"/>
      <protection locked="0"/>
    </xf>
    <xf numFmtId="188" fontId="51" fillId="33" borderId="71" xfId="0" applyNumberFormat="1" applyFont="1" applyFill="1" applyBorder="1" applyAlignment="1" applyProtection="1">
      <alignment horizontal="center" vertical="center"/>
      <protection locked="0"/>
    </xf>
    <xf numFmtId="49" fontId="51" fillId="33" borderId="14" xfId="0" applyNumberFormat="1" applyFont="1" applyFill="1" applyBorder="1" applyAlignment="1" applyProtection="1">
      <alignment horizontal="center" vertical="center"/>
      <protection locked="0"/>
    </xf>
    <xf numFmtId="204" fontId="51" fillId="38" borderId="14" xfId="0" applyNumberFormat="1" applyFont="1" applyFill="1" applyBorder="1" applyAlignment="1" applyProtection="1">
      <alignment horizontal="center" vertical="center"/>
      <protection locked="0"/>
    </xf>
    <xf numFmtId="1" fontId="51" fillId="33" borderId="14" xfId="0" applyNumberFormat="1" applyFont="1" applyFill="1" applyBorder="1" applyAlignment="1" applyProtection="1">
      <alignment horizontal="center" vertical="center"/>
      <protection locked="0"/>
    </xf>
    <xf numFmtId="205" fontId="51" fillId="38" borderId="71" xfId="0" applyNumberFormat="1" applyFont="1" applyFill="1" applyBorder="1" applyAlignment="1" applyProtection="1">
      <alignment horizontal="center" vertical="center"/>
      <protection locked="0"/>
    </xf>
    <xf numFmtId="206" fontId="51" fillId="38" borderId="76" xfId="0" applyNumberFormat="1" applyFont="1" applyFill="1" applyBorder="1" applyAlignment="1" applyProtection="1">
      <alignment horizontal="center" vertical="center"/>
      <protection locked="0"/>
    </xf>
    <xf numFmtId="49" fontId="51" fillId="38" borderId="74" xfId="0" applyNumberFormat="1" applyFont="1" applyFill="1" applyBorder="1" applyAlignment="1" applyProtection="1">
      <alignment horizontal="center" vertical="center"/>
      <protection locked="0"/>
    </xf>
    <xf numFmtId="181" fontId="59" fillId="0" borderId="0" xfId="54" applyFont="1" applyFill="1" applyAlignment="1" applyProtection="1">
      <alignment vertical="center"/>
      <protection/>
    </xf>
    <xf numFmtId="181" fontId="60" fillId="0" borderId="0" xfId="66" applyFont="1" applyFill="1" applyAlignment="1" applyProtection="1">
      <alignment horizontal="right" vertical="center"/>
      <protection/>
    </xf>
    <xf numFmtId="0" fontId="27" fillId="0" borderId="0" xfId="0" applyFont="1" applyFill="1" applyBorder="1" applyAlignment="1" applyProtection="1">
      <alignment horizontal="center"/>
      <protection/>
    </xf>
    <xf numFmtId="0" fontId="61" fillId="0" borderId="0" xfId="0" applyFont="1" applyFill="1" applyBorder="1" applyAlignment="1" applyProtection="1">
      <alignment horizontal="left"/>
      <protection/>
    </xf>
    <xf numFmtId="0" fontId="62" fillId="0" borderId="0" xfId="0" applyFont="1" applyFill="1" applyAlignment="1" applyProtection="1">
      <alignment/>
      <protection/>
    </xf>
    <xf numFmtId="0" fontId="27" fillId="0" borderId="0" xfId="0" applyFont="1" applyAlignment="1" applyProtection="1">
      <alignment/>
      <protection/>
    </xf>
    <xf numFmtId="181" fontId="63" fillId="0" borderId="0" xfId="66" applyFont="1" applyFill="1" applyAlignment="1" applyProtection="1">
      <alignment/>
      <protection/>
    </xf>
    <xf numFmtId="181" fontId="63" fillId="0" borderId="0" xfId="66" applyFont="1" applyFill="1" applyAlignment="1" applyProtection="1">
      <alignment horizontal="center"/>
      <protection/>
    </xf>
    <xf numFmtId="181" fontId="63" fillId="0" borderId="0" xfId="66" applyFont="1" applyFill="1" applyAlignment="1" applyProtection="1">
      <alignment horizontal="right"/>
      <protection/>
    </xf>
    <xf numFmtId="181" fontId="63" fillId="0" borderId="0" xfId="66" applyFont="1" applyFill="1" applyBorder="1" applyAlignment="1" applyProtection="1">
      <alignment horizontal="center"/>
      <protection/>
    </xf>
    <xf numFmtId="181" fontId="0" fillId="0" borderId="0" xfId="65" applyProtection="1">
      <alignment/>
      <protection/>
    </xf>
    <xf numFmtId="0" fontId="27" fillId="0" borderId="0" xfId="0" applyFont="1" applyAlignment="1" applyProtection="1">
      <alignment horizontal="left" indent="1"/>
      <protection/>
    </xf>
    <xf numFmtId="0" fontId="6" fillId="0" borderId="0" xfId="0" applyFont="1" applyAlignment="1" applyProtection="1">
      <alignment horizontal="left" indent="1"/>
      <protection/>
    </xf>
    <xf numFmtId="181" fontId="0" fillId="0" borderId="77" xfId="88" applyNumberFormat="1" applyFont="1" applyFill="1" applyBorder="1" applyAlignment="1" applyProtection="1">
      <alignment horizontal="right"/>
      <protection/>
    </xf>
    <xf numFmtId="207" fontId="21" fillId="35" borderId="77" xfId="88" applyNumberFormat="1" applyFont="1" applyFill="1" applyBorder="1" applyAlignment="1" applyProtection="1">
      <alignment horizontal="center" vertical="center"/>
      <protection/>
    </xf>
    <xf numFmtId="181" fontId="60" fillId="0" borderId="77" xfId="88" applyNumberFormat="1" applyFont="1" applyFill="1" applyBorder="1" applyAlignment="1" applyProtection="1">
      <alignment horizontal="right"/>
      <protection/>
    </xf>
    <xf numFmtId="181" fontId="21" fillId="35" borderId="77" xfId="88" applyNumberFormat="1" applyFont="1" applyFill="1" applyBorder="1" applyAlignment="1" applyProtection="1">
      <alignment horizontal="center" vertical="center"/>
      <protection/>
    </xf>
    <xf numFmtId="183" fontId="21" fillId="35" borderId="77" xfId="88" applyNumberFormat="1" applyFont="1" applyFill="1" applyBorder="1" applyAlignment="1" applyProtection="1">
      <alignment horizontal="center" vertical="center"/>
      <protection/>
    </xf>
    <xf numFmtId="181" fontId="27" fillId="0" borderId="0" xfId="65" applyFont="1" applyProtection="1">
      <alignment/>
      <protection/>
    </xf>
    <xf numFmtId="209" fontId="21" fillId="35" borderId="77" xfId="88" applyNumberFormat="1" applyFont="1" applyFill="1" applyBorder="1" applyAlignment="1" applyProtection="1">
      <alignment horizontal="center"/>
      <protection/>
    </xf>
    <xf numFmtId="188" fontId="21" fillId="35" borderId="77" xfId="88" applyNumberFormat="1" applyFont="1" applyFill="1" applyBorder="1" applyAlignment="1" applyProtection="1">
      <alignment horizontal="center"/>
      <protection/>
    </xf>
    <xf numFmtId="181" fontId="21" fillId="35" borderId="77" xfId="88" applyNumberFormat="1" applyFont="1" applyFill="1" applyBorder="1" applyAlignment="1" applyProtection="1">
      <alignment horizontal="center"/>
      <protection/>
    </xf>
    <xf numFmtId="0" fontId="27" fillId="0" borderId="0" xfId="0" applyFont="1" applyFill="1" applyBorder="1" applyAlignment="1" applyProtection="1">
      <alignment/>
      <protection/>
    </xf>
    <xf numFmtId="183" fontId="21" fillId="35" borderId="77" xfId="88" applyNumberFormat="1" applyFont="1" applyFill="1" applyBorder="1" applyAlignment="1" applyProtection="1">
      <alignment horizontal="center"/>
      <protection/>
    </xf>
    <xf numFmtId="0" fontId="65" fillId="0" borderId="0" xfId="0" applyFont="1" applyFill="1" applyBorder="1" applyAlignment="1" applyProtection="1">
      <alignment/>
      <protection/>
    </xf>
    <xf numFmtId="0" fontId="6" fillId="0" borderId="0" xfId="65" applyNumberFormat="1" applyFont="1" applyBorder="1" applyProtection="1">
      <alignment/>
      <protection/>
    </xf>
    <xf numFmtId="181" fontId="66" fillId="0" borderId="0" xfId="65" applyFont="1" applyProtection="1">
      <alignment/>
      <protection/>
    </xf>
    <xf numFmtId="181" fontId="27" fillId="0" borderId="0" xfId="67" applyFont="1" applyProtection="1">
      <alignment/>
      <protection/>
    </xf>
    <xf numFmtId="181" fontId="66" fillId="0" borderId="0" xfId="67" applyFont="1" applyProtection="1">
      <alignment/>
      <protection/>
    </xf>
    <xf numFmtId="181" fontId="3" fillId="0" borderId="0" xfId="54" applyFont="1" applyFill="1" applyAlignment="1">
      <alignment vertical="center"/>
      <protection/>
    </xf>
    <xf numFmtId="181" fontId="23" fillId="0" borderId="0" xfId="0" applyNumberFormat="1" applyFont="1" applyAlignment="1" applyProtection="1">
      <alignment horizontal="right"/>
      <protection/>
    </xf>
    <xf numFmtId="181" fontId="23" fillId="0" borderId="0" xfId="0" applyNumberFormat="1" applyFont="1" applyBorder="1" applyAlignment="1" applyProtection="1">
      <alignment horizontal="right"/>
      <protection/>
    </xf>
    <xf numFmtId="0" fontId="23" fillId="0" borderId="0" xfId="0" applyNumberFormat="1" applyFont="1" applyAlignment="1" applyProtection="1">
      <alignment horizontal="center"/>
      <protection/>
    </xf>
    <xf numFmtId="0" fontId="65" fillId="0" borderId="0" xfId="0" applyFont="1" applyAlignment="1">
      <alignment/>
    </xf>
    <xf numFmtId="183" fontId="23" fillId="0" borderId="0" xfId="0" applyNumberFormat="1" applyFont="1" applyAlignment="1" applyProtection="1">
      <alignment horizontal="center"/>
      <protection/>
    </xf>
    <xf numFmtId="181" fontId="23" fillId="0" borderId="0" xfId="0" applyNumberFormat="1" applyFont="1" applyAlignment="1" applyProtection="1">
      <alignment/>
      <protection/>
    </xf>
    <xf numFmtId="185" fontId="23" fillId="0" borderId="0" xfId="48" applyNumberFormat="1" applyFont="1" applyFill="1" applyBorder="1" applyAlignment="1" applyProtection="1">
      <alignment horizontal="left"/>
      <protection/>
    </xf>
    <xf numFmtId="181" fontId="23" fillId="0" borderId="0" xfId="0" applyNumberFormat="1" applyFont="1" applyBorder="1" applyAlignment="1" applyProtection="1">
      <alignment/>
      <protection/>
    </xf>
    <xf numFmtId="0" fontId="63" fillId="0" borderId="0" xfId="0" applyFont="1" applyBorder="1" applyAlignment="1" applyProtection="1">
      <alignment horizontal="center"/>
      <protection/>
    </xf>
    <xf numFmtId="0" fontId="63" fillId="0" borderId="0" xfId="0" applyFont="1" applyAlignment="1" applyProtection="1">
      <alignment horizontal="center"/>
      <protection/>
    </xf>
    <xf numFmtId="183" fontId="23" fillId="0" borderId="0" xfId="0" applyNumberFormat="1" applyFont="1" applyAlignment="1" applyProtection="1">
      <alignment horizontal="right"/>
      <protection/>
    </xf>
    <xf numFmtId="183" fontId="23" fillId="0" borderId="0" xfId="0" applyNumberFormat="1" applyFont="1" applyAlignment="1" applyProtection="1">
      <alignment horizontal="left"/>
      <protection/>
    </xf>
    <xf numFmtId="181" fontId="68" fillId="0" borderId="0" xfId="0" applyNumberFormat="1" applyFont="1" applyBorder="1" applyAlignment="1" applyProtection="1">
      <alignment/>
      <protection/>
    </xf>
    <xf numFmtId="0" fontId="69" fillId="0" borderId="0" xfId="0" applyFont="1" applyBorder="1" applyAlignment="1" applyProtection="1">
      <alignment/>
      <protection/>
    </xf>
    <xf numFmtId="0" fontId="70" fillId="33" borderId="0" xfId="0" applyNumberFormat="1" applyFont="1" applyFill="1" applyBorder="1" applyAlignment="1" applyProtection="1">
      <alignment horizontal="left"/>
      <protection locked="0"/>
    </xf>
    <xf numFmtId="0" fontId="69" fillId="33" borderId="0" xfId="0" applyNumberFormat="1" applyFont="1" applyFill="1" applyBorder="1" applyAlignment="1" applyProtection="1">
      <alignment horizontal="left"/>
      <protection locked="0"/>
    </xf>
    <xf numFmtId="0" fontId="27" fillId="0" borderId="0" xfId="0" applyFont="1" applyAlignment="1">
      <alignment/>
    </xf>
    <xf numFmtId="181" fontId="71" fillId="0" borderId="0" xfId="0" applyNumberFormat="1" applyFont="1" applyAlignment="1" applyProtection="1">
      <alignment/>
      <protection/>
    </xf>
    <xf numFmtId="0" fontId="0" fillId="0" borderId="0" xfId="0" applyBorder="1" applyAlignment="1">
      <alignment horizontal="left" wrapText="1"/>
    </xf>
    <xf numFmtId="0" fontId="69" fillId="0" borderId="0" xfId="0" applyFont="1" applyFill="1" applyAlignment="1" applyProtection="1">
      <alignment horizontal="left"/>
      <protection locked="0"/>
    </xf>
    <xf numFmtId="0" fontId="69" fillId="0" borderId="0" xfId="0" applyFont="1" applyFill="1" applyBorder="1" applyAlignment="1" applyProtection="1">
      <alignment horizontal="left"/>
      <protection locked="0"/>
    </xf>
    <xf numFmtId="181" fontId="72" fillId="0" borderId="0" xfId="0" applyNumberFormat="1" applyFont="1" applyBorder="1" applyAlignment="1" applyProtection="1">
      <alignment vertical="center" wrapText="1"/>
      <protection/>
    </xf>
    <xf numFmtId="181" fontId="72" fillId="0" borderId="54" xfId="0" applyNumberFormat="1" applyFont="1" applyFill="1" applyBorder="1" applyAlignment="1" applyProtection="1">
      <alignment horizontal="center" wrapText="1"/>
      <protection/>
    </xf>
    <xf numFmtId="181" fontId="72" fillId="0" borderId="56" xfId="0" applyNumberFormat="1" applyFont="1" applyFill="1" applyBorder="1" applyAlignment="1" applyProtection="1">
      <alignment horizontal="center" wrapText="1"/>
      <protection/>
    </xf>
    <xf numFmtId="0" fontId="72" fillId="0" borderId="0" xfId="0" applyFont="1" applyFill="1" applyBorder="1" applyAlignment="1" applyProtection="1">
      <alignment wrapText="1"/>
      <protection/>
    </xf>
    <xf numFmtId="0" fontId="68" fillId="0" borderId="36" xfId="0" applyFont="1" applyFill="1" applyBorder="1" applyAlignment="1" applyProtection="1">
      <alignment horizontal="center"/>
      <protection/>
    </xf>
    <xf numFmtId="0" fontId="32" fillId="34" borderId="78" xfId="0" applyFont="1" applyFill="1" applyBorder="1" applyAlignment="1" applyProtection="1">
      <alignment horizontal="center"/>
      <protection/>
    </xf>
    <xf numFmtId="0" fontId="68" fillId="0" borderId="79" xfId="0" applyFont="1" applyFill="1" applyBorder="1" applyAlignment="1" applyProtection="1">
      <alignment horizontal="center"/>
      <protection/>
    </xf>
    <xf numFmtId="0" fontId="32" fillId="34" borderId="80" xfId="0" applyFont="1" applyFill="1" applyBorder="1" applyAlignment="1" applyProtection="1">
      <alignment horizontal="center"/>
      <protection/>
    </xf>
    <xf numFmtId="0" fontId="69" fillId="0" borderId="0" xfId="0" applyFont="1" applyAlignment="1" applyProtection="1">
      <alignment/>
      <protection/>
    </xf>
    <xf numFmtId="181" fontId="0" fillId="0" borderId="0" xfId="0" applyNumberFormat="1" applyAlignment="1">
      <alignment/>
    </xf>
    <xf numFmtId="181" fontId="3" fillId="0" borderId="0" xfId="64" applyFont="1" applyFill="1" applyAlignment="1">
      <alignment vertical="center"/>
      <protection/>
    </xf>
    <xf numFmtId="181" fontId="23" fillId="0" borderId="0" xfId="0" applyNumberFormat="1" applyFont="1" applyAlignment="1">
      <alignment horizontal="right"/>
    </xf>
    <xf numFmtId="181" fontId="23" fillId="0" borderId="0" xfId="0" applyNumberFormat="1" applyFont="1" applyAlignment="1">
      <alignment/>
    </xf>
    <xf numFmtId="181" fontId="71" fillId="0" borderId="0" xfId="0" applyNumberFormat="1" applyFont="1" applyAlignment="1">
      <alignment/>
    </xf>
    <xf numFmtId="0" fontId="69" fillId="0" borderId="0" xfId="0" applyFont="1" applyAlignment="1">
      <alignment/>
    </xf>
    <xf numFmtId="0" fontId="69" fillId="33" borderId="0" xfId="0" applyNumberFormat="1" applyFont="1" applyFill="1" applyAlignment="1" applyProtection="1">
      <alignment horizontal="left"/>
      <protection locked="0"/>
    </xf>
    <xf numFmtId="0" fontId="0" fillId="0" borderId="0" xfId="0" applyBorder="1" applyAlignment="1">
      <alignment horizontal="left"/>
    </xf>
    <xf numFmtId="210" fontId="0" fillId="0" borderId="0" xfId="0" applyNumberFormat="1" applyAlignment="1">
      <alignment/>
    </xf>
    <xf numFmtId="0" fontId="20" fillId="0" borderId="0" xfId="0" applyFont="1" applyBorder="1" applyAlignment="1">
      <alignment horizontal="center"/>
    </xf>
    <xf numFmtId="211" fontId="0" fillId="0" borderId="0" xfId="88" applyNumberFormat="1" applyFill="1" applyBorder="1" applyAlignment="1" applyProtection="1">
      <alignment horizontal="center"/>
      <protection locked="0"/>
    </xf>
    <xf numFmtId="211" fontId="0" fillId="0" borderId="0" xfId="0" applyNumberFormat="1" applyFill="1" applyAlignment="1">
      <alignment/>
    </xf>
    <xf numFmtId="183" fontId="0" fillId="0" borderId="0" xfId="0" applyNumberFormat="1" applyFont="1" applyFill="1" applyBorder="1" applyAlignment="1">
      <alignment horizontal="center"/>
    </xf>
    <xf numFmtId="1" fontId="33" fillId="0" borderId="0" xfId="0" applyNumberFormat="1" applyFont="1" applyFill="1" applyBorder="1" applyAlignment="1">
      <alignment horizontal="center"/>
    </xf>
    <xf numFmtId="1" fontId="61" fillId="36" borderId="0" xfId="0" applyNumberFormat="1" applyFont="1" applyFill="1" applyBorder="1" applyAlignment="1">
      <alignment horizontal="center"/>
    </xf>
    <xf numFmtId="0" fontId="0" fillId="0" borderId="0" xfId="0" applyFont="1" applyFill="1" applyBorder="1" applyAlignment="1">
      <alignment/>
    </xf>
    <xf numFmtId="0" fontId="23" fillId="0" borderId="0" xfId="0" applyFont="1" applyFill="1" applyBorder="1" applyAlignment="1" applyProtection="1">
      <alignment wrapText="1"/>
      <protection/>
    </xf>
    <xf numFmtId="0" fontId="23" fillId="0" borderId="54" xfId="0" applyFont="1" applyFill="1" applyBorder="1" applyAlignment="1" applyProtection="1">
      <alignment horizontal="center" wrapText="1"/>
      <protection/>
    </xf>
    <xf numFmtId="0" fontId="23" fillId="0" borderId="81" xfId="0" applyFont="1" applyFill="1" applyBorder="1" applyAlignment="1" applyProtection="1">
      <alignment wrapText="1"/>
      <protection/>
    </xf>
    <xf numFmtId="0" fontId="69" fillId="0" borderId="55" xfId="0" applyFont="1" applyFill="1" applyBorder="1" applyAlignment="1" applyProtection="1">
      <alignment horizontal="center" wrapText="1"/>
      <protection/>
    </xf>
    <xf numFmtId="0" fontId="23" fillId="0" borderId="55" xfId="0" applyNumberFormat="1" applyFont="1" applyFill="1" applyBorder="1" applyAlignment="1" applyProtection="1">
      <alignment horizontal="center" wrapText="1"/>
      <protection/>
    </xf>
    <xf numFmtId="0" fontId="69" fillId="0" borderId="82" xfId="0" applyNumberFormat="1" applyFont="1" applyFill="1" applyBorder="1" applyAlignment="1" applyProtection="1">
      <alignment horizontal="center" wrapText="1"/>
      <protection/>
    </xf>
    <xf numFmtId="0" fontId="33" fillId="36" borderId="11" xfId="0" applyFont="1" applyFill="1" applyBorder="1" applyAlignment="1" applyProtection="1">
      <alignment/>
      <protection/>
    </xf>
    <xf numFmtId="198" fontId="0" fillId="36" borderId="14" xfId="0" applyNumberFormat="1" applyFill="1" applyBorder="1" applyAlignment="1" applyProtection="1">
      <alignment horizontal="center"/>
      <protection/>
    </xf>
    <xf numFmtId="198" fontId="0" fillId="0" borderId="14" xfId="0" applyNumberFormat="1" applyBorder="1" applyAlignment="1" applyProtection="1">
      <alignment horizontal="center"/>
      <protection/>
    </xf>
    <xf numFmtId="198" fontId="27" fillId="40" borderId="83" xfId="0" applyNumberFormat="1" applyFont="1" applyFill="1" applyBorder="1" applyAlignment="1" applyProtection="1">
      <alignment horizontal="center"/>
      <protection/>
    </xf>
    <xf numFmtId="198" fontId="27" fillId="0" borderId="83" xfId="0" applyNumberFormat="1" applyFont="1" applyFill="1" applyBorder="1" applyAlignment="1" applyProtection="1">
      <alignment horizontal="center"/>
      <protection/>
    </xf>
    <xf numFmtId="0" fontId="23" fillId="0" borderId="0" xfId="0" applyFont="1" applyAlignment="1" applyProtection="1">
      <alignment horizontal="center"/>
      <protection/>
    </xf>
    <xf numFmtId="181" fontId="23" fillId="0" borderId="0" xfId="0" applyNumberFormat="1" applyFont="1" applyAlignment="1" applyProtection="1">
      <alignment/>
      <protection/>
    </xf>
    <xf numFmtId="183" fontId="23" fillId="0" borderId="0" xfId="0" applyNumberFormat="1" applyFont="1" applyAlignment="1">
      <alignment/>
    </xf>
    <xf numFmtId="0" fontId="75" fillId="0" borderId="0" xfId="0" applyFont="1" applyAlignment="1">
      <alignment/>
    </xf>
    <xf numFmtId="0" fontId="27" fillId="0" borderId="0" xfId="0" applyNumberFormat="1" applyFont="1" applyAlignment="1">
      <alignment/>
    </xf>
    <xf numFmtId="181" fontId="20" fillId="0" borderId="0" xfId="0" applyNumberFormat="1" applyFont="1" applyAlignment="1" applyProtection="1">
      <alignment horizontal="center"/>
      <protection/>
    </xf>
    <xf numFmtId="181" fontId="0" fillId="0" borderId="0" xfId="0" applyNumberFormat="1" applyAlignment="1" applyProtection="1">
      <alignment horizontal="right"/>
      <protection/>
    </xf>
    <xf numFmtId="183" fontId="32" fillId="0" borderId="0" xfId="0" applyNumberFormat="1" applyFont="1" applyAlignment="1" applyProtection="1">
      <alignment horizontal="center"/>
      <protection/>
    </xf>
    <xf numFmtId="0" fontId="0" fillId="0" borderId="84" xfId="0" applyBorder="1" applyAlignment="1">
      <alignment/>
    </xf>
    <xf numFmtId="181" fontId="69" fillId="33" borderId="0" xfId="0" applyNumberFormat="1" applyFont="1" applyFill="1" applyAlignment="1" applyProtection="1">
      <alignment horizontal="left" vertical="top"/>
      <protection locked="0"/>
    </xf>
    <xf numFmtId="181" fontId="69" fillId="33" borderId="71" xfId="0" applyNumberFormat="1" applyFont="1" applyFill="1" applyBorder="1" applyAlignment="1" applyProtection="1">
      <alignment horizontal="left" vertical="top"/>
      <protection locked="0"/>
    </xf>
    <xf numFmtId="0" fontId="69" fillId="0" borderId="14" xfId="0" applyFont="1" applyBorder="1" applyAlignment="1" applyProtection="1">
      <alignment horizontal="center" vertical="center" wrapText="1"/>
      <protection/>
    </xf>
    <xf numFmtId="188" fontId="27" fillId="36" borderId="85" xfId="0" applyNumberFormat="1" applyFont="1" applyFill="1" applyBorder="1" applyAlignment="1">
      <alignment horizontal="right"/>
    </xf>
    <xf numFmtId="188" fontId="27" fillId="36" borderId="85" xfId="48" applyNumberFormat="1" applyFont="1" applyFill="1" applyBorder="1" applyAlignment="1" applyProtection="1">
      <alignment/>
      <protection/>
    </xf>
    <xf numFmtId="9" fontId="27" fillId="36" borderId="85" xfId="73" applyFont="1" applyFill="1" applyBorder="1" applyAlignment="1" applyProtection="1">
      <alignment/>
      <protection/>
    </xf>
    <xf numFmtId="199" fontId="60" fillId="0" borderId="14" xfId="0" applyNumberFormat="1" applyFont="1" applyBorder="1" applyAlignment="1" applyProtection="1">
      <alignment horizontal="center" vertical="center" wrapText="1"/>
      <protection/>
    </xf>
    <xf numFmtId="9" fontId="27" fillId="36" borderId="85" xfId="73" applyNumberFormat="1" applyFont="1" applyFill="1" applyBorder="1" applyAlignment="1" applyProtection="1">
      <alignment/>
      <protection/>
    </xf>
    <xf numFmtId="0" fontId="27" fillId="36" borderId="85" xfId="0" applyFont="1" applyFill="1" applyBorder="1" applyAlignment="1">
      <alignment/>
    </xf>
    <xf numFmtId="181" fontId="27" fillId="0" borderId="0" xfId="0" applyNumberFormat="1" applyFont="1" applyAlignment="1">
      <alignment/>
    </xf>
    <xf numFmtId="200" fontId="60" fillId="0" borderId="14" xfId="0" applyNumberFormat="1" applyFont="1" applyBorder="1" applyAlignment="1" applyProtection="1">
      <alignment horizontal="center" vertical="center" wrapText="1"/>
      <protection/>
    </xf>
    <xf numFmtId="191" fontId="60" fillId="0" borderId="14" xfId="0" applyNumberFormat="1" applyFont="1" applyBorder="1" applyAlignment="1" applyProtection="1">
      <alignment horizontal="center" vertical="center" wrapText="1"/>
      <protection/>
    </xf>
    <xf numFmtId="212" fontId="60" fillId="0" borderId="14" xfId="0" applyNumberFormat="1" applyFont="1" applyBorder="1" applyAlignment="1" applyProtection="1">
      <alignment horizontal="center" vertical="center" wrapText="1"/>
      <protection/>
    </xf>
    <xf numFmtId="204" fontId="60" fillId="0" borderId="14" xfId="0" applyNumberFormat="1" applyFont="1" applyBorder="1" applyAlignment="1" applyProtection="1">
      <alignment horizontal="center" vertical="center" wrapText="1"/>
      <protection/>
    </xf>
    <xf numFmtId="9" fontId="60" fillId="0" borderId="14" xfId="0" applyNumberFormat="1" applyFont="1" applyBorder="1" applyAlignment="1" applyProtection="1">
      <alignment horizontal="center" vertical="center" wrapText="1"/>
      <protection/>
    </xf>
    <xf numFmtId="0" fontId="0" fillId="0" borderId="86" xfId="0" applyFont="1" applyBorder="1" applyAlignment="1">
      <alignment horizontal="left" wrapText="1"/>
    </xf>
    <xf numFmtId="0" fontId="80" fillId="0" borderId="0" xfId="0" applyFont="1" applyAlignment="1">
      <alignment/>
    </xf>
    <xf numFmtId="0" fontId="80" fillId="0" borderId="0" xfId="0" applyFont="1" applyAlignment="1">
      <alignment horizontal="right"/>
    </xf>
    <xf numFmtId="0" fontId="80" fillId="0" borderId="0" xfId="0" applyFont="1" applyAlignment="1" applyProtection="1">
      <alignment/>
      <protection/>
    </xf>
    <xf numFmtId="0" fontId="80" fillId="0" borderId="0" xfId="0" applyFont="1" applyAlignment="1" applyProtection="1">
      <alignment horizontal="right"/>
      <protection/>
    </xf>
    <xf numFmtId="181" fontId="24" fillId="0" borderId="0" xfId="64" applyFont="1" applyFill="1" applyAlignment="1">
      <alignment vertical="center"/>
      <protection/>
    </xf>
    <xf numFmtId="0" fontId="80" fillId="0" borderId="0" xfId="0" applyFont="1" applyBorder="1" applyAlignment="1" applyProtection="1">
      <alignment/>
      <protection/>
    </xf>
    <xf numFmtId="0" fontId="81" fillId="0" borderId="0" xfId="0" applyFont="1" applyBorder="1" applyAlignment="1" applyProtection="1">
      <alignment horizontal="left" vertical="center"/>
      <protection/>
    </xf>
    <xf numFmtId="0" fontId="81" fillId="0" borderId="0" xfId="0" applyFont="1" applyBorder="1" applyAlignment="1" applyProtection="1">
      <alignment horizontal="left"/>
      <protection/>
    </xf>
    <xf numFmtId="213" fontId="81" fillId="0" borderId="0" xfId="0" applyNumberFormat="1" applyFont="1" applyBorder="1" applyAlignment="1" applyProtection="1">
      <alignment horizontal="left"/>
      <protection/>
    </xf>
    <xf numFmtId="0" fontId="80" fillId="0" borderId="0" xfId="0" applyFont="1" applyBorder="1" applyAlignment="1">
      <alignment/>
    </xf>
    <xf numFmtId="0" fontId="83" fillId="0" borderId="0" xfId="0" applyFont="1" applyAlignment="1" applyProtection="1">
      <alignment/>
      <protection/>
    </xf>
    <xf numFmtId="0" fontId="86" fillId="0" borderId="0" xfId="0" applyFont="1" applyFill="1" applyBorder="1" applyAlignment="1" applyProtection="1">
      <alignment horizontal="right"/>
      <protection/>
    </xf>
    <xf numFmtId="0" fontId="83" fillId="0" borderId="0" xfId="0" applyFont="1" applyAlignment="1">
      <alignment/>
    </xf>
    <xf numFmtId="0" fontId="50" fillId="0" borderId="87" xfId="0" applyFont="1" applyFill="1" applyBorder="1" applyAlignment="1" applyProtection="1">
      <alignment horizontal="center" vertical="center" wrapText="1"/>
      <protection/>
    </xf>
    <xf numFmtId="0" fontId="87" fillId="0" borderId="88" xfId="0" applyNumberFormat="1" applyFont="1" applyFill="1" applyBorder="1" applyAlignment="1" applyProtection="1">
      <alignment horizontal="right"/>
      <protection/>
    </xf>
    <xf numFmtId="9" fontId="88" fillId="0" borderId="0" xfId="0" applyNumberFormat="1" applyFont="1" applyFill="1" applyBorder="1" applyAlignment="1" applyProtection="1">
      <alignment/>
      <protection/>
    </xf>
    <xf numFmtId="0" fontId="50" fillId="0" borderId="89" xfId="0" applyFont="1" applyFill="1" applyBorder="1" applyAlignment="1" applyProtection="1">
      <alignment horizontal="center"/>
      <protection/>
    </xf>
    <xf numFmtId="0" fontId="87" fillId="0" borderId="90" xfId="0" applyNumberFormat="1" applyFont="1" applyFill="1" applyBorder="1" applyAlignment="1" applyProtection="1">
      <alignment horizontal="right"/>
      <protection/>
    </xf>
    <xf numFmtId="0" fontId="50" fillId="0" borderId="91" xfId="0" applyFont="1" applyFill="1" applyBorder="1" applyAlignment="1" applyProtection="1">
      <alignment horizontal="center"/>
      <protection/>
    </xf>
    <xf numFmtId="0" fontId="87" fillId="0" borderId="92" xfId="0" applyNumberFormat="1" applyFont="1" applyFill="1" applyBorder="1" applyAlignment="1" applyProtection="1">
      <alignment horizontal="right"/>
      <protection/>
    </xf>
    <xf numFmtId="0" fontId="89" fillId="0" borderId="0" xfId="0" applyFont="1" applyFill="1" applyBorder="1" applyAlignment="1" applyProtection="1">
      <alignment horizontal="center"/>
      <protection/>
    </xf>
    <xf numFmtId="0" fontId="87"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9" fontId="88" fillId="0" borderId="0" xfId="0" applyNumberFormat="1" applyFont="1" applyFill="1" applyBorder="1" applyAlignment="1" applyProtection="1">
      <alignment horizontal="center"/>
      <protection/>
    </xf>
    <xf numFmtId="0" fontId="83" fillId="0" borderId="0" xfId="0" applyFont="1" applyFill="1" applyAlignment="1">
      <alignment/>
    </xf>
    <xf numFmtId="214" fontId="90" fillId="36" borderId="0" xfId="0" applyNumberFormat="1" applyFont="1" applyFill="1" applyBorder="1" applyAlignment="1" applyProtection="1">
      <alignment vertical="center"/>
      <protection/>
    </xf>
    <xf numFmtId="0" fontId="87" fillId="36" borderId="0" xfId="0" applyNumberFormat="1" applyFont="1" applyFill="1" applyBorder="1" applyAlignment="1" applyProtection="1">
      <alignment horizontal="right"/>
      <protection/>
    </xf>
    <xf numFmtId="0" fontId="9" fillId="36" borderId="0" xfId="0" applyFont="1" applyFill="1" applyBorder="1" applyAlignment="1" applyProtection="1">
      <alignment horizontal="center" vertical="center"/>
      <protection/>
    </xf>
    <xf numFmtId="0" fontId="91" fillId="36" borderId="0" xfId="0" applyFont="1" applyFill="1" applyBorder="1" applyAlignment="1" applyProtection="1">
      <alignment horizontal="center" vertical="center"/>
      <protection/>
    </xf>
    <xf numFmtId="198" fontId="90" fillId="36" borderId="0" xfId="73" applyNumberFormat="1" applyFont="1" applyFill="1" applyBorder="1" applyAlignment="1" applyProtection="1">
      <alignment horizontal="right"/>
      <protection/>
    </xf>
    <xf numFmtId="9" fontId="92" fillId="36" borderId="0" xfId="0" applyNumberFormat="1" applyFont="1" applyFill="1" applyBorder="1" applyAlignment="1" applyProtection="1">
      <alignment/>
      <protection/>
    </xf>
    <xf numFmtId="0" fontId="93" fillId="36" borderId="0" xfId="0" applyFont="1" applyFill="1" applyBorder="1" applyAlignment="1" applyProtection="1">
      <alignment horizontal="center" vertical="center"/>
      <protection/>
    </xf>
    <xf numFmtId="9" fontId="92" fillId="36" borderId="0" xfId="0" applyNumberFormat="1" applyFont="1" applyFill="1" applyBorder="1" applyAlignment="1" applyProtection="1">
      <alignment horizontal="left"/>
      <protection/>
    </xf>
    <xf numFmtId="0" fontId="69" fillId="0" borderId="0" xfId="0" applyFont="1" applyBorder="1" applyAlignment="1" applyProtection="1">
      <alignment horizontal="center" vertical="center"/>
      <protection/>
    </xf>
    <xf numFmtId="0" fontId="90" fillId="36" borderId="0" xfId="0" applyFont="1" applyFill="1" applyBorder="1" applyAlignment="1" applyProtection="1">
      <alignment horizontal="left" vertical="center"/>
      <protection/>
    </xf>
    <xf numFmtId="188" fontId="94" fillId="0" borderId="0" xfId="0" applyNumberFormat="1" applyFont="1" applyFill="1" applyBorder="1" applyAlignment="1" applyProtection="1">
      <alignment horizontal="right" vertical="center"/>
      <protection/>
    </xf>
    <xf numFmtId="0" fontId="95" fillId="36" borderId="0" xfId="0" applyFont="1" applyFill="1" applyBorder="1" applyAlignment="1" applyProtection="1">
      <alignment horizontal="left" vertical="center"/>
      <protection/>
    </xf>
    <xf numFmtId="0" fontId="50" fillId="0" borderId="93" xfId="0" applyNumberFormat="1" applyFont="1" applyFill="1" applyBorder="1" applyAlignment="1" applyProtection="1">
      <alignment horizontal="center"/>
      <protection/>
    </xf>
    <xf numFmtId="0" fontId="87" fillId="0" borderId="94" xfId="0" applyNumberFormat="1" applyFont="1" applyFill="1" applyBorder="1" applyAlignment="1" applyProtection="1">
      <alignment horizontal="right"/>
      <protection/>
    </xf>
    <xf numFmtId="9" fontId="92" fillId="0" borderId="0" xfId="0" applyNumberFormat="1" applyFont="1" applyFill="1" applyBorder="1" applyAlignment="1" applyProtection="1">
      <alignment/>
      <protection/>
    </xf>
    <xf numFmtId="0" fontId="50" fillId="0" borderId="95" xfId="0" applyNumberFormat="1" applyFont="1" applyFill="1" applyBorder="1" applyAlignment="1" applyProtection="1">
      <alignment horizontal="center"/>
      <protection/>
    </xf>
    <xf numFmtId="0" fontId="87" fillId="0" borderId="96" xfId="0" applyNumberFormat="1" applyFont="1" applyFill="1" applyBorder="1" applyAlignment="1" applyProtection="1">
      <alignment horizontal="right"/>
      <protection/>
    </xf>
    <xf numFmtId="0" fontId="80" fillId="0" borderId="0" xfId="0" applyNumberFormat="1" applyFont="1" applyBorder="1" applyAlignment="1">
      <alignment/>
    </xf>
    <xf numFmtId="0" fontId="50" fillId="0" borderId="95" xfId="0" applyNumberFormat="1" applyFont="1" applyFill="1" applyBorder="1" applyAlignment="1" applyProtection="1">
      <alignment horizontal="center" vertical="center"/>
      <protection/>
    </xf>
    <xf numFmtId="0" fontId="50" fillId="0" borderId="97" xfId="0" applyNumberFormat="1" applyFont="1" applyFill="1" applyBorder="1" applyAlignment="1" applyProtection="1">
      <alignment horizontal="center" vertical="center"/>
      <protection/>
    </xf>
    <xf numFmtId="0" fontId="87" fillId="0" borderId="98" xfId="0" applyNumberFormat="1" applyFont="1" applyFill="1" applyBorder="1" applyAlignment="1" applyProtection="1">
      <alignment horizontal="right"/>
      <protection/>
    </xf>
    <xf numFmtId="0" fontId="97" fillId="0" borderId="0" xfId="0" applyFont="1" applyFill="1" applyBorder="1" applyAlignment="1" applyProtection="1">
      <alignment/>
      <protection/>
    </xf>
    <xf numFmtId="0" fontId="98" fillId="0" borderId="0" xfId="0" applyFont="1" applyFill="1" applyBorder="1" applyAlignment="1" applyProtection="1">
      <alignment/>
      <protection/>
    </xf>
    <xf numFmtId="0" fontId="99" fillId="0" borderId="0" xfId="0" applyFont="1" applyFill="1" applyBorder="1" applyAlignment="1" applyProtection="1">
      <alignment horizontal="center" vertical="center"/>
      <protection/>
    </xf>
    <xf numFmtId="0" fontId="100" fillId="0" borderId="0" xfId="0" applyFont="1" applyFill="1" applyBorder="1" applyAlignment="1" applyProtection="1">
      <alignment horizontal="center" vertical="center"/>
      <protection/>
    </xf>
    <xf numFmtId="0" fontId="100" fillId="0" borderId="0" xfId="0" applyFont="1" applyFill="1" applyBorder="1" applyAlignment="1" applyProtection="1">
      <alignment horizontal="right" vertical="center" indent="1"/>
      <protection/>
    </xf>
    <xf numFmtId="0" fontId="101" fillId="0" borderId="0" xfId="0" applyFont="1" applyFill="1" applyBorder="1" applyAlignment="1" applyProtection="1">
      <alignment horizontal="center"/>
      <protection/>
    </xf>
    <xf numFmtId="0" fontId="56" fillId="0" borderId="99" xfId="0" applyNumberFormat="1" applyFont="1" applyFill="1" applyBorder="1" applyAlignment="1" applyProtection="1">
      <alignment horizontal="center" vertical="center"/>
      <protection/>
    </xf>
    <xf numFmtId="0" fontId="69" fillId="0" borderId="100" xfId="0" applyNumberFormat="1" applyFont="1" applyFill="1" applyBorder="1" applyAlignment="1" applyProtection="1">
      <alignment vertical="center"/>
      <protection/>
    </xf>
    <xf numFmtId="0" fontId="56" fillId="0" borderId="101" xfId="0" applyNumberFormat="1" applyFont="1" applyFill="1" applyBorder="1" applyAlignment="1" applyProtection="1">
      <alignment horizontal="center" vertical="center"/>
      <protection/>
    </xf>
    <xf numFmtId="0" fontId="69" fillId="0" borderId="102" xfId="0" applyNumberFormat="1" applyFont="1" applyFill="1" applyBorder="1" applyAlignment="1" applyProtection="1">
      <alignment vertical="center"/>
      <protection/>
    </xf>
    <xf numFmtId="0" fontId="56" fillId="0" borderId="103" xfId="0" applyNumberFormat="1" applyFont="1" applyFill="1" applyBorder="1" applyAlignment="1" applyProtection="1">
      <alignment horizontal="center" vertical="center"/>
      <protection/>
    </xf>
    <xf numFmtId="0" fontId="69" fillId="0" borderId="104" xfId="0" applyNumberFormat="1" applyFont="1" applyFill="1" applyBorder="1" applyAlignment="1" applyProtection="1">
      <alignment vertical="center"/>
      <protection/>
    </xf>
    <xf numFmtId="0" fontId="69" fillId="0" borderId="105" xfId="0" applyNumberFormat="1" applyFont="1" applyFill="1" applyBorder="1" applyAlignment="1" applyProtection="1">
      <alignment vertical="center"/>
      <protection/>
    </xf>
    <xf numFmtId="183" fontId="0" fillId="0" borderId="0" xfId="0" applyNumberFormat="1" applyAlignment="1">
      <alignment/>
    </xf>
    <xf numFmtId="0" fontId="4" fillId="0" borderId="0" xfId="0" applyFont="1" applyAlignment="1">
      <alignment horizontal="center"/>
    </xf>
    <xf numFmtId="0" fontId="82" fillId="37" borderId="106" xfId="0" applyNumberFormat="1" applyFont="1" applyFill="1" applyBorder="1" applyAlignment="1">
      <alignment vertical="center"/>
    </xf>
    <xf numFmtId="0" fontId="82" fillId="37" borderId="106" xfId="0" applyFont="1" applyFill="1" applyBorder="1" applyAlignment="1">
      <alignment vertical="center"/>
    </xf>
    <xf numFmtId="0" fontId="20" fillId="0" borderId="0" xfId="0" applyFont="1" applyAlignment="1">
      <alignment/>
    </xf>
    <xf numFmtId="0" fontId="36" fillId="0" borderId="0" xfId="0" applyFont="1" applyAlignment="1">
      <alignment/>
    </xf>
    <xf numFmtId="0" fontId="52" fillId="0" borderId="0" xfId="71" applyNumberFormat="1" applyFont="1" applyFill="1" applyBorder="1" applyAlignment="1">
      <alignment horizontal="center" vertical="center" wrapText="1"/>
      <protection/>
    </xf>
    <xf numFmtId="0" fontId="52" fillId="41" borderId="107" xfId="71" applyNumberFormat="1" applyFont="1" applyFill="1" applyBorder="1" applyAlignment="1">
      <alignment horizontal="center" vertical="center" wrapText="1"/>
      <protection/>
    </xf>
    <xf numFmtId="0" fontId="103" fillId="0" borderId="0" xfId="0" applyNumberFormat="1" applyFont="1" applyAlignment="1">
      <alignment/>
    </xf>
    <xf numFmtId="0" fontId="103" fillId="0" borderId="0" xfId="0" applyFont="1" applyAlignment="1">
      <alignment/>
    </xf>
    <xf numFmtId="0" fontId="103" fillId="0" borderId="0" xfId="0" applyFont="1" applyAlignment="1">
      <alignment horizontal="center"/>
    </xf>
    <xf numFmtId="0" fontId="104" fillId="0" borderId="0" xfId="0" applyFont="1" applyBorder="1" applyAlignment="1">
      <alignment/>
    </xf>
    <xf numFmtId="0" fontId="105" fillId="37" borderId="106" xfId="0" applyFont="1" applyFill="1" applyBorder="1" applyAlignment="1">
      <alignment vertical="center"/>
    </xf>
    <xf numFmtId="0" fontId="34" fillId="0" borderId="0" xfId="0" applyFont="1" applyAlignment="1">
      <alignment/>
    </xf>
    <xf numFmtId="0" fontId="106" fillId="37" borderId="14" xfId="0" applyFont="1" applyFill="1" applyBorder="1" applyAlignment="1" applyProtection="1">
      <alignment horizontal="center"/>
      <protection/>
    </xf>
    <xf numFmtId="0" fontId="106" fillId="37"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66" fillId="0" borderId="14" xfId="0" applyFont="1" applyFill="1" applyBorder="1" applyAlignment="1" applyProtection="1">
      <alignment horizontal="center"/>
      <protection/>
    </xf>
    <xf numFmtId="0" fontId="66" fillId="0" borderId="14" xfId="0" applyFont="1" applyBorder="1" applyAlignment="1" applyProtection="1">
      <alignment horizontal="center"/>
      <protection/>
    </xf>
    <xf numFmtId="0" fontId="107" fillId="0" borderId="14" xfId="0" applyFont="1" applyBorder="1" applyAlignment="1" applyProtection="1">
      <alignment horizontal="left" indent="1"/>
      <protection/>
    </xf>
    <xf numFmtId="0" fontId="0" fillId="0" borderId="14" xfId="0" applyFont="1" applyBorder="1" applyAlignment="1">
      <alignment horizontal="center"/>
    </xf>
    <xf numFmtId="0" fontId="66" fillId="0" borderId="0" xfId="0" applyFont="1" applyFill="1" applyBorder="1" applyAlignment="1" applyProtection="1">
      <alignment/>
      <protection/>
    </xf>
    <xf numFmtId="0" fontId="66" fillId="0" borderId="14" xfId="0" applyFont="1" applyFill="1" applyBorder="1" applyAlignment="1" applyProtection="1">
      <alignment/>
      <protection/>
    </xf>
    <xf numFmtId="181" fontId="66" fillId="0" borderId="14" xfId="67" applyFont="1" applyBorder="1" applyProtection="1">
      <alignment/>
      <protection/>
    </xf>
    <xf numFmtId="0" fontId="0" fillId="0" borderId="14" xfId="0" applyFont="1" applyBorder="1" applyAlignment="1">
      <alignment/>
    </xf>
    <xf numFmtId="0" fontId="0" fillId="0" borderId="14" xfId="0" applyBorder="1" applyAlignment="1">
      <alignment/>
    </xf>
    <xf numFmtId="0" fontId="34" fillId="0" borderId="108" xfId="0" applyNumberFormat="1" applyFont="1" applyFill="1" applyBorder="1" applyAlignment="1" applyProtection="1">
      <alignment horizontal="center" vertical="center" wrapText="1"/>
      <protection/>
    </xf>
    <xf numFmtId="0" fontId="34" fillId="0" borderId="109" xfId="0" applyNumberFormat="1" applyFont="1" applyFill="1" applyBorder="1" applyAlignment="1" applyProtection="1">
      <alignment horizontal="center" vertical="center" wrapText="1"/>
      <protection/>
    </xf>
    <xf numFmtId="49" fontId="36" fillId="0" borderId="110" xfId="0" applyNumberFormat="1" applyFont="1" applyFill="1" applyBorder="1" applyAlignment="1" applyProtection="1">
      <alignment/>
      <protection locked="0"/>
    </xf>
    <xf numFmtId="190" fontId="0" fillId="34" borderId="111" xfId="51" applyNumberFormat="1" applyFill="1" applyBorder="1" applyAlignment="1" applyProtection="1">
      <alignment/>
      <protection locked="0"/>
    </xf>
    <xf numFmtId="181" fontId="0" fillId="0" borderId="112" xfId="0" applyNumberFormat="1" applyFont="1" applyBorder="1" applyAlignment="1" applyProtection="1">
      <alignment/>
      <protection/>
    </xf>
    <xf numFmtId="192" fontId="0" fillId="0" borderId="113" xfId="0" applyNumberFormat="1" applyBorder="1" applyAlignment="1" applyProtection="1">
      <alignment/>
      <protection/>
    </xf>
    <xf numFmtId="49" fontId="34" fillId="0" borderId="114" xfId="0" applyNumberFormat="1" applyFont="1" applyFill="1" applyBorder="1" applyAlignment="1" applyProtection="1">
      <alignment horizontal="center"/>
      <protection locked="0"/>
    </xf>
    <xf numFmtId="184" fontId="0" fillId="0" borderId="52" xfId="0" applyNumberFormat="1" applyFill="1" applyBorder="1" applyAlignment="1" applyProtection="1">
      <alignment horizontal="left"/>
      <protection/>
    </xf>
    <xf numFmtId="0" fontId="20" fillId="0" borderId="54" xfId="0" applyFont="1" applyBorder="1" applyAlignment="1" applyProtection="1">
      <alignment/>
      <protection/>
    </xf>
    <xf numFmtId="0" fontId="152" fillId="0" borderId="115" xfId="0" applyFont="1" applyBorder="1" applyAlignment="1">
      <alignment vertical="top"/>
    </xf>
    <xf numFmtId="0" fontId="152" fillId="0" borderId="0" xfId="0" applyFont="1" applyAlignment="1">
      <alignment/>
    </xf>
    <xf numFmtId="49" fontId="36" fillId="0" borderId="110" xfId="0" applyNumberFormat="1" applyFont="1" applyFill="1" applyBorder="1" applyAlignment="1" applyProtection="1">
      <alignment wrapText="1"/>
      <protection locked="0"/>
    </xf>
    <xf numFmtId="9" fontId="76" fillId="42" borderId="14" xfId="73" applyFont="1" applyFill="1" applyBorder="1" applyAlignment="1" applyProtection="1">
      <alignment horizontal="center" vertical="center" wrapText="1"/>
      <protection/>
    </xf>
    <xf numFmtId="181" fontId="2" fillId="43" borderId="0" xfId="63" applyFont="1" applyFill="1" applyBorder="1" applyAlignment="1">
      <alignment horizontal="center" vertical="center"/>
      <protection/>
    </xf>
    <xf numFmtId="181" fontId="4" fillId="0" borderId="0" xfId="0" applyNumberFormat="1" applyFont="1" applyBorder="1" applyAlignment="1">
      <alignment horizontal="center"/>
    </xf>
    <xf numFmtId="181" fontId="13" fillId="0" borderId="14" xfId="0" applyNumberFormat="1" applyFont="1" applyBorder="1" applyAlignment="1">
      <alignment horizontal="justify" vertical="center" wrapText="1"/>
    </xf>
    <xf numFmtId="9" fontId="14" fillId="0" borderId="14" xfId="73" applyFont="1" applyFill="1" applyBorder="1" applyAlignment="1" applyProtection="1">
      <alignment horizontal="justify" vertical="center" wrapText="1"/>
      <protection/>
    </xf>
    <xf numFmtId="9" fontId="9" fillId="0" borderId="14" xfId="0" applyNumberFormat="1" applyFont="1" applyBorder="1" applyAlignment="1">
      <alignment horizontal="left" vertical="center" wrapText="1"/>
    </xf>
    <xf numFmtId="181" fontId="2" fillId="44" borderId="0" xfId="62" applyFont="1" applyFill="1" applyBorder="1" applyAlignment="1" applyProtection="1">
      <alignment horizontal="center" vertical="center"/>
      <protection/>
    </xf>
    <xf numFmtId="0" fontId="11" fillId="0" borderId="0" xfId="0" applyNumberFormat="1" applyFont="1" applyBorder="1" applyAlignment="1">
      <alignment horizontal="center"/>
    </xf>
    <xf numFmtId="0" fontId="12" fillId="34" borderId="14" xfId="0" applyNumberFormat="1" applyFont="1" applyFill="1" applyBorder="1" applyAlignment="1">
      <alignment horizontal="center"/>
    </xf>
    <xf numFmtId="181" fontId="13" fillId="0" borderId="14" xfId="0" applyNumberFormat="1" applyFont="1" applyBorder="1" applyAlignment="1">
      <alignment horizontal="left" vertical="center" wrapText="1"/>
    </xf>
    <xf numFmtId="0" fontId="14" fillId="0" borderId="14" xfId="0" applyFont="1" applyBorder="1" applyAlignment="1">
      <alignment horizontal="justify" vertical="center" wrapText="1"/>
    </xf>
    <xf numFmtId="0" fontId="9" fillId="0" borderId="14" xfId="0" applyFont="1" applyBorder="1" applyAlignment="1">
      <alignment horizontal="left" vertical="center" wrapText="1"/>
    </xf>
    <xf numFmtId="0" fontId="9" fillId="0" borderId="14" xfId="0" applyNumberFormat="1" applyFont="1" applyBorder="1" applyAlignment="1">
      <alignment horizontal="left" vertical="center" wrapText="1"/>
    </xf>
    <xf numFmtId="0" fontId="0" fillId="0" borderId="116" xfId="0" applyBorder="1" applyAlignment="1">
      <alignment horizontal="center"/>
    </xf>
    <xf numFmtId="0" fontId="0" fillId="0" borderId="116"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12" fillId="35" borderId="14" xfId="0" applyNumberFormat="1" applyFont="1" applyFill="1" applyBorder="1" applyAlignment="1">
      <alignment horizontal="center"/>
    </xf>
    <xf numFmtId="0" fontId="9" fillId="0" borderId="14" xfId="0" applyNumberFormat="1" applyFont="1" applyBorder="1" applyAlignment="1">
      <alignment horizontal="justify" vertical="center" wrapText="1"/>
    </xf>
    <xf numFmtId="0" fontId="9" fillId="0" borderId="14" xfId="0" applyFont="1" applyBorder="1" applyAlignment="1">
      <alignment horizontal="justify" vertical="center" wrapText="1"/>
    </xf>
    <xf numFmtId="0" fontId="18" fillId="0" borderId="69" xfId="0" applyNumberFormat="1" applyFont="1" applyBorder="1" applyAlignment="1">
      <alignment horizontal="justify" vertical="center" wrapText="1"/>
    </xf>
    <xf numFmtId="0" fontId="18" fillId="0" borderId="14" xfId="0" applyNumberFormat="1" applyFont="1" applyBorder="1" applyAlignment="1">
      <alignment horizontal="left" vertical="center" wrapText="1"/>
    </xf>
    <xf numFmtId="0" fontId="18" fillId="0" borderId="14" xfId="0" applyNumberFormat="1" applyFont="1" applyBorder="1" applyAlignment="1">
      <alignment horizontal="justify" vertical="center" wrapText="1"/>
    </xf>
    <xf numFmtId="0" fontId="9" fillId="0" borderId="117" xfId="0" applyFont="1" applyBorder="1" applyAlignment="1">
      <alignment horizontal="justify" wrapText="1"/>
    </xf>
    <xf numFmtId="0" fontId="14" fillId="0" borderId="69" xfId="0" applyFont="1" applyBorder="1" applyAlignment="1">
      <alignment horizontal="justify" vertical="center" wrapText="1"/>
    </xf>
    <xf numFmtId="0" fontId="14" fillId="0" borderId="14" xfId="0" applyFont="1" applyBorder="1" applyAlignment="1" applyProtection="1">
      <alignment vertical="center" wrapText="1"/>
      <protection locked="0"/>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left" vertical="center" wrapText="1"/>
      <protection locked="0"/>
    </xf>
    <xf numFmtId="0" fontId="20" fillId="33" borderId="14"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xf>
    <xf numFmtId="0" fontId="14" fillId="36" borderId="14" xfId="0" applyFont="1" applyFill="1" applyBorder="1" applyAlignment="1" applyProtection="1">
      <alignment vertical="center" wrapText="1"/>
      <protection locked="0"/>
    </xf>
    <xf numFmtId="0" fontId="14" fillId="33" borderId="14" xfId="0" applyFont="1" applyFill="1" applyBorder="1" applyAlignment="1">
      <alignment vertical="center" wrapText="1"/>
    </xf>
    <xf numFmtId="0" fontId="22" fillId="36" borderId="14" xfId="0" applyFont="1" applyFill="1" applyBorder="1" applyAlignment="1" applyProtection="1">
      <alignment vertical="center" wrapText="1"/>
      <protection locked="0"/>
    </xf>
    <xf numFmtId="0" fontId="9" fillId="0" borderId="14" xfId="0" applyNumberFormat="1" applyFont="1" applyBorder="1" applyAlignment="1" applyProtection="1">
      <alignment horizontal="left" vertical="center" wrapText="1"/>
      <protection locked="0"/>
    </xf>
    <xf numFmtId="0" fontId="21"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13" fillId="0" borderId="14" xfId="0" applyFont="1" applyBorder="1" applyAlignment="1" applyProtection="1">
      <alignment vertical="center" wrapText="1"/>
      <protection locked="0"/>
    </xf>
    <xf numFmtId="49" fontId="0" fillId="0" borderId="14" xfId="0" applyNumberFormat="1" applyFont="1" applyBorder="1" applyAlignment="1" applyProtection="1">
      <alignment horizontal="center"/>
      <protection locked="0"/>
    </xf>
    <xf numFmtId="181" fontId="26" fillId="0" borderId="0" xfId="0" applyNumberFormat="1" applyFont="1" applyBorder="1" applyAlignment="1" applyProtection="1">
      <alignment horizontal="right"/>
      <protection/>
    </xf>
    <xf numFmtId="39" fontId="0" fillId="0" borderId="14" xfId="51" applyNumberFormat="1" applyFont="1" applyFill="1" applyBorder="1" applyAlignment="1" applyProtection="1">
      <alignment horizontal="center"/>
      <protection locked="0"/>
    </xf>
    <xf numFmtId="181" fontId="0" fillId="0" borderId="14" xfId="0" applyNumberFormat="1" applyFont="1" applyBorder="1" applyAlignment="1" applyProtection="1">
      <alignment horizontal="center"/>
      <protection locked="0"/>
    </xf>
    <xf numFmtId="181" fontId="24" fillId="44" borderId="0" xfId="54" applyFont="1" applyFill="1" applyBorder="1" applyAlignment="1" applyProtection="1">
      <alignment horizontal="center" vertical="center"/>
      <protection/>
    </xf>
    <xf numFmtId="181" fontId="28" fillId="0" borderId="118" xfId="0" applyNumberFormat="1" applyFont="1" applyBorder="1" applyAlignment="1" applyProtection="1">
      <alignment horizontal="right"/>
      <protection/>
    </xf>
    <xf numFmtId="181" fontId="26" fillId="0" borderId="119" xfId="0" applyNumberFormat="1" applyFont="1" applyBorder="1" applyAlignment="1" applyProtection="1">
      <alignment horizontal="right"/>
      <protection/>
    </xf>
    <xf numFmtId="183" fontId="0" fillId="0" borderId="14" xfId="88" applyNumberFormat="1" applyFont="1" applyFill="1" applyBorder="1" applyAlignment="1" applyProtection="1">
      <alignment horizontal="center"/>
      <protection locked="0"/>
    </xf>
    <xf numFmtId="181" fontId="26" fillId="0" borderId="118" xfId="0" applyNumberFormat="1" applyFont="1" applyBorder="1" applyAlignment="1" applyProtection="1">
      <alignment horizontal="right"/>
      <protection/>
    </xf>
    <xf numFmtId="181" fontId="27" fillId="45" borderId="14" xfId="88" applyNumberFormat="1" applyFont="1" applyFill="1" applyBorder="1" applyAlignment="1" applyProtection="1">
      <alignment horizontal="center"/>
      <protection locked="0"/>
    </xf>
    <xf numFmtId="181" fontId="26" fillId="0" borderId="15" xfId="0" applyNumberFormat="1" applyFont="1" applyBorder="1" applyAlignment="1" applyProtection="1">
      <alignment horizontal="right"/>
      <protection/>
    </xf>
    <xf numFmtId="181" fontId="7" fillId="0" borderId="120" xfId="0" applyNumberFormat="1" applyFont="1" applyBorder="1" applyAlignment="1" applyProtection="1">
      <alignment horizontal="right"/>
      <protection/>
    </xf>
    <xf numFmtId="181" fontId="20" fillId="0" borderId="121" xfId="0" applyNumberFormat="1" applyFont="1" applyBorder="1" applyAlignment="1" applyProtection="1">
      <alignment horizontal="center"/>
      <protection/>
    </xf>
    <xf numFmtId="9" fontId="4" fillId="0" borderId="122" xfId="73" applyFont="1" applyFill="1" applyBorder="1" applyAlignment="1" applyProtection="1">
      <alignment horizontal="center" vertical="center"/>
      <protection/>
    </xf>
    <xf numFmtId="0" fontId="0" fillId="46" borderId="123" xfId="0" applyFill="1" applyBorder="1" applyAlignment="1" applyProtection="1">
      <alignment horizontal="center"/>
      <protection/>
    </xf>
    <xf numFmtId="0" fontId="0" fillId="33" borderId="14" xfId="0" applyFill="1" applyBorder="1" applyAlignment="1" applyProtection="1">
      <alignment horizontal="center"/>
      <protection/>
    </xf>
    <xf numFmtId="181" fontId="0" fillId="0" borderId="46" xfId="0" applyNumberFormat="1" applyFont="1" applyBorder="1" applyAlignment="1" applyProtection="1">
      <alignment horizontal="left"/>
      <protection/>
    </xf>
    <xf numFmtId="181" fontId="0" fillId="0" borderId="57" xfId="0" applyNumberFormat="1" applyFont="1" applyFill="1" applyBorder="1" applyAlignment="1" applyProtection="1">
      <alignment horizontal="center" vertical="center"/>
      <protection locked="0"/>
    </xf>
    <xf numFmtId="181" fontId="50" fillId="0" borderId="60" xfId="0" applyNumberFormat="1" applyFont="1" applyFill="1" applyBorder="1" applyAlignment="1" applyProtection="1">
      <alignment horizontal="center" vertical="center"/>
      <protection/>
    </xf>
    <xf numFmtId="184" fontId="0" fillId="37" borderId="124" xfId="0" applyNumberFormat="1" applyFont="1" applyFill="1" applyBorder="1" applyAlignment="1" applyProtection="1">
      <alignment horizontal="center" vertical="center" textRotation="90"/>
      <protection/>
    </xf>
    <xf numFmtId="0" fontId="51" fillId="38" borderId="125" xfId="0" applyNumberFormat="1" applyFont="1" applyFill="1" applyBorder="1" applyAlignment="1" applyProtection="1">
      <alignment horizontal="left" vertical="center" wrapText="1"/>
      <protection locked="0"/>
    </xf>
    <xf numFmtId="183" fontId="35" fillId="0" borderId="0" xfId="0" applyNumberFormat="1" applyFont="1" applyFill="1" applyBorder="1" applyAlignment="1" applyProtection="1">
      <alignment horizontal="center"/>
      <protection/>
    </xf>
    <xf numFmtId="181" fontId="36" fillId="0" borderId="126" xfId="0" applyNumberFormat="1" applyFont="1" applyBorder="1" applyAlignment="1" applyProtection="1">
      <alignment horizontal="center" wrapText="1"/>
      <protection/>
    </xf>
    <xf numFmtId="0" fontId="0" fillId="0" borderId="127" xfId="0" applyBorder="1" applyAlignment="1" applyProtection="1">
      <alignment horizontal="center"/>
      <protection/>
    </xf>
    <xf numFmtId="181" fontId="0" fillId="0" borderId="44" xfId="0" applyNumberFormat="1" applyFont="1" applyBorder="1" applyAlignment="1" applyProtection="1">
      <alignment horizontal="left"/>
      <protection/>
    </xf>
    <xf numFmtId="0" fontId="1" fillId="33" borderId="125" xfId="0" applyNumberFormat="1" applyFont="1" applyFill="1" applyBorder="1" applyAlignment="1" applyProtection="1">
      <alignment horizontal="center" vertical="center" wrapText="1"/>
      <protection locked="0"/>
    </xf>
    <xf numFmtId="49" fontId="1" fillId="33" borderId="128" xfId="0" applyNumberFormat="1" applyFont="1" applyFill="1" applyBorder="1" applyAlignment="1" applyProtection="1">
      <alignment horizontal="center" vertical="center" wrapText="1"/>
      <protection locked="0"/>
    </xf>
    <xf numFmtId="188" fontId="1" fillId="33" borderId="125" xfId="0" applyNumberFormat="1" applyFont="1" applyFill="1" applyBorder="1" applyAlignment="1" applyProtection="1">
      <alignment horizontal="left" vertical="center" wrapText="1"/>
      <protection locked="0"/>
    </xf>
    <xf numFmtId="188" fontId="54" fillId="33" borderId="73" xfId="0" applyNumberFormat="1" applyFont="1" applyFill="1" applyBorder="1" applyAlignment="1" applyProtection="1">
      <alignment horizontal="left" vertical="center" wrapText="1"/>
      <protection locked="0"/>
    </xf>
    <xf numFmtId="0" fontId="51" fillId="33" borderId="125" xfId="0" applyNumberFormat="1" applyFont="1" applyFill="1" applyBorder="1" applyAlignment="1" applyProtection="1">
      <alignment horizontal="left" vertical="center" wrapText="1"/>
      <protection locked="0"/>
    </xf>
    <xf numFmtId="188" fontId="52" fillId="38" borderId="73" xfId="0" applyNumberFormat="1" applyFont="1" applyFill="1" applyBorder="1" applyAlignment="1" applyProtection="1">
      <alignment horizontal="left" vertical="center" wrapText="1"/>
      <protection locked="0"/>
    </xf>
    <xf numFmtId="0" fontId="1" fillId="33" borderId="129" xfId="0" applyNumberFormat="1" applyFont="1" applyFill="1" applyBorder="1" applyAlignment="1" applyProtection="1">
      <alignment horizontal="center" vertical="center" wrapText="1"/>
      <protection locked="0"/>
    </xf>
    <xf numFmtId="49" fontId="1" fillId="33" borderId="130" xfId="0" applyNumberFormat="1" applyFont="1" applyFill="1" applyBorder="1" applyAlignment="1" applyProtection="1">
      <alignment horizontal="center" vertical="center" wrapText="1"/>
      <protection locked="0"/>
    </xf>
    <xf numFmtId="188" fontId="1" fillId="38" borderId="60" xfId="0" applyNumberFormat="1" applyFont="1" applyFill="1" applyBorder="1" applyAlignment="1" applyProtection="1">
      <alignment vertical="center" wrapText="1"/>
      <protection locked="0"/>
    </xf>
    <xf numFmtId="0" fontId="57" fillId="0" borderId="123" xfId="0" applyFont="1" applyBorder="1" applyAlignment="1">
      <alignment horizontal="center" vertical="center" wrapText="1"/>
    </xf>
    <xf numFmtId="188" fontId="52" fillId="38" borderId="59" xfId="0" applyNumberFormat="1" applyFont="1" applyFill="1" applyBorder="1" applyAlignment="1" applyProtection="1">
      <alignment horizontal="left" vertical="center" wrapText="1"/>
      <protection locked="0"/>
    </xf>
    <xf numFmtId="188" fontId="54" fillId="38" borderId="73" xfId="0" applyNumberFormat="1" applyFont="1" applyFill="1" applyBorder="1" applyAlignment="1" applyProtection="1">
      <alignment horizontal="left" vertical="center" wrapText="1"/>
      <protection locked="0"/>
    </xf>
    <xf numFmtId="181" fontId="0" fillId="0" borderId="77" xfId="88" applyNumberFormat="1" applyFont="1" applyFill="1" applyBorder="1" applyAlignment="1" applyProtection="1">
      <alignment horizontal="right"/>
      <protection/>
    </xf>
    <xf numFmtId="208" fontId="21" fillId="35" borderId="77" xfId="88" applyNumberFormat="1" applyFont="1" applyFill="1" applyBorder="1" applyAlignment="1" applyProtection="1">
      <alignment horizontal="center" vertical="center"/>
      <protection/>
    </xf>
    <xf numFmtId="181" fontId="21" fillId="35" borderId="77" xfId="88" applyNumberFormat="1" applyFont="1" applyFill="1" applyBorder="1" applyAlignment="1" applyProtection="1">
      <alignment horizontal="center"/>
      <protection/>
    </xf>
    <xf numFmtId="181" fontId="2" fillId="44" borderId="0" xfId="54" applyFont="1" applyFill="1" applyBorder="1" applyAlignment="1" applyProtection="1">
      <alignment horizontal="center" vertical="center"/>
      <protection/>
    </xf>
    <xf numFmtId="181" fontId="4" fillId="35" borderId="0" xfId="66" applyFont="1" applyFill="1" applyBorder="1" applyAlignment="1" applyProtection="1">
      <alignment horizontal="center" vertical="center" wrapText="1"/>
      <protection/>
    </xf>
    <xf numFmtId="181" fontId="60" fillId="0" borderId="0" xfId="66" applyFont="1" applyFill="1" applyBorder="1" applyAlignment="1" applyProtection="1">
      <alignment horizontal="right" vertical="center"/>
      <protection/>
    </xf>
    <xf numFmtId="181" fontId="21" fillId="35" borderId="0" xfId="66" applyFont="1" applyFill="1" applyBorder="1" applyAlignment="1" applyProtection="1">
      <alignment horizontal="center" vertical="center" wrapText="1"/>
      <protection/>
    </xf>
    <xf numFmtId="183" fontId="21" fillId="35" borderId="77" xfId="88" applyNumberFormat="1" applyFont="1" applyFill="1" applyBorder="1" applyAlignment="1" applyProtection="1">
      <alignment horizontal="center"/>
      <protection/>
    </xf>
    <xf numFmtId="181" fontId="64" fillId="43" borderId="77" xfId="88" applyNumberFormat="1" applyFont="1" applyFill="1" applyBorder="1" applyAlignment="1" applyProtection="1">
      <alignment horizontal="center"/>
      <protection/>
    </xf>
    <xf numFmtId="181" fontId="27" fillId="43" borderId="0" xfId="88" applyNumberFormat="1" applyFont="1" applyFill="1" applyBorder="1" applyAlignment="1" applyProtection="1">
      <alignment horizontal="center"/>
      <protection/>
    </xf>
    <xf numFmtId="181" fontId="20" fillId="0" borderId="0" xfId="0" applyNumberFormat="1" applyFont="1" applyBorder="1" applyAlignment="1" applyProtection="1">
      <alignment horizontal="center"/>
      <protection/>
    </xf>
    <xf numFmtId="181" fontId="23" fillId="0" borderId="0" xfId="0" applyNumberFormat="1" applyFont="1" applyBorder="1" applyAlignment="1" applyProtection="1">
      <alignment horizontal="right"/>
      <protection/>
    </xf>
    <xf numFmtId="181" fontId="20" fillId="0" borderId="0" xfId="0" applyNumberFormat="1" applyFont="1" applyBorder="1" applyAlignment="1" applyProtection="1">
      <alignment horizontal="center" wrapText="1"/>
      <protection/>
    </xf>
    <xf numFmtId="181" fontId="23" fillId="0" borderId="0" xfId="0" applyNumberFormat="1" applyFont="1" applyBorder="1" applyAlignment="1" applyProtection="1">
      <alignment horizontal="left"/>
      <protection/>
    </xf>
    <xf numFmtId="0" fontId="73" fillId="0" borderId="131" xfId="0" applyFont="1" applyFill="1" applyBorder="1" applyAlignment="1" applyProtection="1">
      <alignment horizontal="left" wrapText="1"/>
      <protection/>
    </xf>
    <xf numFmtId="181" fontId="72" fillId="0" borderId="123" xfId="0" applyNumberFormat="1" applyFont="1" applyBorder="1" applyAlignment="1" applyProtection="1">
      <alignment horizontal="center" vertical="center" wrapText="1"/>
      <protection/>
    </xf>
    <xf numFmtId="0" fontId="0" fillId="0" borderId="132" xfId="0" applyBorder="1" applyAlignment="1" applyProtection="1">
      <alignment horizontal="center"/>
      <protection/>
    </xf>
    <xf numFmtId="0" fontId="73" fillId="0" borderId="133" xfId="0" applyFont="1" applyFill="1" applyBorder="1" applyAlignment="1" applyProtection="1">
      <alignment horizontal="left" wrapText="1"/>
      <protection/>
    </xf>
    <xf numFmtId="0" fontId="67" fillId="0" borderId="0" xfId="0" applyFont="1" applyBorder="1" applyAlignment="1" applyProtection="1">
      <alignment horizontal="center"/>
      <protection/>
    </xf>
    <xf numFmtId="0" fontId="70" fillId="33" borderId="14" xfId="0" applyFont="1" applyFill="1" applyBorder="1" applyAlignment="1" applyProtection="1">
      <alignment horizontal="left" wrapText="1"/>
      <protection locked="0"/>
    </xf>
    <xf numFmtId="0" fontId="69" fillId="33" borderId="14" xfId="0" applyFont="1" applyFill="1" applyBorder="1" applyAlignment="1" applyProtection="1">
      <alignment horizontal="left" wrapText="1"/>
      <protection locked="0"/>
    </xf>
    <xf numFmtId="181" fontId="24" fillId="44" borderId="0" xfId="64" applyFont="1" applyFill="1" applyBorder="1" applyAlignment="1">
      <alignment horizontal="center" vertical="center"/>
      <protection/>
    </xf>
    <xf numFmtId="181" fontId="23" fillId="0" borderId="0" xfId="0" applyNumberFormat="1" applyFont="1" applyBorder="1" applyAlignment="1">
      <alignment horizontal="left"/>
    </xf>
    <xf numFmtId="181" fontId="20" fillId="0" borderId="0" xfId="0" applyNumberFormat="1" applyFont="1" applyBorder="1" applyAlignment="1">
      <alignment horizontal="center"/>
    </xf>
    <xf numFmtId="181" fontId="23" fillId="0" borderId="0" xfId="0" applyNumberFormat="1" applyFont="1" applyBorder="1" applyAlignment="1">
      <alignment horizontal="right"/>
    </xf>
    <xf numFmtId="0" fontId="67" fillId="0" borderId="0" xfId="0" applyFont="1" applyBorder="1" applyAlignment="1">
      <alignment horizontal="center"/>
    </xf>
    <xf numFmtId="0" fontId="0" fillId="33" borderId="14" xfId="0" applyFont="1" applyFill="1" applyBorder="1" applyAlignment="1" applyProtection="1">
      <alignment horizontal="left" vertical="center" wrapText="1"/>
      <protection locked="0"/>
    </xf>
    <xf numFmtId="0" fontId="20" fillId="0" borderId="0" xfId="0" applyFont="1" applyBorder="1" applyAlignment="1">
      <alignment horizontal="center"/>
    </xf>
    <xf numFmtId="181" fontId="0" fillId="0" borderId="79" xfId="0" applyNumberFormat="1" applyFill="1" applyBorder="1" applyAlignment="1" applyProtection="1">
      <alignment horizontal="center" vertical="center"/>
      <protection/>
    </xf>
    <xf numFmtId="0" fontId="74" fillId="0" borderId="0" xfId="0" applyFont="1" applyBorder="1" applyAlignment="1">
      <alignment horizontal="left" wrapText="1"/>
    </xf>
    <xf numFmtId="0" fontId="0" fillId="33" borderId="14" xfId="0" applyFont="1" applyFill="1" applyBorder="1" applyAlignment="1" applyProtection="1">
      <alignment horizontal="left" wrapText="1"/>
      <protection locked="0"/>
    </xf>
    <xf numFmtId="0" fontId="0" fillId="33" borderId="134" xfId="0" applyFont="1" applyFill="1" applyBorder="1" applyAlignment="1" applyProtection="1">
      <alignment horizontal="left" wrapText="1"/>
      <protection locked="0"/>
    </xf>
    <xf numFmtId="181" fontId="27" fillId="43" borderId="0" xfId="89" applyNumberFormat="1" applyFont="1" applyFill="1" applyBorder="1" applyAlignment="1" applyProtection="1">
      <alignment horizontal="center"/>
      <protection/>
    </xf>
    <xf numFmtId="181" fontId="67" fillId="0" borderId="0" xfId="0" applyNumberFormat="1" applyFont="1" applyBorder="1" applyAlignment="1" applyProtection="1">
      <alignment horizontal="center"/>
      <protection/>
    </xf>
    <xf numFmtId="181" fontId="24" fillId="44" borderId="0" xfId="64" applyFont="1" applyFill="1" applyBorder="1" applyAlignment="1" applyProtection="1">
      <alignment horizontal="center" vertical="center"/>
      <protection/>
    </xf>
    <xf numFmtId="0" fontId="69" fillId="0" borderId="71" xfId="0" applyFont="1" applyBorder="1" applyAlignment="1" applyProtection="1">
      <alignment horizontal="left" vertical="center" wrapText="1"/>
      <protection/>
    </xf>
    <xf numFmtId="0" fontId="69" fillId="33" borderId="135" xfId="0" applyFont="1" applyFill="1" applyBorder="1" applyAlignment="1" applyProtection="1">
      <alignment horizontal="left" vertical="center" wrapText="1"/>
      <protection locked="0"/>
    </xf>
    <xf numFmtId="0" fontId="69" fillId="33" borderId="66" xfId="0" applyFont="1" applyFill="1" applyBorder="1" applyAlignment="1" applyProtection="1">
      <alignment horizontal="left" vertical="center" wrapText="1"/>
      <protection locked="0"/>
    </xf>
    <xf numFmtId="0" fontId="69" fillId="33" borderId="68" xfId="0" applyFont="1" applyFill="1" applyBorder="1" applyAlignment="1" applyProtection="1">
      <alignment horizontal="left" vertical="center" wrapText="1"/>
      <protection locked="0"/>
    </xf>
    <xf numFmtId="0" fontId="69" fillId="0" borderId="14" xfId="0" applyFont="1" applyBorder="1" applyAlignment="1" applyProtection="1">
      <alignment horizontal="center" vertical="center"/>
      <protection/>
    </xf>
    <xf numFmtId="0" fontId="0" fillId="0" borderId="14" xfId="0" applyFont="1" applyBorder="1" applyAlignment="1" applyProtection="1">
      <alignment vertical="center" wrapText="1"/>
      <protection/>
    </xf>
    <xf numFmtId="9" fontId="23" fillId="0" borderId="14" xfId="73" applyFont="1" applyFill="1" applyBorder="1" applyAlignment="1" applyProtection="1">
      <alignment horizontal="center" vertical="center" wrapText="1"/>
      <protection/>
    </xf>
    <xf numFmtId="9" fontId="10" fillId="33" borderId="71" xfId="73" applyFont="1" applyFill="1" applyBorder="1" applyAlignment="1" applyProtection="1">
      <alignment horizontal="left" vertical="center" wrapText="1"/>
      <protection locked="0"/>
    </xf>
    <xf numFmtId="0" fontId="4" fillId="0" borderId="66" xfId="0" applyFont="1" applyBorder="1" applyAlignment="1" applyProtection="1">
      <alignment horizontal="center"/>
      <protection/>
    </xf>
    <xf numFmtId="0" fontId="69" fillId="0" borderId="14" xfId="0" applyFont="1" applyBorder="1" applyAlignment="1" applyProtection="1">
      <alignment horizontal="center" vertical="center" wrapText="1"/>
      <protection/>
    </xf>
    <xf numFmtId="9" fontId="68" fillId="47" borderId="14" xfId="73" applyFont="1" applyFill="1" applyBorder="1" applyAlignment="1" applyProtection="1">
      <alignment horizontal="center" vertical="center" wrapText="1"/>
      <protection/>
    </xf>
    <xf numFmtId="9" fontId="68" fillId="48" borderId="14" xfId="73" applyFont="1" applyFill="1" applyBorder="1" applyAlignment="1" applyProtection="1">
      <alignment horizontal="center" vertical="center" wrapText="1"/>
      <protection/>
    </xf>
    <xf numFmtId="9" fontId="10" fillId="33" borderId="71" xfId="73" applyFont="1" applyFill="1" applyBorder="1" applyAlignment="1" applyProtection="1">
      <alignment horizontal="left" vertical="center" wrapText="1"/>
      <protection locked="0"/>
    </xf>
    <xf numFmtId="9" fontId="52" fillId="33" borderId="71" xfId="73" applyFont="1" applyFill="1" applyBorder="1" applyAlignment="1" applyProtection="1">
      <alignment horizontal="left" vertical="center" wrapText="1"/>
      <protection locked="0"/>
    </xf>
    <xf numFmtId="0" fontId="78" fillId="37" borderId="14" xfId="0" applyFont="1" applyFill="1" applyBorder="1" applyAlignment="1" applyProtection="1">
      <alignment horizontal="center" vertical="center" wrapText="1"/>
      <protection/>
    </xf>
    <xf numFmtId="9" fontId="77" fillId="33" borderId="71" xfId="73" applyFont="1" applyFill="1" applyBorder="1" applyAlignment="1" applyProtection="1">
      <alignment horizontal="left" vertical="center" wrapText="1"/>
      <protection locked="0"/>
    </xf>
    <xf numFmtId="9" fontId="79" fillId="33" borderId="14" xfId="73" applyFont="1" applyFill="1" applyBorder="1" applyAlignment="1" applyProtection="1">
      <alignment horizontal="left" vertical="center" wrapText="1"/>
      <protection locked="0"/>
    </xf>
    <xf numFmtId="9" fontId="77" fillId="33" borderId="14" xfId="73" applyFont="1" applyFill="1" applyBorder="1" applyAlignment="1" applyProtection="1">
      <alignment horizontal="left" vertical="center" wrapText="1"/>
      <protection locked="0"/>
    </xf>
    <xf numFmtId="181" fontId="4" fillId="0" borderId="0" xfId="0" applyNumberFormat="1" applyFont="1" applyBorder="1" applyAlignment="1" applyProtection="1">
      <alignment horizontal="center"/>
      <protection/>
    </xf>
    <xf numFmtId="188" fontId="67" fillId="0" borderId="0" xfId="0" applyNumberFormat="1" applyFont="1" applyBorder="1" applyAlignment="1" applyProtection="1">
      <alignment horizontal="center"/>
      <protection/>
    </xf>
    <xf numFmtId="188" fontId="82" fillId="37" borderId="106" xfId="0" applyNumberFormat="1" applyFont="1" applyFill="1" applyBorder="1" applyAlignment="1" applyProtection="1">
      <alignment horizontal="center" vertical="center"/>
      <protection/>
    </xf>
    <xf numFmtId="188" fontId="84" fillId="0" borderId="0" xfId="0" applyNumberFormat="1" applyFont="1" applyFill="1" applyBorder="1" applyAlignment="1" applyProtection="1">
      <alignment horizontal="center"/>
      <protection/>
    </xf>
    <xf numFmtId="188" fontId="85" fillId="34" borderId="17" xfId="0" applyNumberFormat="1" applyFont="1" applyFill="1" applyBorder="1" applyAlignment="1" applyProtection="1">
      <alignment horizontal="center" vertical="center"/>
      <protection/>
    </xf>
    <xf numFmtId="0" fontId="8" fillId="0" borderId="136" xfId="0" applyNumberFormat="1" applyFont="1" applyFill="1" applyBorder="1" applyAlignment="1" applyProtection="1">
      <alignment horizontal="left" vertical="top" wrapText="1"/>
      <protection/>
    </xf>
    <xf numFmtId="49" fontId="1" fillId="34" borderId="137" xfId="0" applyNumberFormat="1" applyFont="1" applyFill="1" applyBorder="1" applyAlignment="1" applyProtection="1">
      <alignment horizontal="center" vertical="center" wrapText="1"/>
      <protection locked="0"/>
    </xf>
    <xf numFmtId="0" fontId="8" fillId="0" borderId="138" xfId="0" applyNumberFormat="1" applyFont="1" applyFill="1" applyBorder="1" applyAlignment="1" applyProtection="1">
      <alignment horizontal="left" vertical="top" wrapText="1"/>
      <protection/>
    </xf>
    <xf numFmtId="49" fontId="1" fillId="34" borderId="139" xfId="0" applyNumberFormat="1" applyFont="1" applyFill="1" applyBorder="1" applyAlignment="1" applyProtection="1">
      <alignment horizontal="center" vertical="center"/>
      <protection locked="0"/>
    </xf>
    <xf numFmtId="49" fontId="1" fillId="34" borderId="140" xfId="0" applyNumberFormat="1" applyFont="1" applyFill="1" applyBorder="1" applyAlignment="1" applyProtection="1">
      <alignment horizontal="center" vertical="center"/>
      <protection locked="0"/>
    </xf>
    <xf numFmtId="0" fontId="8" fillId="0" borderId="141" xfId="0" applyNumberFormat="1" applyFont="1" applyFill="1" applyBorder="1" applyAlignment="1" applyProtection="1">
      <alignment horizontal="left" vertical="top" wrapText="1"/>
      <protection/>
    </xf>
    <xf numFmtId="0" fontId="1" fillId="35" borderId="142" xfId="0" applyFont="1" applyFill="1" applyBorder="1" applyAlignment="1" applyProtection="1">
      <alignment horizontal="center" vertical="top" wrapText="1"/>
      <protection locked="0"/>
    </xf>
    <xf numFmtId="0" fontId="8" fillId="0" borderId="143" xfId="0" applyNumberFormat="1" applyFont="1" applyFill="1" applyBorder="1" applyAlignment="1" applyProtection="1">
      <alignment horizontal="left" vertical="top" wrapText="1"/>
      <protection/>
    </xf>
    <xf numFmtId="0" fontId="1" fillId="35" borderId="144" xfId="0" applyFont="1" applyFill="1" applyBorder="1" applyAlignment="1" applyProtection="1">
      <alignment horizontal="center" vertical="top" wrapText="1"/>
      <protection locked="0"/>
    </xf>
    <xf numFmtId="188" fontId="84" fillId="0" borderId="145" xfId="0" applyNumberFormat="1" applyFont="1" applyFill="1" applyBorder="1" applyAlignment="1" applyProtection="1">
      <alignment horizontal="center"/>
      <protection/>
    </xf>
    <xf numFmtId="188" fontId="96" fillId="35" borderId="146" xfId="0" applyNumberFormat="1" applyFont="1" applyFill="1" applyBorder="1" applyAlignment="1" applyProtection="1">
      <alignment horizontal="center" vertical="center"/>
      <protection/>
    </xf>
    <xf numFmtId="188" fontId="96" fillId="35" borderId="147" xfId="0" applyNumberFormat="1" applyFont="1" applyFill="1" applyBorder="1" applyAlignment="1" applyProtection="1">
      <alignment horizontal="center" vertical="center"/>
      <protection/>
    </xf>
    <xf numFmtId="0" fontId="8" fillId="0" borderId="148" xfId="0" applyNumberFormat="1" applyFont="1" applyFill="1" applyBorder="1" applyAlignment="1" applyProtection="1">
      <alignment horizontal="left" vertical="top" wrapText="1"/>
      <protection/>
    </xf>
    <xf numFmtId="0" fontId="1" fillId="35" borderId="149" xfId="0" applyFont="1" applyFill="1" applyBorder="1" applyAlignment="1" applyProtection="1">
      <alignment horizontal="center" vertical="top" wrapText="1"/>
      <protection locked="0"/>
    </xf>
    <xf numFmtId="0" fontId="8" fillId="0" borderId="150" xfId="0" applyNumberFormat="1" applyFont="1" applyFill="1" applyBorder="1" applyAlignment="1" applyProtection="1">
      <alignment horizontal="left" vertical="center" wrapText="1"/>
      <protection/>
    </xf>
    <xf numFmtId="0" fontId="1" fillId="33" borderId="151" xfId="0" applyFont="1" applyFill="1" applyBorder="1" applyAlignment="1" applyProtection="1">
      <alignment horizontal="center" vertical="top" wrapText="1"/>
      <protection locked="0"/>
    </xf>
    <xf numFmtId="0" fontId="1" fillId="0" borderId="152" xfId="73" applyNumberFormat="1" applyFont="1" applyFill="1" applyBorder="1" applyAlignment="1" applyProtection="1">
      <alignment horizontal="left" vertical="center" wrapText="1"/>
      <protection/>
    </xf>
    <xf numFmtId="0" fontId="1" fillId="33" borderId="153" xfId="0" applyFont="1" applyFill="1" applyBorder="1" applyAlignment="1" applyProtection="1">
      <alignment horizontal="center" vertical="top" wrapText="1"/>
      <protection locked="0"/>
    </xf>
    <xf numFmtId="188" fontId="84" fillId="0" borderId="154" xfId="0" applyNumberFormat="1" applyFont="1" applyFill="1" applyBorder="1" applyAlignment="1" applyProtection="1">
      <alignment horizontal="center"/>
      <protection/>
    </xf>
    <xf numFmtId="188" fontId="85" fillId="33" borderId="59" xfId="0" applyNumberFormat="1" applyFont="1" applyFill="1" applyBorder="1" applyAlignment="1" applyProtection="1">
      <alignment horizontal="center" vertical="center"/>
      <protection/>
    </xf>
    <xf numFmtId="9" fontId="1" fillId="0" borderId="152" xfId="73" applyNumberFormat="1" applyFont="1" applyFill="1" applyBorder="1" applyAlignment="1" applyProtection="1">
      <alignment horizontal="left" vertical="center" wrapText="1"/>
      <protection/>
    </xf>
    <xf numFmtId="0" fontId="1" fillId="33" borderId="155" xfId="0" applyFont="1" applyFill="1" applyBorder="1" applyAlignment="1" applyProtection="1">
      <alignment horizontal="center" vertical="top" wrapText="1"/>
      <protection locked="0"/>
    </xf>
    <xf numFmtId="181" fontId="27" fillId="43" borderId="0" xfId="90" applyNumberFormat="1" applyFont="1" applyFill="1" applyBorder="1" applyAlignment="1" applyProtection="1">
      <alignment horizontal="center"/>
      <protection locked="0"/>
    </xf>
    <xf numFmtId="0" fontId="36" fillId="0" borderId="156" xfId="0" applyFont="1" applyFill="1" applyBorder="1" applyAlignment="1" applyProtection="1">
      <alignment horizontal="left" vertical="top" wrapText="1"/>
      <protection locked="0"/>
    </xf>
    <xf numFmtId="0" fontId="36" fillId="0" borderId="157" xfId="0" applyFont="1" applyFill="1" applyBorder="1" applyAlignment="1" applyProtection="1">
      <alignment horizontal="left"/>
      <protection locked="0"/>
    </xf>
    <xf numFmtId="0" fontId="36" fillId="0" borderId="158" xfId="0" applyFont="1" applyFill="1" applyBorder="1" applyAlignment="1" applyProtection="1">
      <alignment horizontal="left" vertical="center" wrapText="1"/>
      <protection locked="0"/>
    </xf>
    <xf numFmtId="0" fontId="36" fillId="0" borderId="156" xfId="0" applyFont="1" applyFill="1" applyBorder="1" applyAlignment="1" applyProtection="1">
      <alignment horizontal="left"/>
      <protection locked="0"/>
    </xf>
    <xf numFmtId="0" fontId="0" fillId="33" borderId="14" xfId="0" applyFill="1" applyBorder="1" applyAlignment="1" applyProtection="1">
      <alignment horizontal="center"/>
      <protection locked="0"/>
    </xf>
    <xf numFmtId="0" fontId="52" fillId="41" borderId="159" xfId="71" applyNumberFormat="1" applyFont="1" applyFill="1" applyBorder="1" applyAlignment="1">
      <alignment horizontal="center" vertical="center" wrapText="1"/>
      <protection/>
    </xf>
    <xf numFmtId="0" fontId="52" fillId="41" borderId="160" xfId="71" applyNumberFormat="1" applyFont="1" applyFill="1" applyBorder="1" applyAlignment="1">
      <alignment horizontal="center" vertical="center" wrapText="1"/>
      <protection/>
    </xf>
    <xf numFmtId="0" fontId="52" fillId="41" borderId="161" xfId="71" applyNumberFormat="1" applyFont="1" applyFill="1" applyBorder="1" applyAlignment="1">
      <alignment horizontal="center" vertical="center" wrapText="1"/>
      <protection/>
    </xf>
    <xf numFmtId="0" fontId="36" fillId="0" borderId="162" xfId="0" applyFont="1" applyFill="1" applyBorder="1" applyAlignment="1" applyProtection="1">
      <alignment horizontal="left" wrapText="1"/>
      <protection locked="0"/>
    </xf>
    <xf numFmtId="0" fontId="36" fillId="0" borderId="156" xfId="0" applyFont="1" applyFill="1" applyBorder="1" applyAlignment="1" applyProtection="1">
      <alignment horizontal="left" wrapText="1"/>
      <protection locked="0"/>
    </xf>
    <xf numFmtId="0" fontId="36" fillId="0" borderId="157" xfId="0" applyFont="1" applyFill="1" applyBorder="1" applyAlignment="1" applyProtection="1">
      <alignment horizontal="left" wrapText="1"/>
      <protection locked="0"/>
    </xf>
    <xf numFmtId="0" fontId="36" fillId="0" borderId="163" xfId="0" applyFont="1" applyFill="1" applyBorder="1" applyAlignment="1" applyProtection="1">
      <alignment horizontal="left"/>
      <protection locked="0"/>
    </xf>
    <xf numFmtId="0" fontId="102" fillId="41" borderId="14" xfId="0" applyNumberFormat="1" applyFont="1" applyFill="1" applyBorder="1" applyAlignment="1">
      <alignment horizontal="center" vertical="center" textRotation="90"/>
    </xf>
    <xf numFmtId="0" fontId="36" fillId="0" borderId="164" xfId="0" applyFont="1" applyFill="1" applyBorder="1" applyAlignment="1" applyProtection="1">
      <alignment horizontal="left" wrapText="1"/>
      <protection locked="0"/>
    </xf>
    <xf numFmtId="0" fontId="36" fillId="0" borderId="165" xfId="0" applyFont="1" applyFill="1" applyBorder="1" applyAlignment="1" applyProtection="1">
      <alignment horizontal="left" wrapText="1"/>
      <protection locked="0"/>
    </xf>
    <xf numFmtId="0" fontId="36" fillId="0" borderId="166" xfId="0" applyFont="1" applyFill="1" applyBorder="1" applyAlignment="1" applyProtection="1">
      <alignment horizontal="left" vertical="center" wrapText="1"/>
      <protection locked="0"/>
    </xf>
    <xf numFmtId="0" fontId="36" fillId="0" borderId="167" xfId="0" applyFont="1" applyFill="1" applyBorder="1" applyAlignment="1" applyProtection="1">
      <alignment horizontal="left"/>
      <protection locked="0"/>
    </xf>
    <xf numFmtId="0" fontId="36" fillId="0" borderId="168" xfId="0" applyFont="1" applyFill="1" applyBorder="1" applyAlignment="1" applyProtection="1">
      <alignment horizontal="left"/>
      <protection locked="0"/>
    </xf>
    <xf numFmtId="0" fontId="36" fillId="0" borderId="169" xfId="0" applyFont="1" applyFill="1" applyBorder="1" applyAlignment="1" applyProtection="1">
      <alignment horizontal="left"/>
      <protection locked="0"/>
    </xf>
    <xf numFmtId="0" fontId="36" fillId="0" borderId="170" xfId="0" applyFont="1" applyFill="1" applyBorder="1" applyAlignment="1" applyProtection="1">
      <alignment horizontal="left" vertical="top" wrapText="1"/>
      <protection locked="0"/>
    </xf>
    <xf numFmtId="0" fontId="36" fillId="0" borderId="171" xfId="0" applyFont="1" applyBorder="1" applyAlignment="1" applyProtection="1">
      <alignment horizontal="left"/>
      <protection locked="0"/>
    </xf>
    <xf numFmtId="0" fontId="36" fillId="0" borderId="102" xfId="0" applyFont="1" applyBorder="1" applyAlignment="1" applyProtection="1">
      <alignment horizontal="left"/>
      <protection locked="0"/>
    </xf>
    <xf numFmtId="0" fontId="36" fillId="0" borderId="172" xfId="0" applyFont="1" applyBorder="1" applyAlignment="1" applyProtection="1">
      <alignment horizontal="left"/>
      <protection locked="0"/>
    </xf>
    <xf numFmtId="0" fontId="36" fillId="0" borderId="173" xfId="0" applyFont="1" applyFill="1" applyBorder="1" applyAlignment="1" applyProtection="1">
      <alignment horizontal="left"/>
      <protection locked="0"/>
    </xf>
    <xf numFmtId="0" fontId="36" fillId="0" borderId="156" xfId="0" applyFont="1" applyBorder="1" applyAlignment="1" applyProtection="1">
      <alignment horizontal="left"/>
      <protection locked="0"/>
    </xf>
    <xf numFmtId="0" fontId="36" fillId="0" borderId="157" xfId="0" applyFont="1" applyBorder="1" applyAlignment="1" applyProtection="1">
      <alignment horizontal="left"/>
      <protection locked="0"/>
    </xf>
    <xf numFmtId="0" fontId="36" fillId="0" borderId="163" xfId="0" applyFont="1" applyBorder="1" applyAlignment="1" applyProtection="1">
      <alignment horizontal="left"/>
      <protection locked="0"/>
    </xf>
    <xf numFmtId="0" fontId="36" fillId="0" borderId="174" xfId="0" applyFont="1" applyFill="1" applyBorder="1" applyAlignment="1" applyProtection="1">
      <alignment horizontal="left"/>
      <protection locked="0"/>
    </xf>
    <xf numFmtId="0" fontId="36" fillId="0" borderId="167" xfId="0" applyFont="1" applyBorder="1" applyAlignment="1" applyProtection="1">
      <alignment horizontal="left"/>
      <protection locked="0"/>
    </xf>
    <xf numFmtId="0" fontId="36" fillId="0" borderId="168" xfId="0" applyFont="1" applyBorder="1" applyAlignment="1" applyProtection="1">
      <alignment horizontal="left"/>
      <protection locked="0"/>
    </xf>
    <xf numFmtId="0" fontId="36" fillId="0" borderId="169" xfId="0" applyFont="1" applyBorder="1" applyAlignment="1" applyProtection="1">
      <alignment horizontal="left"/>
      <protection locked="0"/>
    </xf>
    <xf numFmtId="181" fontId="2" fillId="44" borderId="0" xfId="54" applyFont="1" applyFill="1" applyBorder="1" applyAlignment="1">
      <alignment horizontal="center" vertical="center"/>
      <protection/>
    </xf>
    <xf numFmtId="0" fontId="4" fillId="0" borderId="0" xfId="0" applyFont="1" applyBorder="1" applyAlignment="1">
      <alignment horizontal="center"/>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3" xfId="56"/>
    <cellStyle name="Normal 2 4" xfId="57"/>
    <cellStyle name="Normal 2 5" xfId="58"/>
    <cellStyle name="Normal 2 6" xfId="59"/>
    <cellStyle name="Normal 2 7" xfId="60"/>
    <cellStyle name="Normal 2 8" xfId="61"/>
    <cellStyle name="Normal 2_Dashboard ver 2.2 ES" xfId="62"/>
    <cellStyle name="Normal 2_Ficticia HIV Dashboard_ES - Set Up and Maintenance Guide" xfId="63"/>
    <cellStyle name="Normal 2_Prototipo" xfId="64"/>
    <cellStyle name="Normal 3" xfId="65"/>
    <cellStyle name="Normal 4" xfId="66"/>
    <cellStyle name="Normal 5" xfId="67"/>
    <cellStyle name="Normal 6" xfId="68"/>
    <cellStyle name="Normal 7" xfId="69"/>
    <cellStyle name="Normal 8" xfId="70"/>
    <cellStyle name="Normal_TZ_R3HIV_Phase_2_21_August_08" xfId="71"/>
    <cellStyle name="Notas" xfId="72"/>
    <cellStyle name="Percent" xfId="73"/>
    <cellStyle name="Porcentual 2" xfId="74"/>
    <cellStyle name="Porcentual 3" xfId="75"/>
    <cellStyle name="Porcentual 4" xfId="76"/>
    <cellStyle name="Porcentual 5" xfId="77"/>
    <cellStyle name="Porcentual 6" xfId="78"/>
    <cellStyle name="Porcentual 7" xfId="79"/>
    <cellStyle name="Porcentual 8" xfId="80"/>
    <cellStyle name="Salida" xfId="81"/>
    <cellStyle name="Texto de advertencia" xfId="82"/>
    <cellStyle name="Texto explicativo" xfId="83"/>
    <cellStyle name="Título" xfId="84"/>
    <cellStyle name="Título 2" xfId="85"/>
    <cellStyle name="Título 3" xfId="86"/>
    <cellStyle name="Título 3 2" xfId="87"/>
    <cellStyle name="Título 3 3" xfId="88"/>
    <cellStyle name="Título 3 3_Prototipo" xfId="89"/>
    <cellStyle name="Título 3 3_PrototipoRep1" xfId="90"/>
    <cellStyle name="Título 3 4" xfId="91"/>
    <cellStyle name="Título 3 5" xfId="92"/>
    <cellStyle name="Título 3 6" xfId="93"/>
    <cellStyle name="Título 3 7" xfId="94"/>
    <cellStyle name="Título 3 8" xfId="95"/>
    <cellStyle name="Total" xfId="96"/>
  </cellStyles>
  <dxfs count="53">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i val="0"/>
        <sz val="11"/>
        <color indexed="8"/>
      </font>
      <fill>
        <patternFill patternType="solid">
          <fgColor theme="4" tint="0.5999600291252136"/>
          <bgColor theme="4" tint="0.5999600291252136"/>
        </patternFill>
      </fill>
    </dxf>
    <dxf>
      <font>
        <b/>
        <i val="0"/>
        <sz val="11"/>
        <color indexed="8"/>
      </font>
      <fill>
        <patternFill patternType="solid">
          <fgColor indexed="34"/>
          <bgColor indexed="13"/>
        </patternFill>
      </fill>
    </dxf>
    <dxf>
      <font>
        <b/>
        <i val="0"/>
        <sz val="11"/>
        <color indexed="9"/>
      </font>
      <fill>
        <patternFill patternType="solid">
          <fgColor indexed="29"/>
          <bgColor indexed="61"/>
        </patternFill>
      </fill>
    </dxf>
    <dxf>
      <font>
        <b/>
        <i val="0"/>
        <sz val="11"/>
        <color indexed="8"/>
      </font>
      <fill>
        <patternFill patternType="solid">
          <fgColor theme="4" tint="0.7999799847602844"/>
          <bgColor theme="4" tint="0.7999799847602844"/>
        </patternFill>
      </fill>
    </dxf>
    <dxf>
      <font>
        <b/>
        <i val="0"/>
        <sz val="11"/>
        <color indexed="8"/>
      </font>
      <fill>
        <patternFill patternType="solid">
          <fgColor theme="4" tint="0.5999600291252136"/>
          <bgColor theme="4" tint="0.5999600291252136"/>
        </patternFill>
      </fill>
    </dxf>
    <dxf>
      <font>
        <b/>
        <i val="0"/>
        <sz val="11"/>
        <color indexed="9"/>
      </font>
      <fill>
        <patternFill patternType="solid">
          <fgColor theme="4" tint="0.3999499976634979"/>
          <bgColor theme="4" tint="0.3999499976634979"/>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i val="0"/>
        <sz val="11"/>
        <color indexed="8"/>
      </font>
      <fill>
        <patternFill patternType="solid">
          <fgColor indexed="34"/>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9"/>
      </font>
      <fill>
        <patternFill patternType="solid">
          <fgColor indexed="61"/>
          <bgColor indexed="29"/>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8"/>
      </font>
      <fill>
        <patternFill patternType="solid">
          <fgColor indexed="26"/>
          <bgColor indexed="9"/>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8"/>
      </font>
      <fill>
        <patternFill patternType="solid">
          <fgColor indexed="49"/>
          <bgColor indexed="11"/>
        </patternFill>
      </fill>
    </dxf>
    <dxf>
      <font>
        <b val="0"/>
        <sz val="11"/>
        <color indexed="9"/>
      </font>
      <fill>
        <patternFill patternType="solid">
          <fgColor indexed="32"/>
          <bgColor indexed="8"/>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FF5050"/>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FF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FF00"/>
          <bgColor rgb="FFFFFF00"/>
        </patternFill>
      </fill>
      <border/>
    </dxf>
    <dxf>
      <font>
        <b/>
        <i val="0"/>
        <sz val="11"/>
        <color rgb="FFFFFFFF"/>
      </font>
      <fill>
        <patternFill patternType="solid">
          <fgColor theme="4" tint="0.3999499976634979"/>
          <bgColor theme="4" tint="0.3999499976634979"/>
        </patternFill>
      </fill>
      <border/>
    </dxf>
    <dxf>
      <font>
        <b/>
        <i val="0"/>
        <sz val="11"/>
        <color rgb="FF000000"/>
      </font>
      <fill>
        <patternFill patternType="solid">
          <fgColor theme="4" tint="0.5999600291252136"/>
          <bgColor theme="4" tint="0.5999600291252136"/>
        </patternFill>
      </fill>
      <border/>
    </dxf>
    <dxf>
      <font>
        <b/>
        <i val="0"/>
        <sz val="11"/>
        <color rgb="FF000000"/>
      </font>
      <fill>
        <patternFill patternType="solid">
          <fgColor theme="4" tint="0.7999799847602844"/>
          <bgColor theme="4" tint="0.7999799847602844"/>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F00"/>
      <rgbColor rgb="0000FFFF"/>
      <rgbColor rgb="00800080"/>
      <rgbColor rgb="00800000"/>
      <rgbColor rgb="00008080"/>
      <rgbColor rgb="000000FF"/>
      <rgbColor rgb="0000CCFF"/>
      <rgbColor rgb="00FFF88F"/>
      <rgbColor rgb="00CCFFCC"/>
      <rgbColor rgb="00FFFF99"/>
      <rgbColor rgb="0099CCFF"/>
      <rgbColor rgb="00FF99CC"/>
      <rgbColor rgb="00CC99FF"/>
      <rgbColor rgb="00FFCC99"/>
      <rgbColor rgb="003366FF"/>
      <rgbColor rgb="0033CC33"/>
      <rgbColor rgb="0099CC00"/>
      <rgbColor rgb="00FFCC00"/>
      <rgbColor rgb="00FF9900"/>
      <rgbColor rgb="00FF6600"/>
      <rgbColor rgb="00376092"/>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
          <c:y val="0.21925"/>
          <c:w val="0.88725"/>
          <c:h val="0.67225"/>
        </c:manualLayout>
      </c:layout>
      <c:barChart>
        <c:barDir val="col"/>
        <c:grouping val="clustered"/>
        <c:varyColors val="0"/>
        <c:ser>
          <c:idx val="0"/>
          <c:order val="0"/>
          <c:tx>
            <c:v>PRESUPUESTO</c:v>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'Introducción de datos'!$C$33:$N$33</c:f>
              <c:numCache>
                <c:ptCount val="12"/>
                <c:pt idx="0">
                  <c:v>1994855</c:v>
                </c:pt>
                <c:pt idx="6">
                  <c:v>0</c:v>
                </c:pt>
                <c:pt idx="7">
                  <c:v>0</c:v>
                </c:pt>
                <c:pt idx="8">
                  <c:v>0</c:v>
                </c:pt>
                <c:pt idx="9">
                  <c:v>0</c:v>
                </c:pt>
                <c:pt idx="10">
                  <c:v>0</c:v>
                </c:pt>
                <c:pt idx="11">
                  <c:v>0</c:v>
                </c:pt>
              </c:numCache>
            </c:numRef>
          </c:val>
        </c:ser>
        <c:ser>
          <c:idx val="1"/>
          <c:order val="1"/>
          <c:tx>
            <c:v>DESEMBOLSO</c:v>
          </c:tx>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'Introducción de datos'!$C$34:$N$34</c:f>
              <c:numCache>
                <c:ptCount val="12"/>
                <c:pt idx="0">
                  <c:v>2477274</c:v>
                </c:pt>
                <c:pt idx="6">
                  <c:v>0</c:v>
                </c:pt>
                <c:pt idx="7">
                  <c:v>0</c:v>
                </c:pt>
                <c:pt idx="8">
                  <c:v>0</c:v>
                </c:pt>
                <c:pt idx="9">
                  <c:v>0</c:v>
                </c:pt>
                <c:pt idx="10">
                  <c:v>0</c:v>
                </c:pt>
                <c:pt idx="11">
                  <c:v>0</c:v>
                </c:pt>
              </c:numCache>
            </c:numRef>
          </c:val>
        </c:ser>
        <c:gapWidth val="70"/>
        <c:axId val="3250284"/>
        <c:axId val="29252557"/>
      </c:barChart>
      <c:catAx>
        <c:axId val="3250284"/>
        <c:scaling>
          <c:orientation val="minMax"/>
        </c:scaling>
        <c:axPos val="b"/>
        <c:title>
          <c:tx>
            <c:rich>
              <a:bodyPr vert="horz" rot="0" anchor="ctr"/>
              <a:lstStyle/>
              <a:p>
                <a:pPr algn="ctr">
                  <a:defRPr/>
                </a:pPr>
                <a:r>
                  <a:rPr lang="en-US" cap="none" sz="700" b="0" i="0" u="none" baseline="0">
                    <a:solidFill>
                      <a:srgbClr val="000000"/>
                    </a:solidFill>
                    <a:latin typeface="Calibri"/>
                    <a:ea typeface="Calibri"/>
                    <a:cs typeface="Calibri"/>
                  </a:rPr>
                  <a:t>Periodo de referencia</a:t>
                </a:r>
              </a:p>
            </c:rich>
          </c:tx>
          <c:layout>
            <c:manualLayout>
              <c:xMode val="factor"/>
              <c:yMode val="factor"/>
              <c:x val="-0.01125"/>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latin typeface="Calibri"/>
                <a:ea typeface="Calibri"/>
                <a:cs typeface="Calibri"/>
              </a:defRPr>
            </a:pPr>
          </a:p>
        </c:txPr>
        <c:crossAx val="29252557"/>
        <c:crossesAt val="0"/>
        <c:auto val="1"/>
        <c:lblOffset val="100"/>
        <c:tickLblSkip val="1"/>
        <c:noMultiLvlLbl val="0"/>
      </c:catAx>
      <c:valAx>
        <c:axId val="2925255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50284"/>
        <c:crossesAt val="1"/>
        <c:crossBetween val="between"/>
        <c:dispUnits/>
      </c:valAx>
      <c:spPr>
        <a:solidFill>
          <a:srgbClr val="FFFFFF"/>
        </a:solidFill>
        <a:ln w="3175">
          <a:solidFill>
            <a:srgbClr val="000000"/>
          </a:solidFill>
        </a:ln>
      </c:spPr>
    </c:plotArea>
    <c:legend>
      <c:legendPos val="r"/>
      <c:layout>
        <c:manualLayout>
          <c:xMode val="edge"/>
          <c:yMode val="edge"/>
          <c:x val="0.18875"/>
          <c:y val="0.697"/>
          <c:w val="0.68375"/>
          <c:h val="0.106"/>
        </c:manualLayout>
      </c:layout>
      <c:overlay val="0"/>
      <c:spPr>
        <a:solidFill>
          <a:srgbClr val="FFFFFF"/>
        </a:solidFill>
        <a:ln w="3175">
          <a:solidFill>
            <a:srgbClr val="000000"/>
          </a:solidFill>
        </a:ln>
      </c:spPr>
    </c:legend>
    <c:plotVisOnly val="1"/>
    <c:dispBlanksAs val="gap"/>
    <c:showDLblsOverMax val="0"/>
  </c:chart>
  <c:spPr>
    <a:noFill/>
    <a:ln>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25"/>
          <c:y val="0.2635"/>
          <c:w val="0.84675"/>
          <c:h val="0.6862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datos'!$H$120:$S$120</c:f>
              <c:numCache>
                <c:ptCount val="12"/>
                <c:pt idx="0">
                  <c:v>14618</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datos'!$H$121:$S$121</c:f>
              <c:numCache>
                <c:ptCount val="12"/>
                <c:pt idx="0">
                  <c:v>4079</c:v>
                </c:pt>
              </c:numCache>
            </c:numRef>
          </c:val>
        </c:ser>
        <c:axId val="50278662"/>
        <c:axId val="49854775"/>
      </c:barChart>
      <c:catAx>
        <c:axId val="5027866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9854775"/>
        <c:crossesAt val="0"/>
        <c:auto val="1"/>
        <c:lblOffset val="100"/>
        <c:tickLblSkip val="1"/>
        <c:noMultiLvlLbl val="0"/>
      </c:catAx>
      <c:valAx>
        <c:axId val="4985477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50278662"/>
        <c:crossesAt val="1"/>
        <c:crossBetween val="between"/>
        <c:dispUnits/>
      </c:valAx>
      <c:spPr>
        <a:noFill/>
        <a:ln>
          <a:noFill/>
        </a:ln>
      </c:spPr>
    </c:plotArea>
    <c:legend>
      <c:legendPos val="r"/>
      <c:layout>
        <c:manualLayout>
          <c:xMode val="edge"/>
          <c:yMode val="edge"/>
          <c:x val="0.26275"/>
          <c:y val="0.599"/>
          <c:w val="0.32725"/>
          <c:h val="0.07925"/>
        </c:manualLayout>
      </c:layout>
      <c:overlay val="0"/>
      <c:spPr>
        <a:solidFill>
          <a:srgbClr val="FFFFFF"/>
        </a:solidFill>
        <a:ln w="3175">
          <a:no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5"/>
          <c:y val="0.2705"/>
          <c:w val="0.81875"/>
          <c:h val="0.68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datos'!$H$118:$S$118</c:f>
              <c:numCache>
                <c:ptCount val="12"/>
                <c:pt idx="0">
                  <c:v>10799</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datos'!$H$119:$S$119</c:f>
              <c:numCache>
                <c:ptCount val="12"/>
                <c:pt idx="0">
                  <c:v>9076</c:v>
                </c:pt>
              </c:numCache>
            </c:numRef>
          </c:val>
        </c:ser>
        <c:axId val="46039792"/>
        <c:axId val="11704945"/>
      </c:barChart>
      <c:catAx>
        <c:axId val="4603979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1704945"/>
        <c:crossesAt val="0"/>
        <c:auto val="1"/>
        <c:lblOffset val="100"/>
        <c:tickLblSkip val="1"/>
        <c:noMultiLvlLbl val="0"/>
      </c:catAx>
      <c:valAx>
        <c:axId val="1170494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6039792"/>
        <c:crossesAt val="1"/>
        <c:crossBetween val="between"/>
        <c:dispUnits/>
      </c:valAx>
      <c:spPr>
        <a:noFill/>
        <a:ln>
          <a:noFill/>
        </a:ln>
      </c:spPr>
    </c:plotArea>
    <c:legend>
      <c:legendPos val="r"/>
      <c:layout>
        <c:manualLayout>
          <c:xMode val="edge"/>
          <c:yMode val="edge"/>
          <c:x val="0.128"/>
          <c:y val="0.594"/>
          <c:w val="0.5345"/>
          <c:h val="0.0655"/>
        </c:manualLayout>
      </c:layout>
      <c:overlay val="0"/>
      <c:spPr>
        <a:solidFill>
          <a:srgbClr val="FFFFFF"/>
        </a:solidFill>
        <a:ln w="3175">
          <a:no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25"/>
          <c:y val="0.17925"/>
          <c:w val="0.75625"/>
          <c:h val="0.7525"/>
        </c:manualLayout>
      </c:layout>
      <c:barChart>
        <c:barDir val="col"/>
        <c:grouping val="stacked"/>
        <c:varyColors val="0"/>
        <c:ser>
          <c:idx val="0"/>
          <c:order val="0"/>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datos'!$B$54:$B$57</c:f>
              <c:strCache>
                <c:ptCount val="4"/>
                <c:pt idx="0">
                  <c:v>Desembolsado por el FM</c:v>
                </c:pt>
                <c:pt idx="1">
                  <c:v>Gastos </c:v>
                </c:pt>
                <c:pt idx="2">
                  <c:v>Compromisos </c:v>
                </c:pt>
                <c:pt idx="3">
                  <c:v>Saldo en Caja 
al 30 de junio</c:v>
                </c:pt>
              </c:strCache>
            </c:strRef>
          </c:cat>
          <c:val>
            <c:numRef>
              <c:f>'Introducción de datos'!$C$54:$C$57</c:f>
              <c:numCache>
                <c:ptCount val="4"/>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datos'!$B$54:$B$57</c:f>
              <c:strCache>
                <c:ptCount val="4"/>
                <c:pt idx="0">
                  <c:v>Desembolsado por el FM</c:v>
                </c:pt>
                <c:pt idx="1">
                  <c:v>Gastos </c:v>
                </c:pt>
                <c:pt idx="2">
                  <c:v>Compromisos </c:v>
                </c:pt>
                <c:pt idx="3">
                  <c:v>Saldo en Caja 
al 30 de junio</c:v>
                </c:pt>
              </c:strCache>
            </c:strRef>
          </c:cat>
          <c:val>
            <c:numRef>
              <c:f>'Introducción de datos'!$D$54:$D$57</c:f>
              <c:numCache>
                <c:ptCount val="4"/>
                <c:pt idx="0">
                  <c:v>2477274</c:v>
                </c:pt>
                <c:pt idx="1">
                  <c:v>33165.99</c:v>
                </c:pt>
                <c:pt idx="2">
                  <c:v>1716064.92</c:v>
                </c:pt>
                <c:pt idx="3">
                  <c:v>2444108.01</c:v>
                </c:pt>
              </c:numCache>
            </c:numRef>
          </c:val>
        </c:ser>
        <c:overlap val="100"/>
        <c:axId val="61946422"/>
        <c:axId val="20646887"/>
      </c:barChart>
      <c:catAx>
        <c:axId val="61946422"/>
        <c:scaling>
          <c:orientation val="minMax"/>
        </c:scaling>
        <c:axPos val="b"/>
        <c:delete val="0"/>
        <c:numFmt formatCode="General" sourceLinked="1"/>
        <c:majorTickMark val="out"/>
        <c:minorTickMark val="none"/>
        <c:tickLblPos val="nextTo"/>
        <c:spPr>
          <a:ln w="3175">
            <a:solidFill>
              <a:srgbClr val="808080"/>
            </a:solidFill>
          </a:ln>
        </c:spPr>
        <c:crossAx val="20646887"/>
        <c:crossesAt val="0"/>
        <c:auto val="1"/>
        <c:lblOffset val="100"/>
        <c:tickLblSkip val="2"/>
        <c:noMultiLvlLbl val="0"/>
      </c:catAx>
      <c:valAx>
        <c:axId val="20646887"/>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61946422"/>
        <c:crossesAt val="1"/>
        <c:crossBetween val="between"/>
        <c:dispUnits/>
      </c:valAx>
      <c:dTable>
        <c:showHorzBorder val="1"/>
        <c:showVertBorder val="1"/>
        <c:showOutline val="1"/>
        <c:showKeys val="1"/>
        <c:spPr>
          <a:ln w="3175">
            <a:solidFill>
              <a:srgbClr val="808080"/>
            </a:solidFill>
          </a:ln>
        </c:sp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4225"/>
          <c:w val="0.8865"/>
          <c:h val="0.5572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datos'!$B$39:$B$48</c:f>
              <c:strCache>
                <c:ptCount val="10"/>
                <c:pt idx="0">
                  <c:v>Salud Comunitaria</c:v>
                </c:pt>
                <c:pt idx="1">
                  <c:v>Sistema de Información y Monitoreo y Evaluación</c:v>
                </c:pt>
                <c:pt idx="2">
                  <c:v>Financiamiento de la Salud</c:v>
                </c:pt>
                <c:pt idx="3">
                  <c:v>PMTCT</c:v>
                </c:pt>
                <c:pt idx="4">
                  <c:v>Programas de prevención para HSH Y TGS</c:v>
                </c:pt>
                <c:pt idx="5">
                  <c:v>Programa de prevención para otras poblaciones vulnerables</c:v>
                </c:pt>
                <c:pt idx="6">
                  <c:v>Programas de prevencion para TS y sus clientes</c:v>
                </c:pt>
                <c:pt idx="7">
                  <c:v>Gestion de Programas</c:v>
                </c:pt>
                <c:pt idx="8">
                  <c:v>TB/VIH (Coinfeccion)</c:v>
                </c:pt>
                <c:pt idx="9">
                  <c:v>Tratamiento, atencion y apoyo</c:v>
                </c:pt>
              </c:strCache>
            </c:strRef>
          </c:cat>
          <c:val>
            <c:numRef>
              <c:f>'Introducción de datos'!$C$39:$C$48</c:f>
              <c:numCache>
                <c:ptCount val="10"/>
                <c:pt idx="0">
                  <c:v>215750</c:v>
                </c:pt>
                <c:pt idx="1">
                  <c:v>20701</c:v>
                </c:pt>
                <c:pt idx="2">
                  <c:v>174000</c:v>
                </c:pt>
                <c:pt idx="3">
                  <c:v>135085</c:v>
                </c:pt>
                <c:pt idx="4">
                  <c:v>543473</c:v>
                </c:pt>
                <c:pt idx="5">
                  <c:v>126423</c:v>
                </c:pt>
                <c:pt idx="6">
                  <c:v>55584</c:v>
                </c:pt>
                <c:pt idx="7">
                  <c:v>98398</c:v>
                </c:pt>
                <c:pt idx="8">
                  <c:v>29754</c:v>
                </c:pt>
                <c:pt idx="9">
                  <c:v>595687</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datos'!$B$39:$B$48</c:f>
              <c:strCache>
                <c:ptCount val="10"/>
                <c:pt idx="0">
                  <c:v>Salud Comunitaria</c:v>
                </c:pt>
                <c:pt idx="1">
                  <c:v>Sistema de Información y Monitoreo y Evaluación</c:v>
                </c:pt>
                <c:pt idx="2">
                  <c:v>Financiamiento de la Salud</c:v>
                </c:pt>
                <c:pt idx="3">
                  <c:v>PMTCT</c:v>
                </c:pt>
                <c:pt idx="4">
                  <c:v>Programas de prevención para HSH Y TGS</c:v>
                </c:pt>
                <c:pt idx="5">
                  <c:v>Programa de prevención para otras poblaciones vulnerables</c:v>
                </c:pt>
                <c:pt idx="6">
                  <c:v>Programas de prevencion para TS y sus clientes</c:v>
                </c:pt>
                <c:pt idx="7">
                  <c:v>Gestion de Programas</c:v>
                </c:pt>
                <c:pt idx="8">
                  <c:v>TB/VIH (Coinfeccion)</c:v>
                </c:pt>
                <c:pt idx="9">
                  <c:v>Tratamiento, atencion y apoyo</c:v>
                </c:pt>
              </c:strCache>
            </c:strRef>
          </c:cat>
          <c:val>
            <c:numRef>
              <c:f>'Introducción de datos'!$D$39:$D$48</c:f>
              <c:numCache>
                <c:ptCount val="10"/>
                <c:pt idx="0">
                  <c:v>0</c:v>
                </c:pt>
                <c:pt idx="1">
                  <c:v>5489.95</c:v>
                </c:pt>
                <c:pt idx="2">
                  <c:v>0</c:v>
                </c:pt>
                <c:pt idx="3">
                  <c:v>0</c:v>
                </c:pt>
                <c:pt idx="4">
                  <c:v>0</c:v>
                </c:pt>
                <c:pt idx="5">
                  <c:v>7647.34</c:v>
                </c:pt>
                <c:pt idx="6">
                  <c:v>0</c:v>
                </c:pt>
                <c:pt idx="7">
                  <c:v>18333.65</c:v>
                </c:pt>
                <c:pt idx="8">
                  <c:v>0</c:v>
                </c:pt>
                <c:pt idx="9">
                  <c:v>1695.05</c:v>
                </c:pt>
              </c:numCache>
            </c:numRef>
          </c:val>
        </c:ser>
        <c:axId val="51604256"/>
        <c:axId val="61785121"/>
      </c:barChart>
      <c:catAx>
        <c:axId val="51604256"/>
        <c:scaling>
          <c:orientation val="minMax"/>
        </c:scaling>
        <c:axPos val="b"/>
        <c:delete val="0"/>
        <c:numFmt formatCode="General" sourceLinked="1"/>
        <c:majorTickMark val="out"/>
        <c:minorTickMark val="none"/>
        <c:tickLblPos val="nextTo"/>
        <c:spPr>
          <a:ln w="3175">
            <a:solidFill>
              <a:srgbClr val="000000"/>
            </a:solidFill>
          </a:ln>
        </c:spPr>
        <c:crossAx val="61785121"/>
        <c:crossesAt val="0"/>
        <c:auto val="1"/>
        <c:lblOffset val="100"/>
        <c:tickLblSkip val="3"/>
        <c:noMultiLvlLbl val="0"/>
      </c:catAx>
      <c:valAx>
        <c:axId val="61785121"/>
        <c:scaling>
          <c:orientation val="minMax"/>
        </c:scaling>
        <c:axPos val="l"/>
        <c:majorGridlines>
          <c:spPr>
            <a:ln w="3175">
              <a:solidFill>
                <a:srgbClr val="000000"/>
              </a:solidFill>
            </a:ln>
          </c:spPr>
        </c:majorGridlines>
        <c:delete val="0"/>
        <c:numFmt formatCode="_(\$* #,##0.00_);_(\$* \(#,##0.00\);_(\$* \-??_);_(@_)" sourceLinked="0"/>
        <c:majorTickMark val="out"/>
        <c:minorTickMark val="none"/>
        <c:tickLblPos val="nextTo"/>
        <c:spPr>
          <a:ln w="3175">
            <a:solidFill>
              <a:srgbClr val="000000"/>
            </a:solidFill>
          </a:ln>
        </c:spPr>
        <c:crossAx val="51604256"/>
        <c:crossesAt val="1"/>
        <c:crossBetween val="between"/>
        <c:dispUnits/>
      </c:valAx>
      <c:dTable>
        <c:showHorzBorder val="1"/>
        <c:showVertBorder val="1"/>
        <c:showOutline val="1"/>
        <c:showKeys val="1"/>
        <c:spPr>
          <a:ln w="3175">
            <a:solidFill>
              <a:srgbClr val="808080"/>
            </a:solidFill>
          </a:ln>
        </c:spPr>
      </c:dTable>
      <c:spPr>
        <a:noFill/>
        <a:ln w="12700">
          <a:solidFill>
            <a:srgbClr val="000000"/>
          </a:solidFill>
        </a:ln>
      </c:spPr>
    </c:plotArea>
    <c:plotVisOnly val="1"/>
    <c:dispBlanksAs val="gap"/>
    <c:showDLblsOverMax val="0"/>
  </c:chart>
  <c:spPr>
    <a:noFill/>
    <a:ln>
      <a:noFill/>
    </a:ln>
  </c:spPr>
  <c:txPr>
    <a:bodyPr vert="horz" rot="0"/>
    <a:lstStyle/>
    <a:p>
      <a:pPr>
        <a:defRPr lang="en-US" cap="none" sz="5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34025"/>
          <c:w val="0.8985"/>
          <c:h val="0.586"/>
        </c:manualLayout>
      </c:layout>
      <c:barChart>
        <c:barDir val="bar"/>
        <c:grouping val="percentStacked"/>
        <c:varyColors val="0"/>
        <c:ser>
          <c:idx val="0"/>
          <c:order val="0"/>
          <c:tx>
            <c:strRef>
              <c:f>'Introducción de datos'!$D$80</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datos'!$D$81</c:f>
              <c:numCache>
                <c:ptCount val="1"/>
                <c:pt idx="0">
                  <c:v>0</c:v>
                </c:pt>
              </c:numCache>
            </c:numRef>
          </c:val>
        </c:ser>
        <c:ser>
          <c:idx val="1"/>
          <c:order val="1"/>
          <c:tx>
            <c:strRef>
              <c:f>'Introducción de datos'!$E$80</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datos'!$E$81</c:f>
              <c:numCache>
                <c:ptCount val="1"/>
                <c:pt idx="0">
                  <c:v>0</c:v>
                </c:pt>
              </c:numCache>
            </c:numRef>
          </c:val>
        </c:ser>
        <c:overlap val="100"/>
        <c:gapWidth val="79"/>
        <c:axId val="19195178"/>
        <c:axId val="38538875"/>
      </c:barChart>
      <c:catAx>
        <c:axId val="19195178"/>
        <c:scaling>
          <c:orientation val="minMax"/>
        </c:scaling>
        <c:axPos val="l"/>
        <c:delete val="1"/>
        <c:majorTickMark val="out"/>
        <c:minorTickMark val="none"/>
        <c:tickLblPos val="nextTo"/>
        <c:crossAx val="38538875"/>
        <c:crossesAt val="0"/>
        <c:auto val="0"/>
        <c:lblOffset val="100"/>
        <c:tickLblSkip val="1"/>
        <c:noMultiLvlLbl val="0"/>
      </c:catAx>
      <c:valAx>
        <c:axId val="38538875"/>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9195178"/>
        <c:crosses val="max"/>
        <c:crossBetween val="between"/>
        <c:dispUnits/>
      </c:valAx>
      <c:spPr>
        <a:solidFill>
          <a:srgbClr val="FFFFFF"/>
        </a:solidFill>
        <a:ln w="3175">
          <a:noFill/>
        </a:ln>
      </c:spPr>
    </c:plotArea>
    <c:legend>
      <c:legendPos val="r"/>
      <c:layout>
        <c:manualLayout>
          <c:xMode val="edge"/>
          <c:yMode val="edge"/>
          <c:x val="0.269"/>
          <c:y val="0.437"/>
          <c:w val="0.42425"/>
          <c:h val="0.1777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Chart Title</a:t>
            </a:r>
          </a:p>
        </c:rich>
      </c:tx>
      <c:layout>
        <c:manualLayout>
          <c:xMode val="factor"/>
          <c:yMode val="factor"/>
          <c:x val="-0.04175"/>
          <c:y val="0.23425"/>
        </c:manualLayout>
      </c:layout>
      <c:spPr>
        <a:noFill/>
        <a:ln>
          <a:noFill/>
        </a:ln>
      </c:spPr>
    </c:title>
    <c:plotArea>
      <c:layout>
        <c:manualLayout>
          <c:xMode val="edge"/>
          <c:yMode val="edge"/>
          <c:x val="0.13475"/>
          <c:y val="0.6265"/>
          <c:w val="0.8375"/>
          <c:h val="0.30475"/>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_(* #,##0.00_);_(* \(#,##0.00\);_(* \-??_);_(@_)" sourceLinked="0"/>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multiLvlStrRef>
              <c:f>'Introducción de datos'!$C$85:$F$86</c:f>
              <c:multiLvlStrCache>
                <c:ptCount val="2"/>
                <c:lvl>
                  <c:pt idx="0">
                    <c:v>Firmados</c:v>
                  </c:pt>
                  <c:pt idx="1">
                    <c:v>N/A</c:v>
                  </c:pt>
                </c:lvl>
                <c:lvl>
                  <c:pt idx="0">
                    <c:v>Aprobados</c:v>
                  </c:pt>
                  <c:pt idx="1">
                    <c:v>N/A</c:v>
                  </c:pt>
                </c:lvl>
                <c:lvl>
                  <c:pt idx="0">
                    <c:v>Evaluados</c:v>
                  </c:pt>
                  <c:pt idx="1">
                    <c:v>N/A</c:v>
                  </c:pt>
                </c:lvl>
                <c:lvl>
                  <c:pt idx="0">
                    <c:v>Identificados</c:v>
                  </c:pt>
                  <c:pt idx="1">
                    <c:v>N/A</c:v>
                  </c:pt>
                </c:lvl>
              </c:multiLvlStrCache>
            </c:multiLvlStrRef>
          </c:cat>
          <c:val>
            <c:numRef>
              <c:f>'Introducción de datos'!$G$85:$G$86</c:f>
              <c:numCache>
                <c:ptCount val="2"/>
                <c:pt idx="0">
                  <c:v>0</c:v>
                </c:pt>
                <c:pt idx="1">
                  <c:v>0</c:v>
                </c:pt>
              </c:numCache>
            </c:numRef>
          </c:val>
        </c:ser>
        <c:overlap val="-20"/>
        <c:axId val="11305556"/>
        <c:axId val="34641141"/>
      </c:barChart>
      <c:catAx>
        <c:axId val="11305556"/>
        <c:scaling>
          <c:orientation val="minMax"/>
        </c:scaling>
        <c:axPos val="b"/>
        <c:delete val="0"/>
        <c:numFmt formatCode="General" sourceLinked="1"/>
        <c:majorTickMark val="none"/>
        <c:minorTickMark val="none"/>
        <c:tickLblPos val="none"/>
        <c:spPr>
          <a:ln w="3175">
            <a:solidFill>
              <a:srgbClr val="000000"/>
            </a:solidFill>
          </a:ln>
        </c:spPr>
        <c:crossAx val="34641141"/>
        <c:crossesAt val="0"/>
        <c:auto val="0"/>
        <c:lblOffset val="100"/>
        <c:tickLblSkip val="1"/>
        <c:noMultiLvlLbl val="0"/>
      </c:catAx>
      <c:valAx>
        <c:axId val="34641141"/>
        <c:scaling>
          <c:orientation val="minMax"/>
        </c:scaling>
        <c:axPos val="l"/>
        <c:delete val="0"/>
        <c:numFmt formatCode="_(* #,##0.00_);_(* \(#,##0.00\);_(* \-??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05556"/>
        <c:crossesAt val="1"/>
        <c:crossBetween val="between"/>
        <c:dispUnits/>
      </c:valAx>
      <c:spPr>
        <a:noFill/>
        <a:ln>
          <a:noFill/>
        </a:ln>
      </c:spPr>
    </c:plotArea>
    <c:legend>
      <c:legendPos val="r"/>
      <c:layout>
        <c:manualLayout>
          <c:xMode val="edge"/>
          <c:yMode val="edge"/>
          <c:x val="0.00575"/>
          <c:y val="0.70725"/>
          <c:w val="0.9035"/>
          <c:h val="0.09"/>
        </c:manualLayout>
      </c:layout>
      <c:overlay val="0"/>
      <c:spPr>
        <a:noFill/>
        <a:ln w="3175">
          <a:no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5"/>
          <c:y val="0.31575"/>
          <c:w val="0.71525"/>
          <c:h val="0.6042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datos'!$B$74:$B$75</c:f>
              <c:strCache>
                <c:ptCount val="2"/>
                <c:pt idx="0">
                  <c:v>Condiciones precedentes</c:v>
                </c:pt>
                <c:pt idx="1">
                  <c:v>Acciones con fecha límite</c:v>
                </c:pt>
              </c:strCache>
            </c:strRef>
          </c:cat>
          <c:val>
            <c:numRef>
              <c:f>'Introducción de datos'!$D$74:$D$75</c:f>
              <c:numCache>
                <c:ptCount val="2"/>
                <c:pt idx="0">
                  <c:v>1</c:v>
                </c:pt>
                <c:pt idx="1">
                  <c:v>3</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datos'!$B$74:$B$75</c:f>
              <c:strCache>
                <c:ptCount val="2"/>
                <c:pt idx="0">
                  <c:v>Condiciones precedentes</c:v>
                </c:pt>
                <c:pt idx="1">
                  <c:v>Acciones con fecha límite</c:v>
                </c:pt>
              </c:strCache>
            </c:strRef>
          </c:cat>
          <c:val>
            <c:numRef>
              <c:f>'Introducción de datos'!$E$74:$E$75</c:f>
              <c:numCache>
                <c:ptCount val="2"/>
                <c:pt idx="0">
                  <c:v>2</c:v>
                </c:pt>
                <c:pt idx="1">
                  <c:v>5</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datos'!$B$74:$B$75</c:f>
              <c:strCache>
                <c:ptCount val="2"/>
                <c:pt idx="0">
                  <c:v>Condiciones precedentes</c:v>
                </c:pt>
                <c:pt idx="1">
                  <c:v>Acciones con fecha límite</c:v>
                </c:pt>
              </c:strCache>
            </c:strRef>
          </c:cat>
          <c:val>
            <c:numRef>
              <c:f>'Introducción de datos'!$F$74:$F$75</c:f>
              <c:numCache>
                <c:ptCount val="2"/>
                <c:pt idx="0">
                  <c:v>0</c:v>
                </c:pt>
                <c:pt idx="1">
                  <c:v>5</c:v>
                </c:pt>
              </c:numCache>
            </c:numRef>
          </c:val>
        </c:ser>
        <c:overlap val="100"/>
        <c:gapWidth val="70"/>
        <c:axId val="43334814"/>
        <c:axId val="54469007"/>
      </c:barChart>
      <c:catAx>
        <c:axId val="433348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469007"/>
        <c:crossesAt val="0"/>
        <c:auto val="1"/>
        <c:lblOffset val="100"/>
        <c:tickLblSkip val="1"/>
        <c:noMultiLvlLbl val="0"/>
      </c:catAx>
      <c:valAx>
        <c:axId val="54469007"/>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334814"/>
        <c:crossesAt val="1"/>
        <c:crossBetween val="between"/>
        <c:dispUnits/>
      </c:valAx>
      <c:spPr>
        <a:noFill/>
        <a:ln>
          <a:noFill/>
        </a:ln>
      </c:spPr>
    </c:plotArea>
    <c:legend>
      <c:legendPos val="r"/>
      <c:layout>
        <c:manualLayout>
          <c:xMode val="edge"/>
          <c:yMode val="edge"/>
          <c:x val="0"/>
          <c:y val="0.45675"/>
          <c:w val="0.98525"/>
          <c:h val="0.17275"/>
        </c:manualLayout>
      </c:layout>
      <c:overlay val="0"/>
      <c:spPr>
        <a:noFill/>
        <a:ln w="3175">
          <a:no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286"/>
          <c:w val="0.768"/>
          <c:h val="0.62025"/>
        </c:manualLayout>
      </c:layout>
      <c:barChart>
        <c:barDir val="bar"/>
        <c:grouping val="percentStacked"/>
        <c:varyColors val="0"/>
        <c:ser>
          <c:idx val="0"/>
          <c:order val="0"/>
          <c:tx>
            <c:strRef>
              <c:f>'Introducción de datos'!$D$90</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datos'!$B$91:$B$92</c:f>
              <c:strCache>
                <c:ptCount val="2"/>
                <c:pt idx="0">
                  <c:v>Sub SR al SR</c:v>
                </c:pt>
                <c:pt idx="1">
                  <c:v>Personal Técnico al RP</c:v>
                </c:pt>
              </c:strCache>
            </c:strRef>
          </c:cat>
          <c:val>
            <c:numRef>
              <c:f>'Introducción de datos'!$D$91:$D$92</c:f>
              <c:numCache>
                <c:ptCount val="2"/>
                <c:pt idx="0">
                  <c:v>0</c:v>
                </c:pt>
                <c:pt idx="1">
                  <c:v>0</c:v>
                </c:pt>
              </c:numCache>
            </c:numRef>
          </c:val>
        </c:ser>
        <c:ser>
          <c:idx val="1"/>
          <c:order val="1"/>
          <c:tx>
            <c:strRef>
              <c:f>'Introducción de datos'!$E$90</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0%" sourceLinked="0"/>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datos'!$B$91:$B$92</c:f>
              <c:strCache>
                <c:ptCount val="2"/>
                <c:pt idx="0">
                  <c:v>Sub SR al SR</c:v>
                </c:pt>
                <c:pt idx="1">
                  <c:v>Personal Técnico al RP</c:v>
                </c:pt>
              </c:strCache>
            </c:strRef>
          </c:cat>
          <c:val>
            <c:numRef>
              <c:f>'Introducción de datos'!$E$91:$E$92</c:f>
              <c:numCache>
                <c:ptCount val="2"/>
                <c:pt idx="0">
                  <c:v>0</c:v>
                </c:pt>
                <c:pt idx="1">
                  <c:v>0</c:v>
                </c:pt>
              </c:numCache>
            </c:numRef>
          </c:val>
        </c:ser>
        <c:overlap val="100"/>
        <c:gapWidth val="79"/>
        <c:axId val="20459016"/>
        <c:axId val="49913417"/>
      </c:barChart>
      <c:catAx>
        <c:axId val="204590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9913417"/>
        <c:crossesAt val="0"/>
        <c:auto val="1"/>
        <c:lblOffset val="100"/>
        <c:tickLblSkip val="1"/>
        <c:noMultiLvlLbl val="0"/>
      </c:catAx>
      <c:valAx>
        <c:axId val="49913417"/>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0459016"/>
        <c:crosses val="max"/>
        <c:crossBetween val="between"/>
        <c:dispUnits/>
      </c:valAx>
      <c:spPr>
        <a:solidFill>
          <a:srgbClr val="FFFFFF"/>
        </a:solidFill>
        <a:ln w="3175">
          <a:noFill/>
        </a:ln>
      </c:spPr>
    </c:plotArea>
    <c:legend>
      <c:legendPos val="r"/>
      <c:layout>
        <c:manualLayout>
          <c:xMode val="edge"/>
          <c:yMode val="edge"/>
          <c:x val="0.36975"/>
          <c:y val="0.4655"/>
          <c:w val="0.3045"/>
          <c:h val="0.129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
          <c:y val="0.23475"/>
          <c:w val="0.7905"/>
          <c:h val="0.602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datos'!$C$100:$N$100</c:f>
              <c:numCache>
                <c:ptCount val="12"/>
                <c:pt idx="0">
                  <c:v>1301522.46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datos'!$C$101:$N$101</c:f>
              <c:numCache>
                <c:ptCount val="12"/>
                <c:pt idx="0">
                  <c:v>693492.45</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datos'!$C$102:$N$102</c:f>
              <c:numCache>
                <c:ptCount val="12"/>
                <c:pt idx="0">
                  <c:v>0</c:v>
                </c:pt>
              </c:numCache>
            </c:numRef>
          </c:val>
          <c:smooth val="0"/>
        </c:ser>
        <c:marker val="1"/>
        <c:axId val="46567570"/>
        <c:axId val="16454947"/>
      </c:lineChart>
      <c:catAx>
        <c:axId val="465675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6454947"/>
        <c:crossesAt val="0"/>
        <c:auto val="1"/>
        <c:lblOffset val="100"/>
        <c:tickLblSkip val="1"/>
        <c:noMultiLvlLbl val="0"/>
      </c:catAx>
      <c:valAx>
        <c:axId val="16454947"/>
        <c:scaling>
          <c:orientation val="minMax"/>
        </c:scaling>
        <c:axPos val="l"/>
        <c:majorGridlines>
          <c:spPr>
            <a:ln w="3175">
              <a:solidFill>
                <a:srgbClr val="000000"/>
              </a:solidFill>
            </a:ln>
          </c:spPr>
        </c:majorGridlines>
        <c:delete val="0"/>
        <c:numFmt formatCode="\$#,##0.000" sourceLinked="0"/>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46567570"/>
        <c:crossesAt val="1"/>
        <c:crossBetween val="midCat"/>
        <c:dispUnits/>
      </c:valAx>
      <c:spPr>
        <a:solidFill>
          <a:srgbClr val="FFFFFF"/>
        </a:solidFill>
        <a:ln w="12700">
          <a:solidFill>
            <a:srgbClr val="808080"/>
          </a:solidFill>
        </a:ln>
      </c:spPr>
    </c:plotArea>
    <c:legend>
      <c:legendPos val="r"/>
      <c:layout>
        <c:manualLayout>
          <c:xMode val="edge"/>
          <c:yMode val="edge"/>
          <c:x val="0.008"/>
          <c:y val="0.55775"/>
          <c:w val="0.88"/>
          <c:h val="0.209"/>
        </c:manualLayout>
      </c:layout>
      <c:overlay val="0"/>
      <c:spPr>
        <a:noFill/>
        <a:ln w="3175">
          <a:noFill/>
        </a:ln>
      </c:spPr>
      <c:txPr>
        <a:bodyPr vert="horz" rot="0"/>
        <a:lstStyle/>
        <a:p>
          <a:pPr>
            <a:defRPr lang="en-US" cap="none" sz="31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25"/>
          <c:y val="0.26425"/>
          <c:w val="0.755"/>
          <c:h val="0.673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datos'!$H$120:$S$120</c:f>
              <c:numCache>
                <c:ptCount val="12"/>
                <c:pt idx="0">
                  <c:v>14618</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datos'!$H$120:$S$120</c:f>
              <c:numCache>
                <c:ptCount val="12"/>
                <c:pt idx="0">
                  <c:v>14618</c:v>
                </c:pt>
              </c:numCache>
            </c:numRef>
          </c:val>
        </c:ser>
        <c:axId val="13876796"/>
        <c:axId val="57782301"/>
      </c:barChart>
      <c:catAx>
        <c:axId val="1387679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7782301"/>
        <c:crossesAt val="0"/>
        <c:auto val="1"/>
        <c:lblOffset val="100"/>
        <c:tickLblSkip val="1"/>
        <c:noMultiLvlLbl val="0"/>
      </c:catAx>
      <c:valAx>
        <c:axId val="5778230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3876796"/>
        <c:crossesAt val="1"/>
        <c:crossBetween val="between"/>
        <c:dispUnits/>
      </c:valAx>
      <c:spPr>
        <a:noFill/>
        <a:ln>
          <a:noFill/>
        </a:ln>
      </c:spPr>
    </c:plotArea>
    <c:legend>
      <c:legendPos val="r"/>
      <c:layout>
        <c:manualLayout>
          <c:xMode val="edge"/>
          <c:yMode val="edge"/>
          <c:x val="0.11"/>
          <c:y val="0.599"/>
          <c:w val="0.534"/>
          <c:h val="0.066"/>
        </c:manualLayout>
      </c:layout>
      <c:overlay val="0"/>
      <c:spPr>
        <a:solidFill>
          <a:srgbClr val="FFFFFF"/>
        </a:solidFill>
        <a:ln w="3175">
          <a:no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6172200" cy="2819400"/>
        </a:xfrm>
        <a:prstGeom prst="rect">
          <a:avLst/>
        </a:prstGeom>
        <a:noFill/>
        <a:ln w="9525" cmpd="sng">
          <a:noFill/>
        </a:ln>
      </xdr:spPr>
    </xdr:pic>
    <xdr:clientData/>
  </xdr:twoCellAnchor>
  <xdr:twoCellAnchor>
    <xdr:from>
      <xdr:col>7</xdr:col>
      <xdr:colOff>552450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4286250" y="1857375"/>
          <a:ext cx="1838325" cy="2190750"/>
        </a:xfrm>
        <a:prstGeom prst="rect">
          <a:avLst/>
        </a:prstGeom>
        <a:noFill/>
        <a:ln w="9525" cmpd="sng">
          <a:noFill/>
        </a:ln>
      </xdr:spPr>
    </xdr:pic>
    <xdr:clientData/>
  </xdr:twoCellAnchor>
  <xdr:twoCellAnchor>
    <xdr:from>
      <xdr:col>4</xdr:col>
      <xdr:colOff>209550</xdr:colOff>
      <xdr:row>7</xdr:row>
      <xdr:rowOff>104775</xdr:rowOff>
    </xdr:from>
    <xdr:to>
      <xdr:col>7</xdr:col>
      <xdr:colOff>447675</xdr:colOff>
      <xdr:row>18</xdr:row>
      <xdr:rowOff>57150</xdr:rowOff>
    </xdr:to>
    <xdr:sp>
      <xdr:nvSpPr>
        <xdr:cNvPr id="3" name="AutoShape 27"/>
        <xdr:cNvSpPr>
          <a:spLocks/>
        </xdr:cNvSpPr>
      </xdr:nvSpPr>
      <xdr:spPr>
        <a:xfrm>
          <a:off x="2114550" y="1914525"/>
          <a:ext cx="2066925" cy="204787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228600</xdr:colOff>
      <xdr:row>10</xdr:row>
      <xdr:rowOff>47625</xdr:rowOff>
    </xdr:from>
    <xdr:to>
      <xdr:col>6</xdr:col>
      <xdr:colOff>476250</xdr:colOff>
      <xdr:row>12</xdr:row>
      <xdr:rowOff>19050</xdr:rowOff>
    </xdr:to>
    <xdr:sp>
      <xdr:nvSpPr>
        <xdr:cNvPr id="4" name="AutoShape 26"/>
        <xdr:cNvSpPr>
          <a:spLocks/>
        </xdr:cNvSpPr>
      </xdr:nvSpPr>
      <xdr:spPr>
        <a:xfrm>
          <a:off x="2743200" y="2428875"/>
          <a:ext cx="857250" cy="35242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247650</xdr:colOff>
      <xdr:row>10</xdr:row>
      <xdr:rowOff>85725</xdr:rowOff>
    </xdr:from>
    <xdr:to>
      <xdr:col>6</xdr:col>
      <xdr:colOff>457200</xdr:colOff>
      <xdr:row>12</xdr:row>
      <xdr:rowOff>0</xdr:rowOff>
    </xdr:to>
    <xdr:sp>
      <xdr:nvSpPr>
        <xdr:cNvPr id="5" name="AutoShape 27">
          <a:hlinkClick r:id="rId3"/>
        </xdr:cNvPr>
        <xdr:cNvSpPr>
          <a:spLocks/>
        </xdr:cNvSpPr>
      </xdr:nvSpPr>
      <xdr:spPr>
        <a:xfrm>
          <a:off x="2762250" y="2466975"/>
          <a:ext cx="81915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247650</xdr:colOff>
      <xdr:row>10</xdr:row>
      <xdr:rowOff>95250</xdr:rowOff>
    </xdr:from>
    <xdr:to>
      <xdr:col>5</xdr:col>
      <xdr:colOff>333375</xdr:colOff>
      <xdr:row>11</xdr:row>
      <xdr:rowOff>57150</xdr:rowOff>
    </xdr:to>
    <xdr:sp>
      <xdr:nvSpPr>
        <xdr:cNvPr id="6" name="Freeform 28"/>
        <xdr:cNvSpPr>
          <a:spLocks/>
        </xdr:cNvSpPr>
      </xdr:nvSpPr>
      <xdr:spPr>
        <a:xfrm>
          <a:off x="2762250" y="2476500"/>
          <a:ext cx="8572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247650</xdr:colOff>
      <xdr:row>15</xdr:row>
      <xdr:rowOff>171450</xdr:rowOff>
    </xdr:from>
    <xdr:to>
      <xdr:col>6</xdr:col>
      <xdr:colOff>485775</xdr:colOff>
      <xdr:row>17</xdr:row>
      <xdr:rowOff>152400</xdr:rowOff>
    </xdr:to>
    <xdr:sp>
      <xdr:nvSpPr>
        <xdr:cNvPr id="7" name="AutoShape 26"/>
        <xdr:cNvSpPr>
          <a:spLocks/>
        </xdr:cNvSpPr>
      </xdr:nvSpPr>
      <xdr:spPr>
        <a:xfrm>
          <a:off x="2762250" y="3505200"/>
          <a:ext cx="8477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266700</xdr:colOff>
      <xdr:row>16</xdr:row>
      <xdr:rowOff>19050</xdr:rowOff>
    </xdr:from>
    <xdr:to>
      <xdr:col>6</xdr:col>
      <xdr:colOff>476250</xdr:colOff>
      <xdr:row>17</xdr:row>
      <xdr:rowOff>104775</xdr:rowOff>
    </xdr:to>
    <xdr:sp>
      <xdr:nvSpPr>
        <xdr:cNvPr id="8" name="AutoShape 27">
          <a:hlinkClick r:id="rId4"/>
        </xdr:cNvPr>
        <xdr:cNvSpPr>
          <a:spLocks/>
        </xdr:cNvSpPr>
      </xdr:nvSpPr>
      <xdr:spPr>
        <a:xfrm>
          <a:off x="2781300" y="3543300"/>
          <a:ext cx="819150" cy="2762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285750</xdr:colOff>
      <xdr:row>16</xdr:row>
      <xdr:rowOff>28575</xdr:rowOff>
    </xdr:from>
    <xdr:to>
      <xdr:col>5</xdr:col>
      <xdr:colOff>381000</xdr:colOff>
      <xdr:row>16</xdr:row>
      <xdr:rowOff>180975</xdr:rowOff>
    </xdr:to>
    <xdr:sp>
      <xdr:nvSpPr>
        <xdr:cNvPr id="9" name="Freeform 28"/>
        <xdr:cNvSpPr>
          <a:spLocks/>
        </xdr:cNvSpPr>
      </xdr:nvSpPr>
      <xdr:spPr>
        <a:xfrm>
          <a:off x="2800350" y="3552825"/>
          <a:ext cx="9525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228600</xdr:colOff>
      <xdr:row>13</xdr:row>
      <xdr:rowOff>9525</xdr:rowOff>
    </xdr:from>
    <xdr:to>
      <xdr:col>6</xdr:col>
      <xdr:colOff>476250</xdr:colOff>
      <xdr:row>14</xdr:row>
      <xdr:rowOff>180975</xdr:rowOff>
    </xdr:to>
    <xdr:sp>
      <xdr:nvSpPr>
        <xdr:cNvPr id="10" name="AutoShape 26"/>
        <xdr:cNvSpPr>
          <a:spLocks/>
        </xdr:cNvSpPr>
      </xdr:nvSpPr>
      <xdr:spPr>
        <a:xfrm>
          <a:off x="2743200" y="2962275"/>
          <a:ext cx="857250"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247650</xdr:colOff>
      <xdr:row>13</xdr:row>
      <xdr:rowOff>47625</xdr:rowOff>
    </xdr:from>
    <xdr:to>
      <xdr:col>6</xdr:col>
      <xdr:colOff>457200</xdr:colOff>
      <xdr:row>14</xdr:row>
      <xdr:rowOff>152400</xdr:rowOff>
    </xdr:to>
    <xdr:sp>
      <xdr:nvSpPr>
        <xdr:cNvPr id="11" name="AutoShape 27">
          <a:hlinkClick r:id="rId5"/>
        </xdr:cNvPr>
        <xdr:cNvSpPr>
          <a:spLocks/>
        </xdr:cNvSpPr>
      </xdr:nvSpPr>
      <xdr:spPr>
        <a:xfrm>
          <a:off x="2762250" y="3000375"/>
          <a:ext cx="81915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247650</xdr:colOff>
      <xdr:row>13</xdr:row>
      <xdr:rowOff>57150</xdr:rowOff>
    </xdr:from>
    <xdr:to>
      <xdr:col>5</xdr:col>
      <xdr:colOff>342900</xdr:colOff>
      <xdr:row>14</xdr:row>
      <xdr:rowOff>28575</xdr:rowOff>
    </xdr:to>
    <xdr:sp>
      <xdr:nvSpPr>
        <xdr:cNvPr id="12" name="Freeform 28"/>
        <xdr:cNvSpPr>
          <a:spLocks/>
        </xdr:cNvSpPr>
      </xdr:nvSpPr>
      <xdr:spPr>
        <a:xfrm>
          <a:off x="2762250" y="3009900"/>
          <a:ext cx="9525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5</xdr:row>
      <xdr:rowOff>0</xdr:rowOff>
    </xdr:from>
    <xdr:to>
      <xdr:col>7</xdr:col>
      <xdr:colOff>323850</xdr:colOff>
      <xdr:row>6</xdr:row>
      <xdr:rowOff>38100</xdr:rowOff>
    </xdr:to>
    <xdr:sp>
      <xdr:nvSpPr>
        <xdr:cNvPr id="13" name="Rectangle 803"/>
        <xdr:cNvSpPr>
          <a:spLocks/>
        </xdr:cNvSpPr>
      </xdr:nvSpPr>
      <xdr:spPr>
        <a:xfrm>
          <a:off x="2162175" y="1428750"/>
          <a:ext cx="1895475" cy="228600"/>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238125</xdr:colOff>
      <xdr:row>11</xdr:row>
      <xdr:rowOff>0</xdr:rowOff>
    </xdr:from>
    <xdr:to>
      <xdr:col>11</xdr:col>
      <xdr:colOff>133350</xdr:colOff>
      <xdr:row>13</xdr:row>
      <xdr:rowOff>28575</xdr:rowOff>
    </xdr:to>
    <xdr:sp>
      <xdr:nvSpPr>
        <xdr:cNvPr id="14" name="AutoShape 30"/>
        <xdr:cNvSpPr>
          <a:spLocks/>
        </xdr:cNvSpPr>
      </xdr:nvSpPr>
      <xdr:spPr>
        <a:xfrm>
          <a:off x="4581525" y="2571750"/>
          <a:ext cx="1228725" cy="4095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266700</xdr:colOff>
      <xdr:row>11</xdr:row>
      <xdr:rowOff>47625</xdr:rowOff>
    </xdr:from>
    <xdr:to>
      <xdr:col>11</xdr:col>
      <xdr:colOff>104775</xdr:colOff>
      <xdr:row>13</xdr:row>
      <xdr:rowOff>0</xdr:rowOff>
    </xdr:to>
    <xdr:sp>
      <xdr:nvSpPr>
        <xdr:cNvPr id="15" name="AutoShape 31">
          <a:hlinkClick r:id="rId6"/>
        </xdr:cNvPr>
        <xdr:cNvSpPr>
          <a:spLocks/>
        </xdr:cNvSpPr>
      </xdr:nvSpPr>
      <xdr:spPr>
        <a:xfrm>
          <a:off x="4610100" y="2619375"/>
          <a:ext cx="1171575"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285750</xdr:colOff>
      <xdr:row>11</xdr:row>
      <xdr:rowOff>66675</xdr:rowOff>
    </xdr:from>
    <xdr:to>
      <xdr:col>8</xdr:col>
      <xdr:colOff>400050</xdr:colOff>
      <xdr:row>12</xdr:row>
      <xdr:rowOff>47625</xdr:rowOff>
    </xdr:to>
    <xdr:sp>
      <xdr:nvSpPr>
        <xdr:cNvPr id="16" name="Freeform 32"/>
        <xdr:cNvSpPr>
          <a:spLocks/>
        </xdr:cNvSpPr>
      </xdr:nvSpPr>
      <xdr:spPr>
        <a:xfrm>
          <a:off x="4629150" y="2638425"/>
          <a:ext cx="114300"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200025</xdr:colOff>
      <xdr:row>7</xdr:row>
      <xdr:rowOff>85725</xdr:rowOff>
    </xdr:from>
    <xdr:to>
      <xdr:col>4</xdr:col>
      <xdr:colOff>85725</xdr:colOff>
      <xdr:row>18</xdr:row>
      <xdr:rowOff>114300</xdr:rowOff>
    </xdr:to>
    <xdr:sp>
      <xdr:nvSpPr>
        <xdr:cNvPr id="17" name="AutoShape 31"/>
        <xdr:cNvSpPr>
          <a:spLocks/>
        </xdr:cNvSpPr>
      </xdr:nvSpPr>
      <xdr:spPr>
        <a:xfrm>
          <a:off x="276225" y="1895475"/>
          <a:ext cx="1714500"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276225</xdr:colOff>
      <xdr:row>7</xdr:row>
      <xdr:rowOff>171450</xdr:rowOff>
    </xdr:from>
    <xdr:to>
      <xdr:col>2</xdr:col>
      <xdr:colOff>47625</xdr:colOff>
      <xdr:row>9</xdr:row>
      <xdr:rowOff>104775</xdr:rowOff>
    </xdr:to>
    <xdr:sp>
      <xdr:nvSpPr>
        <xdr:cNvPr id="18" name="Freeform 32"/>
        <xdr:cNvSpPr>
          <a:spLocks/>
        </xdr:cNvSpPr>
      </xdr:nvSpPr>
      <xdr:spPr>
        <a:xfrm>
          <a:off x="352425" y="1981200"/>
          <a:ext cx="38100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228600</xdr:colOff>
      <xdr:row>14</xdr:row>
      <xdr:rowOff>57150</xdr:rowOff>
    </xdr:from>
    <xdr:to>
      <xdr:col>11</xdr:col>
      <xdr:colOff>123825</xdr:colOff>
      <xdr:row>16</xdr:row>
      <xdr:rowOff>66675</xdr:rowOff>
    </xdr:to>
    <xdr:sp>
      <xdr:nvSpPr>
        <xdr:cNvPr id="19" name="AutoShape 30"/>
        <xdr:cNvSpPr>
          <a:spLocks/>
        </xdr:cNvSpPr>
      </xdr:nvSpPr>
      <xdr:spPr>
        <a:xfrm>
          <a:off x="4572000" y="3200400"/>
          <a:ext cx="1228725" cy="39052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247650</xdr:colOff>
      <xdr:row>14</xdr:row>
      <xdr:rowOff>104775</xdr:rowOff>
    </xdr:from>
    <xdr:to>
      <xdr:col>11</xdr:col>
      <xdr:colOff>85725</xdr:colOff>
      <xdr:row>16</xdr:row>
      <xdr:rowOff>47625</xdr:rowOff>
    </xdr:to>
    <xdr:sp>
      <xdr:nvSpPr>
        <xdr:cNvPr id="20" name="AutoShape 31">
          <a:hlinkClick r:id="rId7"/>
        </xdr:cNvPr>
        <xdr:cNvSpPr>
          <a:spLocks/>
        </xdr:cNvSpPr>
      </xdr:nvSpPr>
      <xdr:spPr>
        <a:xfrm>
          <a:off x="4591050" y="3248025"/>
          <a:ext cx="1171575" cy="323850"/>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266700</xdr:colOff>
      <xdr:row>14</xdr:row>
      <xdr:rowOff>123825</xdr:rowOff>
    </xdr:from>
    <xdr:to>
      <xdr:col>8</xdr:col>
      <xdr:colOff>381000</xdr:colOff>
      <xdr:row>15</xdr:row>
      <xdr:rowOff>95250</xdr:rowOff>
    </xdr:to>
    <xdr:sp>
      <xdr:nvSpPr>
        <xdr:cNvPr id="21" name="Freeform 32"/>
        <xdr:cNvSpPr>
          <a:spLocks/>
        </xdr:cNvSpPr>
      </xdr:nvSpPr>
      <xdr:spPr>
        <a:xfrm>
          <a:off x="4610100" y="326707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15</xdr:row>
      <xdr:rowOff>133350</xdr:rowOff>
    </xdr:from>
    <xdr:to>
      <xdr:col>3</xdr:col>
      <xdr:colOff>400050</xdr:colOff>
      <xdr:row>18</xdr:row>
      <xdr:rowOff>19050</xdr:rowOff>
    </xdr:to>
    <xdr:sp>
      <xdr:nvSpPr>
        <xdr:cNvPr id="22" name="AutoShape 30"/>
        <xdr:cNvSpPr>
          <a:spLocks/>
        </xdr:cNvSpPr>
      </xdr:nvSpPr>
      <xdr:spPr>
        <a:xfrm>
          <a:off x="485775" y="3467100"/>
          <a:ext cx="1209675" cy="45720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438150</xdr:colOff>
      <xdr:row>15</xdr:row>
      <xdr:rowOff>171450</xdr:rowOff>
    </xdr:from>
    <xdr:to>
      <xdr:col>3</xdr:col>
      <xdr:colOff>361950</xdr:colOff>
      <xdr:row>17</xdr:row>
      <xdr:rowOff>180975</xdr:rowOff>
    </xdr:to>
    <xdr:sp>
      <xdr:nvSpPr>
        <xdr:cNvPr id="23" name="AutoShape 31">
          <a:hlinkClick r:id="rId8"/>
        </xdr:cNvPr>
        <xdr:cNvSpPr>
          <a:spLocks/>
        </xdr:cNvSpPr>
      </xdr:nvSpPr>
      <xdr:spPr>
        <a:xfrm>
          <a:off x="514350" y="3505200"/>
          <a:ext cx="1143000" cy="3905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457200</xdr:colOff>
      <xdr:row>16</xdr:row>
      <xdr:rowOff>0</xdr:rowOff>
    </xdr:from>
    <xdr:to>
      <xdr:col>1</xdr:col>
      <xdr:colOff>571500</xdr:colOff>
      <xdr:row>16</xdr:row>
      <xdr:rowOff>114300</xdr:rowOff>
    </xdr:to>
    <xdr:sp>
      <xdr:nvSpPr>
        <xdr:cNvPr id="24" name="Freeform 32"/>
        <xdr:cNvSpPr>
          <a:spLocks/>
        </xdr:cNvSpPr>
      </xdr:nvSpPr>
      <xdr:spPr>
        <a:xfrm>
          <a:off x="533400" y="3524250"/>
          <a:ext cx="114300" cy="1143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10</xdr:row>
      <xdr:rowOff>28575</xdr:rowOff>
    </xdr:from>
    <xdr:to>
      <xdr:col>3</xdr:col>
      <xdr:colOff>400050</xdr:colOff>
      <xdr:row>12</xdr:row>
      <xdr:rowOff>9525</xdr:rowOff>
    </xdr:to>
    <xdr:sp>
      <xdr:nvSpPr>
        <xdr:cNvPr id="25" name="AutoShape 30"/>
        <xdr:cNvSpPr>
          <a:spLocks/>
        </xdr:cNvSpPr>
      </xdr:nvSpPr>
      <xdr:spPr>
        <a:xfrm>
          <a:off x="485775" y="2409825"/>
          <a:ext cx="120967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438150</xdr:colOff>
      <xdr:row>10</xdr:row>
      <xdr:rowOff>66675</xdr:rowOff>
    </xdr:from>
    <xdr:to>
      <xdr:col>3</xdr:col>
      <xdr:colOff>371475</xdr:colOff>
      <xdr:row>11</xdr:row>
      <xdr:rowOff>180975</xdr:rowOff>
    </xdr:to>
    <xdr:sp>
      <xdr:nvSpPr>
        <xdr:cNvPr id="26" name="AutoShape 31">
          <a:hlinkClick r:id="rId9"/>
        </xdr:cNvPr>
        <xdr:cNvSpPr>
          <a:spLocks/>
        </xdr:cNvSpPr>
      </xdr:nvSpPr>
      <xdr:spPr>
        <a:xfrm>
          <a:off x="514350" y="2447925"/>
          <a:ext cx="115252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457200</xdr:colOff>
      <xdr:row>10</xdr:row>
      <xdr:rowOff>85725</xdr:rowOff>
    </xdr:from>
    <xdr:to>
      <xdr:col>1</xdr:col>
      <xdr:colOff>571500</xdr:colOff>
      <xdr:row>11</xdr:row>
      <xdr:rowOff>57150</xdr:rowOff>
    </xdr:to>
    <xdr:sp>
      <xdr:nvSpPr>
        <xdr:cNvPr id="27" name="Freeform 32"/>
        <xdr:cNvSpPr>
          <a:spLocks/>
        </xdr:cNvSpPr>
      </xdr:nvSpPr>
      <xdr:spPr>
        <a:xfrm>
          <a:off x="533400" y="246697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12</xdr:row>
      <xdr:rowOff>180975</xdr:rowOff>
    </xdr:from>
    <xdr:to>
      <xdr:col>3</xdr:col>
      <xdr:colOff>400050</xdr:colOff>
      <xdr:row>14</xdr:row>
      <xdr:rowOff>171450</xdr:rowOff>
    </xdr:to>
    <xdr:sp>
      <xdr:nvSpPr>
        <xdr:cNvPr id="28" name="AutoShape 30"/>
        <xdr:cNvSpPr>
          <a:spLocks/>
        </xdr:cNvSpPr>
      </xdr:nvSpPr>
      <xdr:spPr>
        <a:xfrm>
          <a:off x="485775" y="2943225"/>
          <a:ext cx="1209675" cy="3714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438150</xdr:colOff>
      <xdr:row>13</xdr:row>
      <xdr:rowOff>28575</xdr:rowOff>
    </xdr:from>
    <xdr:to>
      <xdr:col>3</xdr:col>
      <xdr:colOff>371475</xdr:colOff>
      <xdr:row>14</xdr:row>
      <xdr:rowOff>142875</xdr:rowOff>
    </xdr:to>
    <xdr:sp>
      <xdr:nvSpPr>
        <xdr:cNvPr id="29" name="AutoShape 31">
          <a:hlinkClick r:id="rId10"/>
        </xdr:cNvPr>
        <xdr:cNvSpPr>
          <a:spLocks/>
        </xdr:cNvSpPr>
      </xdr:nvSpPr>
      <xdr:spPr>
        <a:xfrm>
          <a:off x="514350" y="2981325"/>
          <a:ext cx="115252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457200</xdr:colOff>
      <xdr:row>13</xdr:row>
      <xdr:rowOff>47625</xdr:rowOff>
    </xdr:from>
    <xdr:to>
      <xdr:col>1</xdr:col>
      <xdr:colOff>571500</xdr:colOff>
      <xdr:row>14</xdr:row>
      <xdr:rowOff>9525</xdr:rowOff>
    </xdr:to>
    <xdr:sp>
      <xdr:nvSpPr>
        <xdr:cNvPr id="30" name="Freeform 32"/>
        <xdr:cNvSpPr>
          <a:spLocks/>
        </xdr:cNvSpPr>
      </xdr:nvSpPr>
      <xdr:spPr>
        <a:xfrm>
          <a:off x="533400" y="3000375"/>
          <a:ext cx="1143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209550</xdr:colOff>
      <xdr:row>7</xdr:row>
      <xdr:rowOff>66675</xdr:rowOff>
    </xdr:from>
    <xdr:to>
      <xdr:col>4</xdr:col>
      <xdr:colOff>85725</xdr:colOff>
      <xdr:row>9</xdr:row>
      <xdr:rowOff>114300</xdr:rowOff>
    </xdr:to>
    <xdr:pic>
      <xdr:nvPicPr>
        <xdr:cNvPr id="31" name="Picture 2012"/>
        <xdr:cNvPicPr preferRelativeResize="1">
          <a:picLocks noChangeAspect="1"/>
        </xdr:cNvPicPr>
      </xdr:nvPicPr>
      <xdr:blipFill>
        <a:blip r:embed="rId11"/>
        <a:stretch>
          <a:fillRect/>
        </a:stretch>
      </xdr:blipFill>
      <xdr:spPr>
        <a:xfrm>
          <a:off x="285750" y="1876425"/>
          <a:ext cx="1704975" cy="428625"/>
        </a:xfrm>
        <a:prstGeom prst="rect">
          <a:avLst/>
        </a:prstGeom>
        <a:noFill/>
        <a:ln w="9525" cmpd="sng">
          <a:noFill/>
        </a:ln>
      </xdr:spPr>
    </xdr:pic>
    <xdr:clientData/>
  </xdr:twoCellAnchor>
  <xdr:twoCellAnchor>
    <xdr:from>
      <xdr:col>1</xdr:col>
      <xdr:colOff>257175</xdr:colOff>
      <xdr:row>7</xdr:row>
      <xdr:rowOff>104775</xdr:rowOff>
    </xdr:from>
    <xdr:to>
      <xdr:col>4</xdr:col>
      <xdr:colOff>47625</xdr:colOff>
      <xdr:row>9</xdr:row>
      <xdr:rowOff>180975</xdr:rowOff>
    </xdr:to>
    <xdr:sp fLocksText="0">
      <xdr:nvSpPr>
        <xdr:cNvPr id="32" name="Text Box 2013"/>
        <xdr:cNvSpPr txBox="1">
          <a:spLocks noChangeArrowheads="1"/>
        </xdr:cNvSpPr>
      </xdr:nvSpPr>
      <xdr:spPr>
        <a:xfrm>
          <a:off x="333375" y="1914525"/>
          <a:ext cx="1619250" cy="457200"/>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200025</xdr:colOff>
      <xdr:row>7</xdr:row>
      <xdr:rowOff>66675</xdr:rowOff>
    </xdr:from>
    <xdr:to>
      <xdr:col>7</xdr:col>
      <xdr:colOff>447675</xdr:colOff>
      <xdr:row>9</xdr:row>
      <xdr:rowOff>114300</xdr:rowOff>
    </xdr:to>
    <xdr:pic>
      <xdr:nvPicPr>
        <xdr:cNvPr id="33" name="Picture 2016"/>
        <xdr:cNvPicPr preferRelativeResize="1">
          <a:picLocks noChangeAspect="1"/>
        </xdr:cNvPicPr>
      </xdr:nvPicPr>
      <xdr:blipFill>
        <a:blip r:embed="rId12"/>
        <a:stretch>
          <a:fillRect/>
        </a:stretch>
      </xdr:blipFill>
      <xdr:spPr>
        <a:xfrm>
          <a:off x="2105025" y="1876425"/>
          <a:ext cx="2076450" cy="428625"/>
        </a:xfrm>
        <a:prstGeom prst="rect">
          <a:avLst/>
        </a:prstGeom>
        <a:noFill/>
        <a:ln w="9525" cmpd="sng">
          <a:noFill/>
        </a:ln>
      </xdr:spPr>
    </xdr:pic>
    <xdr:clientData/>
  </xdr:twoCellAnchor>
  <xdr:twoCellAnchor>
    <xdr:from>
      <xdr:col>4</xdr:col>
      <xdr:colOff>476250</xdr:colOff>
      <xdr:row>7</xdr:row>
      <xdr:rowOff>95250</xdr:rowOff>
    </xdr:from>
    <xdr:to>
      <xdr:col>7</xdr:col>
      <xdr:colOff>238125</xdr:colOff>
      <xdr:row>9</xdr:row>
      <xdr:rowOff>104775</xdr:rowOff>
    </xdr:to>
    <xdr:sp fLocksText="0">
      <xdr:nvSpPr>
        <xdr:cNvPr id="34" name="Text Box 2017"/>
        <xdr:cNvSpPr txBox="1">
          <a:spLocks noChangeArrowheads="1"/>
        </xdr:cNvSpPr>
      </xdr:nvSpPr>
      <xdr:spPr>
        <a:xfrm>
          <a:off x="2381250" y="1905000"/>
          <a:ext cx="1590675" cy="390525"/>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590550</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4324350" y="1885950"/>
          <a:ext cx="1762125" cy="438150"/>
        </a:xfrm>
        <a:prstGeom prst="rect">
          <a:avLst/>
        </a:prstGeom>
        <a:noFill/>
        <a:ln w="9525" cmpd="sng">
          <a:noFill/>
        </a:ln>
      </xdr:spPr>
    </xdr:pic>
    <xdr:clientData/>
  </xdr:twoCellAnchor>
  <xdr:twoCellAnchor>
    <xdr:from>
      <xdr:col>8</xdr:col>
      <xdr:colOff>47625</xdr:colOff>
      <xdr:row>7</xdr:row>
      <xdr:rowOff>95250</xdr:rowOff>
    </xdr:from>
    <xdr:to>
      <xdr:col>11</xdr:col>
      <xdr:colOff>342900</xdr:colOff>
      <xdr:row>9</xdr:row>
      <xdr:rowOff>104775</xdr:rowOff>
    </xdr:to>
    <xdr:sp fLocksText="0">
      <xdr:nvSpPr>
        <xdr:cNvPr id="36" name="Text Box 2019"/>
        <xdr:cNvSpPr txBox="1">
          <a:spLocks noChangeArrowheads="1"/>
        </xdr:cNvSpPr>
      </xdr:nvSpPr>
      <xdr:spPr>
        <a:xfrm>
          <a:off x="4391025" y="1905000"/>
          <a:ext cx="1628775" cy="390525"/>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66675</xdr:rowOff>
    </xdr:from>
    <xdr:to>
      <xdr:col>1</xdr:col>
      <xdr:colOff>123825</xdr:colOff>
      <xdr:row>4</xdr:row>
      <xdr:rowOff>66675</xdr:rowOff>
    </xdr:to>
    <xdr:pic>
      <xdr:nvPicPr>
        <xdr:cNvPr id="1" name="Picture 2"/>
        <xdr:cNvPicPr preferRelativeResize="1">
          <a:picLocks noChangeAspect="1"/>
        </xdr:cNvPicPr>
      </xdr:nvPicPr>
      <xdr:blipFill>
        <a:blip r:embed="rId1"/>
        <a:stretch>
          <a:fillRect/>
        </a:stretch>
      </xdr:blipFill>
      <xdr:spPr>
        <a:xfrm>
          <a:off x="114300" y="257175"/>
          <a:ext cx="6191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1</xdr:row>
      <xdr:rowOff>9525</xdr:rowOff>
    </xdr:to>
    <xdr:sp>
      <xdr:nvSpPr>
        <xdr:cNvPr id="1" name="AutoShape 50">
          <a:hlinkClick r:id="rId1"/>
        </xdr:cNvPr>
        <xdr:cNvSpPr>
          <a:spLocks/>
        </xdr:cNvSpPr>
      </xdr:nvSpPr>
      <xdr:spPr>
        <a:xfrm>
          <a:off x="28575" y="28575"/>
          <a:ext cx="1285875" cy="41910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1000125</xdr:colOff>
      <xdr:row>0</xdr:row>
      <xdr:rowOff>333375</xdr:rowOff>
    </xdr:to>
    <xdr:sp>
      <xdr:nvSpPr>
        <xdr:cNvPr id="1" name="AutoShape 50">
          <a:hlinkClick r:id="rId1"/>
        </xdr:cNvPr>
        <xdr:cNvSpPr>
          <a:spLocks/>
        </xdr:cNvSpPr>
      </xdr:nvSpPr>
      <xdr:spPr>
        <a:xfrm>
          <a:off x="180975" y="0"/>
          <a:ext cx="10001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7</xdr:col>
      <xdr:colOff>952500</xdr:colOff>
      <xdr:row>34</xdr:row>
      <xdr:rowOff>57150</xdr:rowOff>
    </xdr:from>
    <xdr:to>
      <xdr:col>7</xdr:col>
      <xdr:colOff>971550</xdr:colOff>
      <xdr:row>35</xdr:row>
      <xdr:rowOff>104775</xdr:rowOff>
    </xdr:to>
    <xdr:sp>
      <xdr:nvSpPr>
        <xdr:cNvPr id="2" name="Straight Connector 16"/>
        <xdr:cNvSpPr>
          <a:spLocks/>
        </xdr:cNvSpPr>
      </xdr:nvSpPr>
      <xdr:spPr>
        <a:xfrm flipV="1">
          <a:off x="14087475" y="6038850"/>
          <a:ext cx="19050" cy="22860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85725" y="38100"/>
          <a:ext cx="914400"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1238250</xdr:colOff>
      <xdr:row>3</xdr:row>
      <xdr:rowOff>38100</xdr:rowOff>
    </xdr:to>
    <xdr:pic>
      <xdr:nvPicPr>
        <xdr:cNvPr id="3" name="Picture 711"/>
        <xdr:cNvPicPr preferRelativeResize="1">
          <a:picLocks noChangeAspect="1"/>
        </xdr:cNvPicPr>
      </xdr:nvPicPr>
      <xdr:blipFill>
        <a:blip r:embed="rId3"/>
        <a:stretch>
          <a:fillRect/>
        </a:stretch>
      </xdr:blipFill>
      <xdr:spPr>
        <a:xfrm>
          <a:off x="219075" y="542925"/>
          <a:ext cx="10191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xdr:rowOff>
    </xdr:from>
    <xdr:to>
      <xdr:col>5</xdr:col>
      <xdr:colOff>1819275</xdr:colOff>
      <xdr:row>20</xdr:row>
      <xdr:rowOff>104775</xdr:rowOff>
    </xdr:to>
    <xdr:graphicFrame>
      <xdr:nvGraphicFramePr>
        <xdr:cNvPr id="1" name="Chart 1"/>
        <xdr:cNvGraphicFramePr/>
      </xdr:nvGraphicFramePr>
      <xdr:xfrm>
        <a:off x="0" y="2486025"/>
        <a:ext cx="4591050" cy="2076450"/>
      </xdr:xfrm>
      <a:graphic>
        <a:graphicData uri="http://schemas.openxmlformats.org/drawingml/2006/chart">
          <c:chart xmlns:c="http://schemas.openxmlformats.org/drawingml/2006/chart" r:id="rId1"/>
        </a:graphicData>
      </a:graphic>
    </xdr:graphicFrame>
    <xdr:clientData/>
  </xdr:twoCellAnchor>
  <xdr:twoCellAnchor>
    <xdr:from>
      <xdr:col>5</xdr:col>
      <xdr:colOff>1504950</xdr:colOff>
      <xdr:row>8</xdr:row>
      <xdr:rowOff>352425</xdr:rowOff>
    </xdr:from>
    <xdr:to>
      <xdr:col>15</xdr:col>
      <xdr:colOff>19050</xdr:colOff>
      <xdr:row>22</xdr:row>
      <xdr:rowOff>57150</xdr:rowOff>
    </xdr:to>
    <xdr:graphicFrame>
      <xdr:nvGraphicFramePr>
        <xdr:cNvPr id="2" name="Chart 2"/>
        <xdr:cNvGraphicFramePr/>
      </xdr:nvGraphicFramePr>
      <xdr:xfrm>
        <a:off x="4276725" y="2238375"/>
        <a:ext cx="5972175" cy="2876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123825</xdr:rowOff>
    </xdr:from>
    <xdr:to>
      <xdr:col>7</xdr:col>
      <xdr:colOff>114300</xdr:colOff>
      <xdr:row>30</xdr:row>
      <xdr:rowOff>142875</xdr:rowOff>
    </xdr:to>
    <xdr:graphicFrame>
      <xdr:nvGraphicFramePr>
        <xdr:cNvPr id="3" name="Chart 3"/>
        <xdr:cNvGraphicFramePr/>
      </xdr:nvGraphicFramePr>
      <xdr:xfrm>
        <a:off x="0" y="5762625"/>
        <a:ext cx="5010150" cy="19621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685800</xdr:colOff>
      <xdr:row>0</xdr:row>
      <xdr:rowOff>333375</xdr:rowOff>
    </xdr:to>
    <xdr:sp>
      <xdr:nvSpPr>
        <xdr:cNvPr id="4" name="AutoShape 50">
          <a:hlinkClick r:id="rId4"/>
        </xdr:cNvPr>
        <xdr:cNvSpPr>
          <a:spLocks/>
        </xdr:cNvSpPr>
      </xdr:nvSpPr>
      <xdr:spPr>
        <a:xfrm>
          <a:off x="0" y="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1209675</xdr:colOff>
      <xdr:row>8</xdr:row>
      <xdr:rowOff>123825</xdr:rowOff>
    </xdr:from>
    <xdr:to>
      <xdr:col>12</xdr:col>
      <xdr:colOff>0</xdr:colOff>
      <xdr:row>16</xdr:row>
      <xdr:rowOff>76200</xdr:rowOff>
    </xdr:to>
    <xdr:graphicFrame>
      <xdr:nvGraphicFramePr>
        <xdr:cNvPr id="1" name="Chart 1"/>
        <xdr:cNvGraphicFramePr/>
      </xdr:nvGraphicFramePr>
      <xdr:xfrm>
        <a:off x="5695950" y="4229100"/>
        <a:ext cx="6791325" cy="2143125"/>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18</xdr:row>
      <xdr:rowOff>76200</xdr:rowOff>
    </xdr:from>
    <xdr:to>
      <xdr:col>5</xdr:col>
      <xdr:colOff>733425</xdr:colOff>
      <xdr:row>26</xdr:row>
      <xdr:rowOff>285750</xdr:rowOff>
    </xdr:to>
    <xdr:graphicFrame>
      <xdr:nvGraphicFramePr>
        <xdr:cNvPr id="2" name="Chart 2"/>
        <xdr:cNvGraphicFramePr/>
      </xdr:nvGraphicFramePr>
      <xdr:xfrm>
        <a:off x="209550" y="6858000"/>
        <a:ext cx="4010025" cy="18288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8</xdr:row>
      <xdr:rowOff>104775</xdr:rowOff>
    </xdr:from>
    <xdr:to>
      <xdr:col>6</xdr:col>
      <xdr:colOff>142875</xdr:colOff>
      <xdr:row>14</xdr:row>
      <xdr:rowOff>342900</xdr:rowOff>
    </xdr:to>
    <xdr:graphicFrame>
      <xdr:nvGraphicFramePr>
        <xdr:cNvPr id="3" name="Chart 3"/>
        <xdr:cNvGraphicFramePr/>
      </xdr:nvGraphicFramePr>
      <xdr:xfrm>
        <a:off x="19050" y="4210050"/>
        <a:ext cx="4610100" cy="1333500"/>
      </xdr:xfrm>
      <a:graphic>
        <a:graphicData uri="http://schemas.openxmlformats.org/drawingml/2006/chart">
          <c:chart xmlns:c="http://schemas.openxmlformats.org/drawingml/2006/chart" r:id="rId3"/>
        </a:graphicData>
      </a:graphic>
    </xdr:graphicFrame>
    <xdr:clientData/>
  </xdr:twoCellAnchor>
  <xdr:twoCellAnchor>
    <xdr:from>
      <xdr:col>6</xdr:col>
      <xdr:colOff>314325</xdr:colOff>
      <xdr:row>20</xdr:row>
      <xdr:rowOff>28575</xdr:rowOff>
    </xdr:from>
    <xdr:to>
      <xdr:col>12</xdr:col>
      <xdr:colOff>28575</xdr:colOff>
      <xdr:row>27</xdr:row>
      <xdr:rowOff>85725</xdr:rowOff>
    </xdr:to>
    <xdr:graphicFrame>
      <xdr:nvGraphicFramePr>
        <xdr:cNvPr id="4" name="Chart 4"/>
        <xdr:cNvGraphicFramePr/>
      </xdr:nvGraphicFramePr>
      <xdr:xfrm>
        <a:off x="4800600" y="7200900"/>
        <a:ext cx="7715250" cy="201930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28</xdr:row>
      <xdr:rowOff>76200</xdr:rowOff>
    </xdr:from>
    <xdr:to>
      <xdr:col>6</xdr:col>
      <xdr:colOff>304800</xdr:colOff>
      <xdr:row>36</xdr:row>
      <xdr:rowOff>142875</xdr:rowOff>
    </xdr:to>
    <xdr:graphicFrame>
      <xdr:nvGraphicFramePr>
        <xdr:cNvPr id="5" name="Chart 5"/>
        <xdr:cNvGraphicFramePr/>
      </xdr:nvGraphicFramePr>
      <xdr:xfrm>
        <a:off x="123825" y="10629900"/>
        <a:ext cx="466725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57150</xdr:colOff>
      <xdr:row>17</xdr:row>
      <xdr:rowOff>0</xdr:rowOff>
    </xdr:to>
    <xdr:graphicFrame>
      <xdr:nvGraphicFramePr>
        <xdr:cNvPr id="1" name="Chart 1"/>
        <xdr:cNvGraphicFramePr/>
      </xdr:nvGraphicFramePr>
      <xdr:xfrm>
        <a:off x="4514850" y="3171825"/>
        <a:ext cx="3257550" cy="1838325"/>
      </xdr:xfrm>
      <a:graphic>
        <a:graphicData uri="http://schemas.openxmlformats.org/drawingml/2006/chart">
          <c:chart xmlns:c="http://schemas.openxmlformats.org/drawingml/2006/chart" r:id="rId1"/>
        </a:graphicData>
      </a:graphic>
    </xdr:graphicFrame>
    <xdr:clientData/>
  </xdr:twoCellAnchor>
  <xdr:twoCellAnchor>
    <xdr:from>
      <xdr:col>11</xdr:col>
      <xdr:colOff>161925</xdr:colOff>
      <xdr:row>9</xdr:row>
      <xdr:rowOff>57150</xdr:rowOff>
    </xdr:from>
    <xdr:to>
      <xdr:col>16</xdr:col>
      <xdr:colOff>762000</xdr:colOff>
      <xdr:row>16</xdr:row>
      <xdr:rowOff>219075</xdr:rowOff>
    </xdr:to>
    <xdr:graphicFrame>
      <xdr:nvGraphicFramePr>
        <xdr:cNvPr id="2" name="Chart 2"/>
        <xdr:cNvGraphicFramePr/>
      </xdr:nvGraphicFramePr>
      <xdr:xfrm>
        <a:off x="7877175" y="3181350"/>
        <a:ext cx="5372100" cy="1828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19050</xdr:rowOff>
    </xdr:from>
    <xdr:to>
      <xdr:col>1</xdr:col>
      <xdr:colOff>923925</xdr:colOff>
      <xdr:row>1</xdr:row>
      <xdr:rowOff>19050</xdr:rowOff>
    </xdr:to>
    <xdr:sp>
      <xdr:nvSpPr>
        <xdr:cNvPr id="3" name="AutoShape 50">
          <a:hlinkClick r:id="rId3"/>
        </xdr:cNvPr>
        <xdr:cNvSpPr>
          <a:spLocks/>
        </xdr:cNvSpPr>
      </xdr:nvSpPr>
      <xdr:spPr>
        <a:xfrm>
          <a:off x="0" y="1905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190500</xdr:colOff>
      <xdr:row>9</xdr:row>
      <xdr:rowOff>38100</xdr:rowOff>
    </xdr:from>
    <xdr:to>
      <xdr:col>4</xdr:col>
      <xdr:colOff>400050</xdr:colOff>
      <xdr:row>16</xdr:row>
      <xdr:rowOff>219075</xdr:rowOff>
    </xdr:to>
    <xdr:graphicFrame>
      <xdr:nvGraphicFramePr>
        <xdr:cNvPr id="4" name="Chart 4"/>
        <xdr:cNvGraphicFramePr/>
      </xdr:nvGraphicFramePr>
      <xdr:xfrm>
        <a:off x="190500" y="3162300"/>
        <a:ext cx="36290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47625" y="47625"/>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733425</xdr:colOff>
      <xdr:row>0</xdr:row>
      <xdr:rowOff>352425</xdr:rowOff>
    </xdr:to>
    <xdr:sp>
      <xdr:nvSpPr>
        <xdr:cNvPr id="1" name="AutoShape 50">
          <a:hlinkClick r:id="rId1"/>
        </xdr:cNvPr>
        <xdr:cNvSpPr>
          <a:spLocks/>
        </xdr:cNvSpPr>
      </xdr:nvSpPr>
      <xdr:spPr>
        <a:xfrm>
          <a:off x="28575" y="28575"/>
          <a:ext cx="229552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tmp\mozilla_mlgonzalez0\Users\gfuentes\AppData\Local\Microsoft\Windows\Temporary%20Internet%20Files\OLKA46A\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PageLayoutView="0" workbookViewId="0" topLeftCell="A1">
      <selection activeCell="A1" sqref="A1"/>
    </sheetView>
  </sheetViews>
  <sheetFormatPr defaultColWidth="9.140625" defaultRowHeight="15"/>
  <cols>
    <col min="1" max="1" width="1.1484375" style="0" customWidth="1"/>
    <col min="2" max="10" width="9.140625" style="0" customWidth="1"/>
    <col min="11" max="11" width="1.7109375" style="0" customWidth="1"/>
  </cols>
  <sheetData>
    <row r="1" ht="25.5" customHeight="1"/>
    <row r="2" spans="2:15" ht="36">
      <c r="B2" s="482" t="s">
        <v>170</v>
      </c>
      <c r="C2" s="482"/>
      <c r="D2" s="482"/>
      <c r="E2" s="482"/>
      <c r="F2" s="482"/>
      <c r="G2" s="482"/>
      <c r="H2" s="482"/>
      <c r="I2" s="482"/>
      <c r="J2" s="482"/>
      <c r="K2" s="482"/>
      <c r="L2" s="482"/>
      <c r="M2" s="1"/>
      <c r="N2" s="1"/>
      <c r="O2" s="1"/>
    </row>
    <row r="4" spans="2:12" ht="21">
      <c r="B4" s="483" t="s">
        <v>171</v>
      </c>
      <c r="C4" s="483"/>
      <c r="D4" s="483"/>
      <c r="E4" s="483"/>
      <c r="F4" s="2"/>
      <c r="G4" s="2"/>
      <c r="H4" s="3" t="s">
        <v>172</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A6">
      <selection activeCell="M18" sqref="M18"/>
    </sheetView>
  </sheetViews>
  <sheetFormatPr defaultColWidth="9.140625" defaultRowHeight="15"/>
  <cols>
    <col min="1" max="1" width="9.140625" style="0" customWidth="1"/>
    <col min="2" max="2" width="16.140625" style="0" customWidth="1"/>
    <col min="3" max="3" width="14.7109375" style="0" customWidth="1"/>
    <col min="4" max="4" width="15.57421875" style="0" customWidth="1"/>
    <col min="5" max="6" width="9.140625" style="0" customWidth="1"/>
    <col min="7" max="7" width="14.421875" style="0" customWidth="1"/>
    <col min="8" max="8" width="35.57421875" style="0" customWidth="1"/>
    <col min="9" max="9" width="45.7109375" style="0" customWidth="1"/>
    <col min="10" max="10" width="33.57421875" style="0" customWidth="1"/>
    <col min="11" max="12" width="9.140625" style="0" customWidth="1"/>
    <col min="13" max="13" width="28.57421875" style="0" customWidth="1"/>
    <col min="14" max="14" width="46.421875" style="0" customWidth="1"/>
  </cols>
  <sheetData>
    <row r="2" ht="25.5" customHeight="1"/>
    <row r="3" spans="2:9" ht="36">
      <c r="B3" s="667" t="str">
        <f>'Información de la subvención'!B3:J3</f>
        <v>Tablero de mando:  El Salvador - VIH / SIDA</v>
      </c>
      <c r="C3" s="667"/>
      <c r="D3" s="667"/>
      <c r="E3" s="667"/>
      <c r="F3" s="667"/>
      <c r="G3" s="667"/>
      <c r="H3" s="667"/>
      <c r="I3" s="300"/>
    </row>
    <row r="6" spans="2:8" ht="18">
      <c r="B6" s="668" t="s">
        <v>67</v>
      </c>
      <c r="C6" s="668"/>
      <c r="D6" s="668"/>
      <c r="E6" s="668"/>
      <c r="F6" s="668"/>
      <c r="G6" s="668"/>
      <c r="H6" s="668"/>
    </row>
    <row r="8" spans="2:15" ht="18">
      <c r="B8" s="456" t="s">
        <v>68</v>
      </c>
      <c r="C8" s="456" t="s">
        <v>69</v>
      </c>
      <c r="D8" s="456" t="s">
        <v>70</v>
      </c>
      <c r="E8" s="456" t="s">
        <v>71</v>
      </c>
      <c r="F8" s="456" t="s">
        <v>72</v>
      </c>
      <c r="G8" s="456" t="s">
        <v>73</v>
      </c>
      <c r="H8" s="456" t="s">
        <v>74</v>
      </c>
      <c r="I8" s="457" t="s">
        <v>75</v>
      </c>
      <c r="J8" s="457" t="s">
        <v>76</v>
      </c>
      <c r="M8" s="10"/>
      <c r="N8" s="10"/>
      <c r="O8" s="10"/>
    </row>
    <row r="9" spans="2:15" ht="14.25">
      <c r="B9" s="458" t="s">
        <v>77</v>
      </c>
      <c r="C9" s="458" t="s">
        <v>77</v>
      </c>
      <c r="D9" s="458" t="s">
        <v>77</v>
      </c>
      <c r="E9" s="458" t="s">
        <v>77</v>
      </c>
      <c r="F9" s="458" t="s">
        <v>77</v>
      </c>
      <c r="G9" s="458" t="s">
        <v>77</v>
      </c>
      <c r="H9" s="458" t="s">
        <v>77</v>
      </c>
      <c r="I9" s="459" t="s">
        <v>77</v>
      </c>
      <c r="J9" s="458" t="s">
        <v>77</v>
      </c>
      <c r="M9" s="10"/>
      <c r="N9" s="10"/>
      <c r="O9" s="10"/>
    </row>
    <row r="10" spans="2:15" ht="14.25">
      <c r="B10" s="460" t="s">
        <v>224</v>
      </c>
      <c r="C10" s="460" t="s">
        <v>255</v>
      </c>
      <c r="D10" s="460" t="s">
        <v>78</v>
      </c>
      <c r="E10" s="460" t="s">
        <v>79</v>
      </c>
      <c r="F10" s="460" t="s">
        <v>242</v>
      </c>
      <c r="G10" s="461" t="s">
        <v>80</v>
      </c>
      <c r="H10" s="462" t="s">
        <v>81</v>
      </c>
      <c r="I10" s="463" t="s">
        <v>82</v>
      </c>
      <c r="J10" s="458" t="s">
        <v>83</v>
      </c>
      <c r="M10" s="10"/>
      <c r="N10" s="10"/>
      <c r="O10" s="10"/>
    </row>
    <row r="11" spans="2:15" ht="14.25">
      <c r="B11" s="460" t="s">
        <v>84</v>
      </c>
      <c r="C11" s="460" t="s">
        <v>85</v>
      </c>
      <c r="D11" s="460" t="s">
        <v>86</v>
      </c>
      <c r="E11" s="460" t="s">
        <v>231</v>
      </c>
      <c r="F11" s="460" t="s">
        <v>259</v>
      </c>
      <c r="G11" s="461" t="s">
        <v>87</v>
      </c>
      <c r="H11" s="462" t="s">
        <v>88</v>
      </c>
      <c r="I11" s="463" t="s">
        <v>89</v>
      </c>
      <c r="J11" s="458" t="s">
        <v>90</v>
      </c>
      <c r="M11" s="10"/>
      <c r="N11" s="10"/>
      <c r="O11" s="10"/>
    </row>
    <row r="12" spans="2:15" ht="14.25">
      <c r="B12" s="460" t="s">
        <v>91</v>
      </c>
      <c r="D12" s="460" t="s">
        <v>92</v>
      </c>
      <c r="E12" s="460" t="s">
        <v>93</v>
      </c>
      <c r="F12" s="460" t="s">
        <v>260</v>
      </c>
      <c r="G12" s="461" t="s">
        <v>94</v>
      </c>
      <c r="H12" s="462" t="s">
        <v>95</v>
      </c>
      <c r="I12" s="463" t="s">
        <v>96</v>
      </c>
      <c r="J12" s="458" t="s">
        <v>97</v>
      </c>
      <c r="M12" s="464"/>
      <c r="N12" s="10"/>
      <c r="O12" s="10"/>
    </row>
    <row r="13" spans="2:15" ht="14.25">
      <c r="B13" s="460" t="s">
        <v>98</v>
      </c>
      <c r="D13" s="460" t="s">
        <v>99</v>
      </c>
      <c r="E13" s="465"/>
      <c r="F13" s="460" t="s">
        <v>261</v>
      </c>
      <c r="G13" s="461" t="s">
        <v>237</v>
      </c>
      <c r="H13" s="462" t="s">
        <v>100</v>
      </c>
      <c r="I13" s="463" t="s">
        <v>101</v>
      </c>
      <c r="J13" s="458" t="s">
        <v>102</v>
      </c>
      <c r="M13" s="464"/>
      <c r="N13" s="10"/>
      <c r="O13" s="10"/>
    </row>
    <row r="14" spans="2:15" ht="14.25">
      <c r="B14" s="460" t="s">
        <v>103</v>
      </c>
      <c r="D14" s="460" t="s">
        <v>104</v>
      </c>
      <c r="F14" s="460" t="s">
        <v>262</v>
      </c>
      <c r="G14" s="461" t="s">
        <v>105</v>
      </c>
      <c r="H14" s="462" t="s">
        <v>106</v>
      </c>
      <c r="I14" s="463" t="s">
        <v>107</v>
      </c>
      <c r="J14" s="458" t="s">
        <v>108</v>
      </c>
      <c r="M14" s="464"/>
      <c r="N14" s="10"/>
      <c r="O14" s="10"/>
    </row>
    <row r="15" spans="4:15" ht="14.25">
      <c r="D15" s="460" t="s">
        <v>109</v>
      </c>
      <c r="F15" s="460" t="s">
        <v>263</v>
      </c>
      <c r="H15" s="462" t="s">
        <v>110</v>
      </c>
      <c r="I15" s="463" t="s">
        <v>111</v>
      </c>
      <c r="J15" s="458" t="s">
        <v>112</v>
      </c>
      <c r="M15" s="464"/>
      <c r="N15" s="10"/>
      <c r="O15" s="10"/>
    </row>
    <row r="16" spans="4:15" ht="14.25">
      <c r="D16" s="460" t="s">
        <v>113</v>
      </c>
      <c r="F16" s="460" t="s">
        <v>264</v>
      </c>
      <c r="H16" s="462" t="s">
        <v>114</v>
      </c>
      <c r="I16" s="463" t="s">
        <v>115</v>
      </c>
      <c r="J16" s="458" t="s">
        <v>116</v>
      </c>
      <c r="M16" s="464"/>
      <c r="N16" s="10"/>
      <c r="O16" s="10"/>
    </row>
    <row r="17" spans="4:15" ht="14.25">
      <c r="D17" s="460" t="s">
        <v>117</v>
      </c>
      <c r="F17" s="460" t="s">
        <v>265</v>
      </c>
      <c r="H17" s="462" t="s">
        <v>118</v>
      </c>
      <c r="I17" s="463" t="s">
        <v>119</v>
      </c>
      <c r="J17" s="458" t="s">
        <v>120</v>
      </c>
      <c r="M17" s="464"/>
      <c r="N17" s="10"/>
      <c r="O17" s="10"/>
    </row>
    <row r="18" spans="4:15" ht="14.25">
      <c r="D18" s="460" t="s">
        <v>121</v>
      </c>
      <c r="F18" s="460" t="s">
        <v>266</v>
      </c>
      <c r="H18" s="462" t="s">
        <v>122</v>
      </c>
      <c r="I18" s="463" t="s">
        <v>123</v>
      </c>
      <c r="J18" s="458" t="s">
        <v>124</v>
      </c>
      <c r="M18" s="464"/>
      <c r="N18" s="10"/>
      <c r="O18" s="10"/>
    </row>
    <row r="19" spans="4:15" ht="14.25">
      <c r="D19" s="460" t="s">
        <v>125</v>
      </c>
      <c r="F19" s="460" t="s">
        <v>267</v>
      </c>
      <c r="H19" s="462" t="s">
        <v>126</v>
      </c>
      <c r="I19" s="463" t="s">
        <v>127</v>
      </c>
      <c r="J19" s="458" t="s">
        <v>128</v>
      </c>
      <c r="M19" s="464"/>
      <c r="N19" s="10"/>
      <c r="O19" s="10"/>
    </row>
    <row r="20" spans="4:15" ht="14.25">
      <c r="D20" s="466"/>
      <c r="F20" s="460" t="s">
        <v>268</v>
      </c>
      <c r="H20" s="462" t="s">
        <v>235</v>
      </c>
      <c r="I20" s="463" t="s">
        <v>129</v>
      </c>
      <c r="J20" s="458" t="s">
        <v>130</v>
      </c>
      <c r="M20" s="10"/>
      <c r="N20" s="10"/>
      <c r="O20" s="10"/>
    </row>
    <row r="21" spans="4:15" ht="14.25">
      <c r="D21" s="467"/>
      <c r="F21" s="460" t="s">
        <v>269</v>
      </c>
      <c r="H21" s="467"/>
      <c r="I21" s="463" t="s">
        <v>131</v>
      </c>
      <c r="J21" s="458" t="s">
        <v>132</v>
      </c>
      <c r="M21" s="10"/>
      <c r="N21" s="10"/>
      <c r="O21" s="10"/>
    </row>
    <row r="22" spans="8:15" ht="14.25">
      <c r="H22" s="467"/>
      <c r="I22" s="463" t="s">
        <v>133</v>
      </c>
      <c r="J22" s="458" t="s">
        <v>134</v>
      </c>
      <c r="M22" s="10"/>
      <c r="N22" s="10"/>
      <c r="O22" s="10"/>
    </row>
    <row r="23" spans="9:15" ht="14.25">
      <c r="I23" s="463" t="s">
        <v>135</v>
      </c>
      <c r="J23" s="458" t="s">
        <v>136</v>
      </c>
      <c r="M23" s="10"/>
      <c r="N23" s="10"/>
      <c r="O23" s="10"/>
    </row>
    <row r="24" spans="9:15" ht="14.25">
      <c r="I24" s="463" t="s">
        <v>137</v>
      </c>
      <c r="J24" s="458" t="s">
        <v>138</v>
      </c>
      <c r="M24" s="10"/>
      <c r="N24" s="10"/>
      <c r="O24" s="10"/>
    </row>
    <row r="25" spans="9:10" ht="14.25">
      <c r="I25" s="468"/>
      <c r="J25" s="458" t="s">
        <v>139</v>
      </c>
    </row>
    <row r="26" spans="9:10" ht="14.25">
      <c r="I26" s="463" t="s">
        <v>140</v>
      </c>
      <c r="J26" s="458" t="s">
        <v>141</v>
      </c>
    </row>
    <row r="27" spans="9:10" ht="14.25">
      <c r="I27" s="463" t="s">
        <v>142</v>
      </c>
      <c r="J27" s="458" t="s">
        <v>218</v>
      </c>
    </row>
    <row r="28" spans="9:10" ht="14.25">
      <c r="I28" s="468" t="s">
        <v>143</v>
      </c>
      <c r="J28" s="458" t="s">
        <v>144</v>
      </c>
    </row>
    <row r="29" spans="9:10" ht="14.25">
      <c r="I29" s="468" t="s">
        <v>145</v>
      </c>
      <c r="J29" s="458" t="s">
        <v>146</v>
      </c>
    </row>
    <row r="30" spans="9:10" ht="14.25">
      <c r="I30" s="468" t="s">
        <v>147</v>
      </c>
      <c r="J30" s="458" t="s">
        <v>148</v>
      </c>
    </row>
    <row r="31" ht="14.25">
      <c r="J31" s="458" t="s">
        <v>149</v>
      </c>
    </row>
    <row r="32" ht="14.25">
      <c r="J32" s="458" t="s">
        <v>150</v>
      </c>
    </row>
    <row r="33" ht="14.25">
      <c r="J33" s="458" t="s">
        <v>151</v>
      </c>
    </row>
    <row r="34" ht="14.25">
      <c r="J34" s="458" t="s">
        <v>152</v>
      </c>
    </row>
    <row r="35" ht="14.25">
      <c r="J35" s="458" t="s">
        <v>153</v>
      </c>
    </row>
    <row r="36" ht="14.25">
      <c r="J36" s="458" t="s">
        <v>154</v>
      </c>
    </row>
    <row r="37" ht="14.25">
      <c r="J37" s="458" t="s">
        <v>155</v>
      </c>
    </row>
    <row r="38" ht="14.25">
      <c r="J38" s="458" t="s">
        <v>156</v>
      </c>
    </row>
    <row r="39" ht="14.25">
      <c r="J39" s="458" t="s">
        <v>157</v>
      </c>
    </row>
    <row r="40" ht="14.25">
      <c r="J40" s="458" t="s">
        <v>158</v>
      </c>
    </row>
    <row r="41" ht="14.25">
      <c r="J41" s="458" t="s">
        <v>159</v>
      </c>
    </row>
    <row r="42" ht="14.25">
      <c r="J42" s="458" t="s">
        <v>160</v>
      </c>
    </row>
    <row r="43" ht="14.25">
      <c r="J43" s="458" t="s">
        <v>161</v>
      </c>
    </row>
    <row r="44" ht="14.25">
      <c r="J44" s="458" t="s">
        <v>162</v>
      </c>
    </row>
    <row r="45" ht="14.25">
      <c r="J45" s="458" t="s">
        <v>163</v>
      </c>
    </row>
    <row r="46" ht="14.25">
      <c r="J46" s="458" t="s">
        <v>164</v>
      </c>
    </row>
    <row r="47" ht="14.25">
      <c r="J47" s="458" t="s">
        <v>165</v>
      </c>
    </row>
    <row r="48" ht="14.25">
      <c r="J48" s="458" t="s">
        <v>166</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A1">
      <pane ySplit="2" topLeftCell="A3" activePane="bottomLeft" state="frozen"/>
      <selection pane="topLeft" activeCell="A1" sqref="A1"/>
      <selection pane="bottomLeft" activeCell="E11" sqref="E11"/>
    </sheetView>
  </sheetViews>
  <sheetFormatPr defaultColWidth="9.140625" defaultRowHeight="15"/>
  <cols>
    <col min="1" max="1" width="2.7109375" style="0" customWidth="1"/>
    <col min="2" max="2" width="21.421875" style="0" customWidth="1"/>
    <col min="3" max="3" width="9.14062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9.140625" style="0" customWidth="1"/>
    <col min="20" max="20" width="14.8515625" style="0" customWidth="1"/>
    <col min="21" max="21" width="16.00390625" style="0" customWidth="1"/>
    <col min="22" max="22" width="0" style="0" hidden="1" customWidth="1"/>
    <col min="23" max="23" width="15.57421875" style="0" customWidth="1"/>
    <col min="24" max="24" width="9.14062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9.140625" style="0" customWidth="1"/>
    <col min="31" max="31" width="13.57421875" style="0" customWidth="1"/>
    <col min="32" max="32" width="16.8515625" style="0" customWidth="1"/>
    <col min="33" max="33" width="9.14062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87" t="s">
        <v>173</v>
      </c>
      <c r="C2" s="487"/>
      <c r="D2" s="487"/>
      <c r="E2" s="487"/>
      <c r="F2" s="487"/>
      <c r="G2" s="487"/>
      <c r="H2" s="487"/>
      <c r="I2" s="487"/>
      <c r="J2" s="487"/>
      <c r="K2" s="487"/>
      <c r="L2" s="487"/>
      <c r="M2" s="487"/>
    </row>
    <row r="3" spans="1:13" ht="15.75" customHeight="1">
      <c r="A3" s="6"/>
      <c r="B3" s="7"/>
      <c r="C3" s="7"/>
      <c r="D3" s="7"/>
      <c r="E3" s="7"/>
      <c r="F3" s="7"/>
      <c r="G3" s="7"/>
      <c r="H3" s="7"/>
      <c r="I3" s="7"/>
      <c r="J3" s="7"/>
      <c r="K3" s="8"/>
      <c r="L3" s="8"/>
      <c r="M3" s="6"/>
    </row>
    <row r="5" spans="2:15" ht="23.25">
      <c r="B5" s="488" t="s">
        <v>174</v>
      </c>
      <c r="C5" s="488"/>
      <c r="D5" s="488"/>
      <c r="E5" s="488"/>
      <c r="F5" s="488"/>
      <c r="G5" s="488"/>
      <c r="H5" s="488"/>
      <c r="I5" s="488"/>
      <c r="J5" s="488"/>
      <c r="K5" s="488"/>
      <c r="L5" s="488"/>
      <c r="M5" s="488"/>
      <c r="N5" s="488"/>
      <c r="O5" s="488"/>
    </row>
    <row r="7" spans="2:15" ht="21">
      <c r="B7" s="489" t="s">
        <v>175</v>
      </c>
      <c r="C7" s="489"/>
      <c r="D7" s="489"/>
      <c r="E7" s="489" t="s">
        <v>176</v>
      </c>
      <c r="F7" s="489"/>
      <c r="G7" s="489"/>
      <c r="H7" s="489"/>
      <c r="I7" s="489"/>
      <c r="J7" s="489" t="s">
        <v>177</v>
      </c>
      <c r="K7" s="489"/>
      <c r="L7" s="489"/>
      <c r="M7" s="489" t="s">
        <v>178</v>
      </c>
      <c r="N7" s="489"/>
      <c r="O7" s="489"/>
    </row>
    <row r="8" spans="2:15" ht="92.25" customHeight="1">
      <c r="B8" s="484" t="str">
        <f>+'Introducción de datos'!B27</f>
        <v>F1: Presupuesto y desembolsos del Fondo Mundial</v>
      </c>
      <c r="C8" s="484"/>
      <c r="D8" s="484"/>
      <c r="E8" s="485" t="s">
        <v>179</v>
      </c>
      <c r="F8" s="485"/>
      <c r="G8" s="485"/>
      <c r="H8" s="485"/>
      <c r="I8" s="485"/>
      <c r="J8" s="486" t="s">
        <v>180</v>
      </c>
      <c r="K8" s="486"/>
      <c r="L8" s="486"/>
      <c r="M8" s="486" t="s">
        <v>181</v>
      </c>
      <c r="N8" s="486"/>
      <c r="O8" s="486"/>
    </row>
    <row r="9" spans="2:15" ht="117.75" customHeight="1">
      <c r="B9" s="484" t="str">
        <f>+'Introducción de datos'!B36</f>
        <v>F2: Presupuesto y gastos reales por Modulo de la subvención</v>
      </c>
      <c r="C9" s="484"/>
      <c r="D9" s="484"/>
      <c r="E9" s="491" t="s">
        <v>182</v>
      </c>
      <c r="F9" s="491"/>
      <c r="G9" s="491"/>
      <c r="H9" s="491"/>
      <c r="I9" s="491"/>
      <c r="J9" s="493" t="s">
        <v>183</v>
      </c>
      <c r="K9" s="493"/>
      <c r="L9" s="493"/>
      <c r="M9" s="493" t="s">
        <v>181</v>
      </c>
      <c r="N9" s="493"/>
      <c r="O9" s="493"/>
    </row>
    <row r="10" spans="2:15" ht="233.25" customHeight="1">
      <c r="B10" s="490" t="str">
        <f>+'Introducción de datos'!B51</f>
        <v>F3: Desembolsos y gastos</v>
      </c>
      <c r="C10" s="490"/>
      <c r="D10" s="490"/>
      <c r="E10" s="491" t="s">
        <v>184</v>
      </c>
      <c r="F10" s="491"/>
      <c r="G10" s="491"/>
      <c r="H10" s="491"/>
      <c r="I10" s="491"/>
      <c r="J10" s="492" t="s">
        <v>185</v>
      </c>
      <c r="K10" s="492"/>
      <c r="L10" s="492"/>
      <c r="M10" s="493" t="s">
        <v>186</v>
      </c>
      <c r="N10" s="493"/>
      <c r="O10" s="493"/>
    </row>
    <row r="11" spans="2:60" ht="279.75" customHeight="1">
      <c r="B11" s="490" t="str">
        <f>+'Introducción de datos'!B60</f>
        <v>F4: Último ciclo de información y desembolso del RP</v>
      </c>
      <c r="C11" s="490"/>
      <c r="D11" s="490"/>
      <c r="E11" s="491" t="s">
        <v>187</v>
      </c>
      <c r="F11" s="491"/>
      <c r="G11" s="491"/>
      <c r="H11" s="491"/>
      <c r="I11" s="491"/>
      <c r="J11" s="492" t="s">
        <v>188</v>
      </c>
      <c r="K11" s="492"/>
      <c r="L11" s="492"/>
      <c r="M11" s="493" t="s">
        <v>189</v>
      </c>
      <c r="N11" s="493"/>
      <c r="O11" s="493"/>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4.25">
      <c r="B12" s="494"/>
      <c r="C12" s="494"/>
      <c r="D12" s="494"/>
      <c r="E12" s="495"/>
      <c r="F12" s="495"/>
      <c r="G12" s="495"/>
      <c r="H12" s="495"/>
      <c r="I12" s="495"/>
      <c r="J12" s="495"/>
      <c r="K12" s="495"/>
      <c r="L12" s="495"/>
      <c r="M12" s="495"/>
      <c r="N12" s="495"/>
      <c r="O12" s="495"/>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4.25">
      <c r="B13" s="496"/>
      <c r="C13" s="496"/>
      <c r="D13" s="496"/>
      <c r="E13" s="497"/>
      <c r="F13" s="497"/>
      <c r="G13" s="497"/>
      <c r="H13" s="497"/>
      <c r="I13" s="497"/>
      <c r="J13" s="497"/>
      <c r="K13" s="497"/>
      <c r="L13" s="497"/>
      <c r="M13" s="497"/>
      <c r="N13" s="497"/>
      <c r="O13" s="497"/>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4.25">
      <c r="B14" s="496"/>
      <c r="C14" s="496"/>
      <c r="D14" s="496"/>
      <c r="E14" s="497"/>
      <c r="F14" s="497"/>
      <c r="G14" s="497"/>
      <c r="H14" s="497"/>
      <c r="I14" s="497"/>
      <c r="J14" s="497"/>
      <c r="K14" s="497"/>
      <c r="L14" s="497"/>
      <c r="M14" s="497"/>
      <c r="N14" s="497"/>
      <c r="O14" s="497"/>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4.25">
      <c r="B15" s="496"/>
      <c r="C15" s="496"/>
      <c r="D15" s="496"/>
      <c r="E15" s="497"/>
      <c r="F15" s="497"/>
      <c r="G15" s="497"/>
      <c r="H15" s="497"/>
      <c r="I15" s="497"/>
      <c r="J15" s="497"/>
      <c r="K15" s="497"/>
      <c r="L15" s="497"/>
      <c r="M15" s="497"/>
      <c r="N15" s="497"/>
      <c r="O15" s="497"/>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88" t="s">
        <v>190</v>
      </c>
      <c r="C16" s="488"/>
      <c r="D16" s="488"/>
      <c r="E16" s="488"/>
      <c r="F16" s="488"/>
      <c r="G16" s="488"/>
      <c r="H16" s="488"/>
      <c r="I16" s="488"/>
      <c r="J16" s="488"/>
      <c r="K16" s="488"/>
      <c r="L16" s="488"/>
      <c r="M16" s="488"/>
      <c r="N16" s="488"/>
      <c r="O16" s="48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4.2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498" t="s">
        <v>175</v>
      </c>
      <c r="C18" s="498"/>
      <c r="D18" s="498"/>
      <c r="E18" s="498" t="s">
        <v>176</v>
      </c>
      <c r="F18" s="498"/>
      <c r="G18" s="498"/>
      <c r="H18" s="498"/>
      <c r="I18" s="498"/>
      <c r="J18" s="498" t="s">
        <v>177</v>
      </c>
      <c r="K18" s="498"/>
      <c r="L18" s="498"/>
      <c r="M18" s="498" t="s">
        <v>191</v>
      </c>
      <c r="N18" s="498"/>
      <c r="O18" s="498"/>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84" t="str">
        <f>+'Introducción de datos'!B71</f>
        <v>M1: Estado de las condiciones precedentes y acciones con fecha límite</v>
      </c>
      <c r="C19" s="484"/>
      <c r="D19" s="484"/>
      <c r="E19" s="491" t="s">
        <v>192</v>
      </c>
      <c r="F19" s="491"/>
      <c r="G19" s="491"/>
      <c r="H19" s="491"/>
      <c r="I19" s="491"/>
      <c r="J19" s="493" t="s">
        <v>193</v>
      </c>
      <c r="K19" s="493"/>
      <c r="L19" s="493"/>
      <c r="M19" s="493" t="s">
        <v>194</v>
      </c>
      <c r="N19" s="493"/>
      <c r="O19" s="493"/>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84" t="str">
        <f>+'Introducción de datos'!B78</f>
        <v>M2: Estado de los principales puestos directivos del RP</v>
      </c>
      <c r="C20" s="484"/>
      <c r="D20" s="484"/>
      <c r="E20" s="491" t="s">
        <v>195</v>
      </c>
      <c r="F20" s="491"/>
      <c r="G20" s="491"/>
      <c r="H20" s="491"/>
      <c r="I20" s="491"/>
      <c r="J20" s="493" t="s">
        <v>196</v>
      </c>
      <c r="K20" s="493"/>
      <c r="L20" s="493"/>
      <c r="M20" s="493" t="s">
        <v>197</v>
      </c>
      <c r="N20" s="493"/>
      <c r="O20" s="493"/>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84" t="str">
        <f>+'Introducción de datos'!B83</f>
        <v>M3: Acuerdos contractuales (gestores de compra de bienes y servicios) </v>
      </c>
      <c r="C21" s="484"/>
      <c r="D21" s="484"/>
      <c r="E21" s="500" t="s">
        <v>198</v>
      </c>
      <c r="F21" s="500"/>
      <c r="G21" s="500"/>
      <c r="H21" s="500"/>
      <c r="I21" s="500"/>
      <c r="J21" s="493" t="s">
        <v>199</v>
      </c>
      <c r="K21" s="493"/>
      <c r="L21" s="493"/>
      <c r="M21" s="493" t="s">
        <v>200</v>
      </c>
      <c r="N21" s="493"/>
      <c r="O21" s="493"/>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84" t="str">
        <f>+'Introducción de datos'!B88</f>
        <v>M4: Número de informes completos recibidos a tiempo</v>
      </c>
      <c r="C22" s="484"/>
      <c r="D22" s="484"/>
      <c r="E22" s="499" t="s">
        <v>201</v>
      </c>
      <c r="F22" s="499"/>
      <c r="G22" s="499"/>
      <c r="H22" s="499"/>
      <c r="I22" s="499"/>
      <c r="J22" s="492" t="s">
        <v>202</v>
      </c>
      <c r="K22" s="492"/>
      <c r="L22" s="492"/>
      <c r="M22" s="493" t="s">
        <v>203</v>
      </c>
      <c r="N22" s="493"/>
      <c r="O22" s="493"/>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90" t="str">
        <f>+'Introducción de datos'!B94</f>
        <v>M5: Presupuesto y compra de productos y equipo sanitario, medicamentos y productos farmacéuticos</v>
      </c>
      <c r="C23" s="490"/>
      <c r="D23" s="490"/>
      <c r="E23" s="504" t="s">
        <v>204</v>
      </c>
      <c r="F23" s="504"/>
      <c r="G23" s="504"/>
      <c r="H23" s="504"/>
      <c r="I23" s="504"/>
      <c r="J23" s="493" t="s">
        <v>205</v>
      </c>
      <c r="K23" s="493"/>
      <c r="L23" s="493"/>
      <c r="M23" s="493" t="s">
        <v>206</v>
      </c>
      <c r="N23" s="493"/>
      <c r="O23" s="493"/>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90"/>
      <c r="C24" s="490"/>
      <c r="D24" s="490"/>
      <c r="E24" s="505" t="s">
        <v>207</v>
      </c>
      <c r="F24" s="505"/>
      <c r="G24" s="505"/>
      <c r="H24" s="505"/>
      <c r="I24" s="505"/>
      <c r="J24" s="493"/>
      <c r="K24" s="493"/>
      <c r="L24" s="493"/>
      <c r="M24" s="493"/>
      <c r="N24" s="493"/>
      <c r="O24" s="493"/>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84" t="str">
        <f>+'Introducción de datos'!B107</f>
        <v>M6: Diferencia entre existencias actuales y existencias de seguridad</v>
      </c>
      <c r="C25" s="484"/>
      <c r="D25" s="484"/>
      <c r="E25" s="501" t="s">
        <v>208</v>
      </c>
      <c r="F25" s="501"/>
      <c r="G25" s="501"/>
      <c r="H25" s="501"/>
      <c r="I25" s="501"/>
      <c r="J25" s="502" t="s">
        <v>209</v>
      </c>
      <c r="K25" s="502"/>
      <c r="L25" s="502"/>
      <c r="M25" s="503" t="s">
        <v>210</v>
      </c>
      <c r="N25" s="503"/>
      <c r="O25" s="503"/>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4.2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4.2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4.2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88" t="s">
        <v>211</v>
      </c>
      <c r="C30" s="488"/>
      <c r="D30" s="488"/>
      <c r="E30" s="488"/>
      <c r="F30" s="488"/>
      <c r="G30" s="488"/>
      <c r="H30" s="488"/>
      <c r="I30" s="488"/>
      <c r="J30" s="488"/>
      <c r="K30" s="488"/>
      <c r="L30" s="488"/>
      <c r="M30" s="488"/>
      <c r="N30" s="488"/>
      <c r="O30" s="488"/>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4.2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09" t="s">
        <v>212</v>
      </c>
      <c r="C32" s="509"/>
      <c r="D32" s="509"/>
      <c r="E32" s="510" t="s">
        <v>213</v>
      </c>
      <c r="F32" s="510"/>
      <c r="G32" s="510"/>
      <c r="H32" s="510"/>
      <c r="I32" s="510"/>
      <c r="J32" s="510" t="s">
        <v>177</v>
      </c>
      <c r="K32" s="510"/>
      <c r="L32" s="510"/>
      <c r="M32" s="510" t="s">
        <v>191</v>
      </c>
      <c r="N32" s="510"/>
      <c r="O32" s="510"/>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06"/>
      <c r="C33" s="506"/>
      <c r="D33" s="506"/>
      <c r="E33" s="507"/>
      <c r="F33" s="507"/>
      <c r="G33" s="507"/>
      <c r="H33" s="507"/>
      <c r="I33" s="507"/>
      <c r="J33" s="508"/>
      <c r="K33" s="508"/>
      <c r="L33" s="508"/>
      <c r="M33" s="508"/>
      <c r="N33" s="508"/>
      <c r="O33" s="50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06"/>
      <c r="C34" s="506"/>
      <c r="D34" s="506"/>
      <c r="E34" s="507"/>
      <c r="F34" s="507"/>
      <c r="G34" s="507"/>
      <c r="H34" s="507"/>
      <c r="I34" s="507"/>
      <c r="J34" s="508"/>
      <c r="K34" s="508"/>
      <c r="L34" s="508"/>
      <c r="M34" s="508"/>
      <c r="N34" s="508"/>
      <c r="O34" s="50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06"/>
      <c r="C35" s="506"/>
      <c r="D35" s="506"/>
      <c r="E35" s="508"/>
      <c r="F35" s="508"/>
      <c r="G35" s="508"/>
      <c r="H35" s="508"/>
      <c r="I35" s="508"/>
      <c r="J35" s="508"/>
      <c r="K35" s="508"/>
      <c r="L35" s="508"/>
      <c r="M35" s="508"/>
      <c r="N35" s="508"/>
      <c r="O35" s="50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12"/>
      <c r="C36" s="512"/>
      <c r="D36" s="512"/>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06"/>
      <c r="C37" s="506"/>
      <c r="D37" s="506"/>
      <c r="E37" s="508"/>
      <c r="F37" s="508"/>
      <c r="G37" s="508"/>
      <c r="H37" s="508"/>
      <c r="I37" s="508"/>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06"/>
      <c r="C38" s="506"/>
      <c r="D38" s="506"/>
      <c r="E38" s="507"/>
      <c r="F38" s="507"/>
      <c r="G38" s="507"/>
      <c r="H38" s="507"/>
      <c r="I38" s="507"/>
      <c r="J38" s="508"/>
      <c r="K38" s="508"/>
      <c r="L38" s="508"/>
      <c r="M38" s="508"/>
      <c r="N38" s="508"/>
      <c r="O38" s="50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11"/>
      <c r="C39" s="511"/>
      <c r="D39" s="511"/>
      <c r="E39" s="508"/>
      <c r="F39" s="508"/>
      <c r="G39" s="508"/>
      <c r="H39" s="508"/>
      <c r="I39" s="508"/>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13"/>
      <c r="C40" s="513"/>
      <c r="D40" s="513"/>
      <c r="E40" s="514"/>
      <c r="F40" s="514"/>
      <c r="G40" s="514"/>
      <c r="H40" s="514"/>
      <c r="I40" s="514"/>
      <c r="J40" s="508"/>
      <c r="K40" s="508"/>
      <c r="L40" s="508"/>
      <c r="M40" s="508"/>
      <c r="N40" s="508"/>
      <c r="O40" s="50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11"/>
      <c r="C41" s="511"/>
      <c r="D41" s="511"/>
      <c r="E41" s="507"/>
      <c r="F41" s="507"/>
      <c r="G41" s="507"/>
      <c r="H41" s="507"/>
      <c r="I41" s="507"/>
      <c r="J41" s="508"/>
      <c r="K41" s="508"/>
      <c r="L41" s="508"/>
      <c r="M41" s="508"/>
      <c r="N41" s="508"/>
      <c r="O41" s="50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11"/>
      <c r="C42" s="511"/>
      <c r="D42" s="511"/>
      <c r="E42" s="508"/>
      <c r="F42" s="508"/>
      <c r="G42" s="508"/>
      <c r="H42" s="508"/>
      <c r="I42" s="508"/>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11"/>
      <c r="C43" s="511"/>
      <c r="D43" s="511"/>
      <c r="E43" s="507"/>
      <c r="F43" s="507"/>
      <c r="G43" s="507"/>
      <c r="H43" s="507"/>
      <c r="I43" s="507"/>
      <c r="J43" s="508"/>
      <c r="K43" s="508"/>
      <c r="L43" s="508"/>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13"/>
      <c r="C44" s="513"/>
      <c r="D44" s="513"/>
      <c r="E44" s="507"/>
      <c r="F44" s="507"/>
      <c r="G44" s="507"/>
      <c r="H44" s="507"/>
      <c r="I44" s="507"/>
      <c r="J44" s="508"/>
      <c r="K44" s="508"/>
      <c r="L44" s="508"/>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13"/>
      <c r="C45" s="513"/>
      <c r="D45" s="513"/>
      <c r="E45" s="507"/>
      <c r="F45" s="507"/>
      <c r="G45" s="507"/>
      <c r="H45" s="507"/>
      <c r="I45" s="507"/>
      <c r="J45" s="508"/>
      <c r="K45" s="508"/>
      <c r="L45" s="508"/>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17"/>
      <c r="C46" s="517"/>
      <c r="D46" s="517"/>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15" t="s">
        <v>214</v>
      </c>
      <c r="C48" s="515"/>
      <c r="D48" s="515"/>
      <c r="E48" s="515"/>
      <c r="F48" s="515"/>
      <c r="G48" s="515"/>
      <c r="H48" s="515"/>
      <c r="I48" s="515"/>
      <c r="J48" s="515"/>
      <c r="K48" s="515"/>
      <c r="L48" s="515"/>
      <c r="M48" s="516" t="s">
        <v>215</v>
      </c>
      <c r="N48" s="516"/>
      <c r="O48" s="516"/>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mergeCells count="116">
    <mergeCell ref="B48:L48"/>
    <mergeCell ref="M48:O48"/>
    <mergeCell ref="B45:D45"/>
    <mergeCell ref="E45:I45"/>
    <mergeCell ref="J45:L45"/>
    <mergeCell ref="B46:D46"/>
    <mergeCell ref="J43:L43"/>
    <mergeCell ref="B44:D44"/>
    <mergeCell ref="E44:I44"/>
    <mergeCell ref="J44:L44"/>
    <mergeCell ref="B42:D42"/>
    <mergeCell ref="E42:I42"/>
    <mergeCell ref="B43:D43"/>
    <mergeCell ref="E43:I43"/>
    <mergeCell ref="B41:D41"/>
    <mergeCell ref="E41:I41"/>
    <mergeCell ref="J41:L41"/>
    <mergeCell ref="M41:O41"/>
    <mergeCell ref="B40:D40"/>
    <mergeCell ref="E40:I40"/>
    <mergeCell ref="J40:L40"/>
    <mergeCell ref="M40:O40"/>
    <mergeCell ref="J38:L38"/>
    <mergeCell ref="M38:O38"/>
    <mergeCell ref="B39:D39"/>
    <mergeCell ref="E39:I39"/>
    <mergeCell ref="B36:D36"/>
    <mergeCell ref="B37:D37"/>
    <mergeCell ref="E37:I37"/>
    <mergeCell ref="B38:D38"/>
    <mergeCell ref="E38:I38"/>
    <mergeCell ref="B35:D35"/>
    <mergeCell ref="E35:I35"/>
    <mergeCell ref="J35:L35"/>
    <mergeCell ref="M35:O35"/>
    <mergeCell ref="B34:D34"/>
    <mergeCell ref="E34:I34"/>
    <mergeCell ref="J34:L34"/>
    <mergeCell ref="M34:O34"/>
    <mergeCell ref="B33:D33"/>
    <mergeCell ref="E33:I33"/>
    <mergeCell ref="J33:L33"/>
    <mergeCell ref="M33:O33"/>
    <mergeCell ref="B30:O30"/>
    <mergeCell ref="B32:D32"/>
    <mergeCell ref="E32:I32"/>
    <mergeCell ref="J32:L32"/>
    <mergeCell ref="M32:O32"/>
    <mergeCell ref="B25:D25"/>
    <mergeCell ref="E25:I25"/>
    <mergeCell ref="J25:L25"/>
    <mergeCell ref="M25:O25"/>
    <mergeCell ref="B23:D24"/>
    <mergeCell ref="E23:I23"/>
    <mergeCell ref="J23:L24"/>
    <mergeCell ref="M23:O24"/>
    <mergeCell ref="E24:I24"/>
    <mergeCell ref="B22:D22"/>
    <mergeCell ref="E22:I22"/>
    <mergeCell ref="J22:L22"/>
    <mergeCell ref="M22:O22"/>
    <mergeCell ref="B21:D21"/>
    <mergeCell ref="E21:I21"/>
    <mergeCell ref="J21:L21"/>
    <mergeCell ref="M21:O21"/>
    <mergeCell ref="B20:D20"/>
    <mergeCell ref="E20:I20"/>
    <mergeCell ref="J20:L20"/>
    <mergeCell ref="M20:O20"/>
    <mergeCell ref="B19:D19"/>
    <mergeCell ref="E19:I19"/>
    <mergeCell ref="J19:L19"/>
    <mergeCell ref="M19:O19"/>
    <mergeCell ref="B16:O16"/>
    <mergeCell ref="B18:D18"/>
    <mergeCell ref="E18:I18"/>
    <mergeCell ref="J18:L18"/>
    <mergeCell ref="M18:O18"/>
    <mergeCell ref="B15:D15"/>
    <mergeCell ref="E15:I15"/>
    <mergeCell ref="J15:L15"/>
    <mergeCell ref="M15:O15"/>
    <mergeCell ref="B14:D14"/>
    <mergeCell ref="E14:I14"/>
    <mergeCell ref="J14:L14"/>
    <mergeCell ref="M14:O14"/>
    <mergeCell ref="B13:D13"/>
    <mergeCell ref="E13:I13"/>
    <mergeCell ref="J13:L13"/>
    <mergeCell ref="M13:O13"/>
    <mergeCell ref="B12:D12"/>
    <mergeCell ref="E12:I12"/>
    <mergeCell ref="J12:L12"/>
    <mergeCell ref="M12:O12"/>
    <mergeCell ref="B11:D11"/>
    <mergeCell ref="E11:I11"/>
    <mergeCell ref="J11:L11"/>
    <mergeCell ref="M11:O11"/>
    <mergeCell ref="B10:D10"/>
    <mergeCell ref="E10:I10"/>
    <mergeCell ref="J10:L10"/>
    <mergeCell ref="M10:O10"/>
    <mergeCell ref="B9:D9"/>
    <mergeCell ref="E9:I9"/>
    <mergeCell ref="J9:L9"/>
    <mergeCell ref="M9:O9"/>
    <mergeCell ref="B8:D8"/>
    <mergeCell ref="E8:I8"/>
    <mergeCell ref="J8:L8"/>
    <mergeCell ref="M8:O8"/>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J149"/>
  <sheetViews>
    <sheetView showGridLines="0" zoomScale="80" zoomScaleNormal="80" zoomScalePageLayoutView="0" workbookViewId="0" topLeftCell="A37">
      <selection activeCell="B57" sqref="B57"/>
    </sheetView>
  </sheetViews>
  <sheetFormatPr defaultColWidth="9.140625" defaultRowHeight="15"/>
  <cols>
    <col min="1" max="1" width="2.7109375" style="0" customWidth="1"/>
    <col min="2" max="2" width="96.00390625" style="0" customWidth="1"/>
    <col min="3" max="3" width="23.00390625" style="0" customWidth="1"/>
    <col min="4" max="4" width="22.28125" style="0" customWidth="1"/>
    <col min="5" max="5" width="20.57421875" style="0" customWidth="1"/>
    <col min="6" max="6" width="15.8515625" style="0" customWidth="1"/>
    <col min="7" max="7" width="16.57421875" style="0" customWidth="1"/>
    <col min="8" max="8" width="26.7109375" style="0" customWidth="1"/>
    <col min="9" max="9" width="19.7109375" style="0" customWidth="1"/>
    <col min="10" max="10" width="28.57421875" style="0" customWidth="1"/>
    <col min="11" max="11" width="18.57421875" style="0" customWidth="1"/>
    <col min="12" max="12" width="15.28125" style="0" customWidth="1"/>
    <col min="13" max="13" width="20.57421875" style="0" customWidth="1"/>
    <col min="14" max="14" width="14.28125" style="5" customWidth="1"/>
    <col min="15" max="15" width="15.57421875" style="5" customWidth="1"/>
    <col min="16" max="16" width="19.421875" style="0" customWidth="1"/>
    <col min="17" max="17" width="16.140625" style="0" customWidth="1"/>
    <col min="18" max="18" width="13.7109375" style="0" customWidth="1"/>
    <col min="19" max="19" width="13.421875" style="0" customWidth="1"/>
    <col min="20" max="20" width="74.28125" style="0" customWidth="1"/>
    <col min="21" max="21" width="16.00390625" style="0" customWidth="1"/>
    <col min="22" max="22" width="0" style="0" hidden="1" customWidth="1"/>
    <col min="23" max="23" width="15.57421875" style="0" customWidth="1"/>
    <col min="24" max="24" width="9.14062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9.140625" style="0" customWidth="1"/>
    <col min="31" max="31" width="13.57421875" style="0" customWidth="1"/>
    <col min="32" max="32" width="16.8515625" style="0" customWidth="1"/>
    <col min="33" max="33" width="9.140625" style="0" customWidth="1"/>
    <col min="34" max="34" width="2.00390625" style="5" customWidth="1"/>
    <col min="35" max="35" width="3.28125" style="5" customWidth="1"/>
    <col min="36" max="36" width="2.28125" style="5" customWidth="1"/>
    <col min="37" max="37" width="40.7109375" style="0" customWidth="1"/>
    <col min="38" max="38" width="15.421875" style="0" customWidth="1"/>
  </cols>
  <sheetData>
    <row r="1" spans="1:13" ht="29.25" customHeight="1">
      <c r="A1" s="6"/>
      <c r="B1" s="6"/>
      <c r="C1" s="6"/>
      <c r="D1" s="6"/>
      <c r="E1" s="6"/>
      <c r="F1" s="6"/>
      <c r="G1" s="6"/>
      <c r="H1" s="6"/>
      <c r="I1" s="6"/>
      <c r="J1" s="6"/>
      <c r="K1" s="6"/>
      <c r="L1" s="6"/>
      <c r="M1" s="6"/>
    </row>
    <row r="2" spans="1:13" ht="15.75" customHeight="1">
      <c r="A2" s="6"/>
      <c r="B2" s="522" t="s">
        <v>216</v>
      </c>
      <c r="C2" s="522"/>
      <c r="D2" s="522"/>
      <c r="E2" s="522"/>
      <c r="F2" s="522"/>
      <c r="G2" s="522"/>
      <c r="H2" s="522"/>
      <c r="I2" s="522"/>
      <c r="J2" s="522"/>
      <c r="K2" s="33"/>
      <c r="L2" s="33"/>
      <c r="M2" s="33"/>
    </row>
    <row r="3" spans="1:13" ht="26.25" customHeight="1">
      <c r="A3" s="6"/>
      <c r="B3" s="6"/>
      <c r="C3" s="6"/>
      <c r="D3" s="6"/>
      <c r="E3" s="6"/>
      <c r="F3" s="6"/>
      <c r="G3" s="6"/>
      <c r="H3" s="6"/>
      <c r="I3" s="6"/>
      <c r="J3" s="6"/>
      <c r="K3" s="6"/>
      <c r="L3" s="6"/>
      <c r="M3" s="6"/>
    </row>
    <row r="4" spans="1:13" ht="14.25">
      <c r="A4" s="6"/>
      <c r="B4" s="34" t="s">
        <v>217</v>
      </c>
      <c r="C4" s="521" t="s">
        <v>218</v>
      </c>
      <c r="D4" s="521"/>
      <c r="E4" s="519" t="s">
        <v>219</v>
      </c>
      <c r="F4" s="519"/>
      <c r="G4" s="518" t="s">
        <v>220</v>
      </c>
      <c r="H4" s="518"/>
      <c r="I4" s="518"/>
      <c r="J4" s="518"/>
      <c r="K4" s="6"/>
      <c r="L4" s="6"/>
      <c r="M4" s="6"/>
    </row>
    <row r="5" spans="1:13" ht="3" customHeight="1">
      <c r="A5" s="6"/>
      <c r="B5" s="37"/>
      <c r="C5" s="6"/>
      <c r="D5" s="6"/>
      <c r="E5" s="38"/>
      <c r="F5" s="38"/>
      <c r="G5" s="6"/>
      <c r="H5" s="6"/>
      <c r="I5" s="6"/>
      <c r="J5" s="6"/>
      <c r="K5" s="6"/>
      <c r="L5" s="6"/>
      <c r="M5" s="6"/>
    </row>
    <row r="6" spans="1:13" ht="14.25">
      <c r="A6" s="6"/>
      <c r="B6" s="34" t="s">
        <v>221</v>
      </c>
      <c r="C6" s="518" t="s">
        <v>222</v>
      </c>
      <c r="D6" s="518"/>
      <c r="E6" s="519" t="s">
        <v>223</v>
      </c>
      <c r="F6" s="519"/>
      <c r="G6" s="35" t="s">
        <v>224</v>
      </c>
      <c r="H6" s="39" t="s">
        <v>225</v>
      </c>
      <c r="I6" s="520"/>
      <c r="J6" s="520"/>
      <c r="K6" s="6"/>
      <c r="L6" s="6"/>
      <c r="M6" s="6"/>
    </row>
    <row r="7" spans="1:13" ht="3" customHeight="1">
      <c r="A7" s="6"/>
      <c r="B7" s="37"/>
      <c r="C7" s="6"/>
      <c r="D7" s="6"/>
      <c r="E7" s="38"/>
      <c r="F7" s="38"/>
      <c r="G7" s="6"/>
      <c r="H7" s="37"/>
      <c r="I7" s="6"/>
      <c r="J7" s="6"/>
      <c r="K7" s="6"/>
      <c r="L7" s="6"/>
      <c r="M7" s="6"/>
    </row>
    <row r="8" spans="1:13" ht="14.25">
      <c r="A8" s="6"/>
      <c r="B8" s="34" t="s">
        <v>226</v>
      </c>
      <c r="C8" s="518" t="s">
        <v>227</v>
      </c>
      <c r="D8" s="518"/>
      <c r="E8" s="40"/>
      <c r="F8" s="36" t="s">
        <v>228</v>
      </c>
      <c r="G8" s="35" t="s">
        <v>229</v>
      </c>
      <c r="H8" s="36" t="s">
        <v>230</v>
      </c>
      <c r="I8" s="521" t="s">
        <v>231</v>
      </c>
      <c r="J8" s="521"/>
      <c r="K8" s="6"/>
      <c r="L8" s="6"/>
      <c r="M8" s="6"/>
    </row>
    <row r="9" spans="1:13" ht="3" customHeight="1">
      <c r="A9" s="6"/>
      <c r="B9" s="38"/>
      <c r="C9" s="41">
        <v>39825</v>
      </c>
      <c r="D9" s="6"/>
      <c r="E9" s="38"/>
      <c r="F9" s="38"/>
      <c r="G9" s="6"/>
      <c r="H9" s="6"/>
      <c r="I9" s="6"/>
      <c r="J9" s="6"/>
      <c r="K9" s="6"/>
      <c r="L9" s="6"/>
      <c r="M9" s="6"/>
    </row>
    <row r="10" spans="1:13" ht="14.25">
      <c r="A10" s="6"/>
      <c r="B10" s="34" t="s">
        <v>232</v>
      </c>
      <c r="C10" s="525" t="s">
        <v>233</v>
      </c>
      <c r="D10" s="525"/>
      <c r="E10" s="526" t="s">
        <v>234</v>
      </c>
      <c r="F10" s="526"/>
      <c r="G10" s="521" t="s">
        <v>235</v>
      </c>
      <c r="H10" s="521"/>
      <c r="I10" s="521"/>
      <c r="J10" s="521"/>
      <c r="K10" s="6"/>
      <c r="L10" s="6"/>
      <c r="M10" s="6"/>
    </row>
    <row r="11" spans="1:13" ht="5.25" customHeight="1">
      <c r="A11" s="6"/>
      <c r="B11" s="6"/>
      <c r="C11" s="6"/>
      <c r="D11" s="6"/>
      <c r="E11" s="6"/>
      <c r="F11" s="6"/>
      <c r="G11" s="6"/>
      <c r="H11" s="6"/>
      <c r="I11" s="6"/>
      <c r="J11" s="6"/>
      <c r="K11" s="6"/>
      <c r="L11" s="6"/>
      <c r="M11" s="6"/>
    </row>
    <row r="12" spans="1:13" ht="15" customHeight="1">
      <c r="A12" s="6"/>
      <c r="B12" s="34" t="s">
        <v>236</v>
      </c>
      <c r="C12" s="527" t="s">
        <v>237</v>
      </c>
      <c r="D12" s="527"/>
      <c r="E12" s="528" t="s">
        <v>238</v>
      </c>
      <c r="F12" s="528"/>
      <c r="G12" s="518" t="s">
        <v>239</v>
      </c>
      <c r="H12" s="518"/>
      <c r="I12" s="518"/>
      <c r="J12" s="518"/>
      <c r="K12" s="6"/>
      <c r="L12" s="6"/>
      <c r="M12" s="6"/>
    </row>
    <row r="13" spans="1:13" ht="5.25" customHeight="1">
      <c r="A13" s="6"/>
      <c r="B13" s="6"/>
      <c r="C13" s="6"/>
      <c r="D13" s="6"/>
      <c r="E13" s="6"/>
      <c r="F13" s="6"/>
      <c r="G13" s="6"/>
      <c r="H13" s="6"/>
      <c r="I13" s="6"/>
      <c r="J13" s="6"/>
      <c r="K13" s="6"/>
      <c r="L13" s="6"/>
      <c r="M13" s="6"/>
    </row>
    <row r="14" spans="1:13" ht="15.75" customHeight="1">
      <c r="A14" s="6"/>
      <c r="B14" s="522" t="s">
        <v>240</v>
      </c>
      <c r="C14" s="522"/>
      <c r="D14" s="522"/>
      <c r="E14" s="522"/>
      <c r="F14" s="522"/>
      <c r="G14" s="522"/>
      <c r="H14" s="522"/>
      <c r="I14" s="522"/>
      <c r="J14" s="522"/>
      <c r="K14" s="6"/>
      <c r="L14" s="6"/>
      <c r="M14" s="6"/>
    </row>
    <row r="15" spans="1:13" ht="3" customHeight="1">
      <c r="A15" s="6"/>
      <c r="B15" s="6"/>
      <c r="C15" s="6"/>
      <c r="D15" s="6"/>
      <c r="E15" s="6"/>
      <c r="F15" s="6"/>
      <c r="G15" s="6"/>
      <c r="H15" s="6"/>
      <c r="I15" s="6"/>
      <c r="J15" s="6"/>
      <c r="K15" s="6"/>
      <c r="L15" s="6"/>
      <c r="M15" s="6"/>
    </row>
    <row r="16" spans="1:13" ht="14.25">
      <c r="A16" s="6"/>
      <c r="B16" s="34" t="s">
        <v>241</v>
      </c>
      <c r="C16" s="35" t="s">
        <v>242</v>
      </c>
      <c r="D16" s="36" t="s">
        <v>243</v>
      </c>
      <c r="E16" s="42">
        <v>42736</v>
      </c>
      <c r="F16" s="43" t="s">
        <v>244</v>
      </c>
      <c r="G16" s="42">
        <v>42916</v>
      </c>
      <c r="H16" s="523" t="s">
        <v>245</v>
      </c>
      <c r="I16" s="523"/>
      <c r="J16" s="42">
        <v>42970</v>
      </c>
      <c r="K16" s="6"/>
      <c r="L16" s="6"/>
      <c r="M16" s="6"/>
    </row>
    <row r="17" spans="1:13" ht="3" customHeight="1">
      <c r="A17" s="6"/>
      <c r="B17" s="6"/>
      <c r="C17" s="6"/>
      <c r="D17" s="6"/>
      <c r="E17" s="6"/>
      <c r="F17" s="6"/>
      <c r="G17" s="6"/>
      <c r="H17" s="6"/>
      <c r="I17" s="6"/>
      <c r="J17" s="6"/>
      <c r="K17" s="6"/>
      <c r="L17" s="6"/>
      <c r="M17" s="6"/>
    </row>
    <row r="18" spans="1:13" ht="14.25">
      <c r="A18" s="6"/>
      <c r="B18" s="524" t="s">
        <v>246</v>
      </c>
      <c r="C18" s="524"/>
      <c r="D18" s="518" t="s">
        <v>247</v>
      </c>
      <c r="E18" s="518"/>
      <c r="F18" s="518"/>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22" t="s">
        <v>248</v>
      </c>
      <c r="C21" s="522"/>
      <c r="D21" s="522"/>
      <c r="E21" s="522"/>
      <c r="F21" s="522"/>
      <c r="G21" s="522"/>
      <c r="H21" s="522"/>
      <c r="I21" s="522"/>
      <c r="J21" s="522"/>
      <c r="K21" s="6"/>
      <c r="L21" s="6"/>
      <c r="M21" s="6"/>
    </row>
    <row r="22" spans="1:13" ht="14.25">
      <c r="A22" s="6"/>
      <c r="B22" s="45" t="s">
        <v>249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4.25">
      <c r="A24" s="6"/>
      <c r="B24" s="34" t="s">
        <v>250</v>
      </c>
      <c r="C24" s="47"/>
      <c r="D24" s="519" t="s">
        <v>251</v>
      </c>
      <c r="E24" s="519"/>
      <c r="F24" s="48"/>
      <c r="G24" s="519" t="s">
        <v>252</v>
      </c>
      <c r="H24" s="519"/>
      <c r="I24" s="533"/>
      <c r="J24" s="533"/>
      <c r="K24" s="6"/>
      <c r="L24" s="6"/>
      <c r="M24" s="6"/>
      <c r="N24" s="49"/>
    </row>
    <row r="25" spans="1:35" ht="18">
      <c r="A25" s="6"/>
      <c r="B25" s="50" t="s">
        <v>250</v>
      </c>
      <c r="C25" s="51"/>
      <c r="D25" s="51"/>
      <c r="E25" s="51"/>
      <c r="F25" s="51"/>
      <c r="G25" s="51"/>
      <c r="H25" s="52"/>
      <c r="I25" s="52"/>
      <c r="J25" s="52" t="s">
        <v>253</v>
      </c>
      <c r="K25" s="52"/>
      <c r="L25" s="51"/>
      <c r="M25" s="51"/>
      <c r="N25" s="53"/>
      <c r="O25" s="54"/>
      <c r="AI25" s="55"/>
    </row>
    <row r="26" spans="1:35" ht="14.25">
      <c r="A26" s="6"/>
      <c r="B26" s="529" t="s">
        <v>254</v>
      </c>
      <c r="C26" s="529"/>
      <c r="D26" s="56" t="s">
        <v>255</v>
      </c>
      <c r="E26" s="57"/>
      <c r="F26" s="57"/>
      <c r="G26" s="57"/>
      <c r="H26" s="57"/>
      <c r="I26" s="57"/>
      <c r="J26" s="58"/>
      <c r="K26" s="57"/>
      <c r="L26" s="57"/>
      <c r="M26" s="57"/>
      <c r="N26" s="54"/>
      <c r="O26" s="54"/>
      <c r="AI26" s="55"/>
    </row>
    <row r="27" spans="1:35" ht="18">
      <c r="A27" s="6"/>
      <c r="B27" s="59" t="s">
        <v>256</v>
      </c>
      <c r="C27" s="57"/>
      <c r="D27" s="57"/>
      <c r="E27" s="57"/>
      <c r="F27" s="57"/>
      <c r="G27" s="57"/>
      <c r="H27" s="57"/>
      <c r="I27" s="57"/>
      <c r="J27" s="58"/>
      <c r="K27" s="57"/>
      <c r="L27" s="57"/>
      <c r="M27" s="57"/>
      <c r="N27" s="54"/>
      <c r="O27" s="54"/>
      <c r="AI27" s="55"/>
    </row>
    <row r="28" spans="1:13" ht="14.25">
      <c r="A28" s="6"/>
      <c r="B28" s="6"/>
      <c r="C28" s="6"/>
      <c r="D28" s="6"/>
      <c r="E28" s="6"/>
      <c r="F28" s="6"/>
      <c r="G28" s="6"/>
      <c r="H28" s="6"/>
      <c r="I28" s="6"/>
      <c r="J28" s="6"/>
      <c r="K28" s="6"/>
      <c r="L28" s="6"/>
      <c r="M28" s="6"/>
    </row>
    <row r="29" spans="1:19" ht="14.25">
      <c r="A29" s="6"/>
      <c r="B29" s="530" t="s">
        <v>257</v>
      </c>
      <c r="C29" s="530"/>
      <c r="D29" s="530"/>
      <c r="E29" s="530"/>
      <c r="F29" s="530"/>
      <c r="G29" s="530"/>
      <c r="H29" s="530"/>
      <c r="I29" s="530"/>
      <c r="J29" s="530"/>
      <c r="K29" s="530"/>
      <c r="L29" s="530"/>
      <c r="M29" s="530"/>
      <c r="N29" s="530"/>
      <c r="P29" s="60"/>
      <c r="Q29" s="61"/>
      <c r="R29" s="62">
        <f>+C33</f>
        <v>1994855</v>
      </c>
      <c r="S29" s="60"/>
    </row>
    <row r="30" spans="1:19" ht="66.75" customHeight="1">
      <c r="A30" s="6"/>
      <c r="B30" s="63" t="s">
        <v>258</v>
      </c>
      <c r="C30" s="64" t="s">
        <v>242</v>
      </c>
      <c r="D30" s="64" t="s">
        <v>259</v>
      </c>
      <c r="E30" s="64" t="s">
        <v>260</v>
      </c>
      <c r="F30" s="64" t="s">
        <v>261</v>
      </c>
      <c r="G30" s="64" t="s">
        <v>262</v>
      </c>
      <c r="H30" s="64" t="s">
        <v>263</v>
      </c>
      <c r="I30" s="64" t="s">
        <v>264</v>
      </c>
      <c r="J30" s="64" t="s">
        <v>265</v>
      </c>
      <c r="K30" s="64" t="s">
        <v>266</v>
      </c>
      <c r="L30" s="64" t="s">
        <v>267</v>
      </c>
      <c r="M30" s="64" t="s">
        <v>268</v>
      </c>
      <c r="N30" s="65" t="s">
        <v>269</v>
      </c>
      <c r="O30" s="66" t="s">
        <v>270</v>
      </c>
      <c r="P30" s="60"/>
      <c r="Q30" s="61"/>
      <c r="R30" s="62">
        <f>+D33</f>
        <v>0</v>
      </c>
      <c r="S30" s="60"/>
    </row>
    <row r="31" spans="1:19" ht="14.25">
      <c r="A31" s="6"/>
      <c r="B31" s="67" t="str">
        <f>CONCATENATE("Presupuesto (en ",'Introducción de datos'!$D$26,")")</f>
        <v>Presupuesto (en $)</v>
      </c>
      <c r="C31" s="68">
        <v>1994855</v>
      </c>
      <c r="D31" s="69"/>
      <c r="E31" s="69"/>
      <c r="F31" s="69"/>
      <c r="G31" s="69"/>
      <c r="H31" s="69"/>
      <c r="I31" s="70"/>
      <c r="J31" s="70"/>
      <c r="K31" s="70"/>
      <c r="L31" s="70"/>
      <c r="M31" s="70"/>
      <c r="N31" s="70"/>
      <c r="O31" s="531">
        <f>+SUM(C35:N35)</f>
        <v>1.2418316118214106</v>
      </c>
      <c r="P31" s="60"/>
      <c r="Q31" s="61"/>
      <c r="R31" s="62">
        <f>+E33</f>
        <v>0</v>
      </c>
      <c r="S31" s="60"/>
    </row>
    <row r="32" spans="1:19" ht="14.25">
      <c r="A32" s="6"/>
      <c r="B32" s="71" t="str">
        <f>CONCATENATE("Desembolsos por el Fondo Mundial (en ",$D$26,")")</f>
        <v>Desembolsos por el Fondo Mundial (en $)</v>
      </c>
      <c r="C32" s="68">
        <v>2477274</v>
      </c>
      <c r="D32" s="72"/>
      <c r="E32" s="72"/>
      <c r="F32" s="73"/>
      <c r="G32" s="73"/>
      <c r="H32" s="73"/>
      <c r="I32" s="70"/>
      <c r="J32" s="70"/>
      <c r="K32" s="70"/>
      <c r="L32" s="70"/>
      <c r="M32" s="70"/>
      <c r="N32" s="70"/>
      <c r="O32" s="531"/>
      <c r="P32" s="60"/>
      <c r="Q32" s="61"/>
      <c r="R32" s="62">
        <f>+F33</f>
        <v>0</v>
      </c>
      <c r="S32" s="60"/>
    </row>
    <row r="33" spans="1:19" ht="14.25">
      <c r="A33" s="6"/>
      <c r="B33" s="74" t="s">
        <v>271</v>
      </c>
      <c r="C33" s="75">
        <f>+C31</f>
        <v>1994855</v>
      </c>
      <c r="D33" s="76"/>
      <c r="E33" s="76"/>
      <c r="F33" s="76"/>
      <c r="G33" s="76"/>
      <c r="H33" s="76"/>
      <c r="I33" s="77">
        <f aca="true" t="shared" si="0" ref="I33:N33">IF(AND(I31=0,I32=0),0,+H33+I31)</f>
        <v>0</v>
      </c>
      <c r="J33" s="77">
        <f t="shared" si="0"/>
        <v>0</v>
      </c>
      <c r="K33" s="77">
        <f t="shared" si="0"/>
        <v>0</v>
      </c>
      <c r="L33" s="77">
        <f t="shared" si="0"/>
        <v>0</v>
      </c>
      <c r="M33" s="77">
        <f t="shared" si="0"/>
        <v>0</v>
      </c>
      <c r="N33" s="77">
        <f t="shared" si="0"/>
        <v>0</v>
      </c>
      <c r="O33" s="531"/>
      <c r="P33" s="78"/>
      <c r="Q33" s="61"/>
      <c r="R33" s="62">
        <f>+G33</f>
        <v>0</v>
      </c>
      <c r="S33" s="60"/>
    </row>
    <row r="34" spans="1:19" ht="14.25">
      <c r="A34" s="6"/>
      <c r="B34" s="79" t="s">
        <v>272</v>
      </c>
      <c r="C34" s="80">
        <f>+C32</f>
        <v>2477274</v>
      </c>
      <c r="D34" s="81"/>
      <c r="E34" s="81"/>
      <c r="F34" s="81"/>
      <c r="G34" s="81"/>
      <c r="H34" s="81"/>
      <c r="I34" s="82">
        <f aca="true" t="shared" si="1" ref="I34:N34">IF(AND(I31=0,I32=0),0,+H34+I32)</f>
        <v>0</v>
      </c>
      <c r="J34" s="82">
        <f t="shared" si="1"/>
        <v>0</v>
      </c>
      <c r="K34" s="82">
        <f t="shared" si="1"/>
        <v>0</v>
      </c>
      <c r="L34" s="82">
        <f t="shared" si="1"/>
        <v>0</v>
      </c>
      <c r="M34" s="82">
        <f t="shared" si="1"/>
        <v>0</v>
      </c>
      <c r="N34" s="82">
        <f t="shared" si="1"/>
        <v>0</v>
      </c>
      <c r="O34" s="531"/>
      <c r="P34" s="78"/>
      <c r="Q34" s="61"/>
      <c r="R34" s="62">
        <f>+H33</f>
        <v>0</v>
      </c>
      <c r="S34" s="60"/>
    </row>
    <row r="35" spans="1:19" ht="14.25">
      <c r="A35" s="6"/>
      <c r="B35" s="6"/>
      <c r="C35" s="83">
        <f>+IF(AND(C30=$C$16,C33&lt;&gt;0),C34/C33,0)</f>
        <v>1.2418316118214106</v>
      </c>
      <c r="D35" s="83">
        <f>+IF(AND(D30=$C$16,D33&lt;&gt;0),D34/D33,0)</f>
        <v>0</v>
      </c>
      <c r="E35" s="83"/>
      <c r="F35" s="83">
        <f aca="true" t="shared" si="2" ref="F35:N35">+IF(AND(F30=$C$16,F33&lt;&gt;0),F34/F33,0)</f>
        <v>0</v>
      </c>
      <c r="G35" s="83">
        <f t="shared" si="2"/>
        <v>0</v>
      </c>
      <c r="H35" s="83">
        <f t="shared" si="2"/>
        <v>0</v>
      </c>
      <c r="I35" s="83">
        <f t="shared" si="2"/>
        <v>0</v>
      </c>
      <c r="J35" s="83">
        <f t="shared" si="2"/>
        <v>0</v>
      </c>
      <c r="K35" s="83">
        <f t="shared" si="2"/>
        <v>0</v>
      </c>
      <c r="L35" s="83">
        <f t="shared" si="2"/>
        <v>0</v>
      </c>
      <c r="M35" s="83">
        <f t="shared" si="2"/>
        <v>0</v>
      </c>
      <c r="N35" s="83">
        <f t="shared" si="2"/>
        <v>0</v>
      </c>
      <c r="O35" s="84"/>
      <c r="P35" s="85"/>
      <c r="Q35" s="86"/>
      <c r="R35" s="62">
        <f>+I33</f>
        <v>0</v>
      </c>
      <c r="S35" s="60"/>
    </row>
    <row r="36" spans="1:35" ht="18">
      <c r="A36" s="6"/>
      <c r="B36" s="59" t="s">
        <v>167</v>
      </c>
      <c r="C36" s="6"/>
      <c r="D36" s="6"/>
      <c r="E36" s="87"/>
      <c r="F36" s="6"/>
      <c r="G36" s="88"/>
      <c r="H36" s="6"/>
      <c r="I36" s="6"/>
      <c r="J36" s="6"/>
      <c r="K36" s="6"/>
      <c r="L36" s="6"/>
      <c r="M36" s="6"/>
      <c r="N36" s="89"/>
      <c r="O36" s="89"/>
      <c r="AI36" s="49"/>
    </row>
    <row r="37" spans="1:15" ht="15" thickBot="1">
      <c r="A37" s="6"/>
      <c r="B37" s="6"/>
      <c r="C37" s="6"/>
      <c r="D37" s="6"/>
      <c r="E37" s="6"/>
      <c r="F37" s="6"/>
      <c r="G37" s="6"/>
      <c r="H37" s="6"/>
      <c r="I37" s="6"/>
      <c r="J37" s="6"/>
      <c r="K37" s="6"/>
      <c r="L37" s="6"/>
      <c r="M37" s="6"/>
      <c r="N37" s="90"/>
      <c r="O37" s="90"/>
    </row>
    <row r="38" spans="1:32" ht="30" customHeight="1" thickBot="1">
      <c r="A38" s="6"/>
      <c r="B38" s="475" t="s">
        <v>169</v>
      </c>
      <c r="C38" s="469" t="str">
        <f>CONCATENATE("Presupuesto acumulado (en ",'Introducción de datos'!$D$26,")")</f>
        <v>Presupuesto acumulado (en $)</v>
      </c>
      <c r="D38" s="470" t="str">
        <f>CONCATENATE("Gastos acumulados (en ",'Introducción de datos'!$D$26,")")</f>
        <v>Gastos acumulados (en $)</v>
      </c>
      <c r="E38" s="91"/>
      <c r="F38" s="92"/>
      <c r="G38" s="6"/>
      <c r="H38" s="6"/>
      <c r="I38" s="6"/>
      <c r="J38" s="93"/>
      <c r="K38" s="94"/>
      <c r="N38"/>
      <c r="O38"/>
      <c r="AE38" s="49"/>
      <c r="AF38" s="5"/>
    </row>
    <row r="39" spans="1:32" ht="14.25" customHeight="1" thickBot="1">
      <c r="A39" s="6"/>
      <c r="B39" s="471" t="s">
        <v>399</v>
      </c>
      <c r="C39" s="95">
        <v>215750</v>
      </c>
      <c r="D39" s="472">
        <v>0</v>
      </c>
      <c r="E39" s="478"/>
      <c r="F39" s="96"/>
      <c r="G39" s="97"/>
      <c r="H39" s="6"/>
      <c r="I39" s="6"/>
      <c r="J39" s="98"/>
      <c r="K39" s="99"/>
      <c r="N39"/>
      <c r="O39"/>
      <c r="AE39" s="49"/>
      <c r="AF39" s="5"/>
    </row>
    <row r="40" spans="1:32" ht="14.25" customHeight="1" thickBot="1">
      <c r="A40" s="6"/>
      <c r="B40" s="471" t="s">
        <v>400</v>
      </c>
      <c r="C40" s="95">
        <v>20701</v>
      </c>
      <c r="D40" s="472">
        <v>5489.95</v>
      </c>
      <c r="E40" s="478"/>
      <c r="F40" s="96"/>
      <c r="G40" s="97"/>
      <c r="H40" s="6"/>
      <c r="I40" s="6"/>
      <c r="J40" s="6"/>
      <c r="K40" s="99"/>
      <c r="N40"/>
      <c r="O40"/>
      <c r="AE40" s="49"/>
      <c r="AF40" s="5"/>
    </row>
    <row r="41" spans="1:32" ht="15" thickBot="1">
      <c r="A41" s="6"/>
      <c r="B41" s="471" t="s">
        <v>401</v>
      </c>
      <c r="C41" s="95">
        <v>174000</v>
      </c>
      <c r="D41" s="472">
        <v>0</v>
      </c>
      <c r="E41" s="478"/>
      <c r="F41" s="101"/>
      <c r="G41" s="6"/>
      <c r="H41" s="6"/>
      <c r="I41" s="6"/>
      <c r="J41" s="6"/>
      <c r="K41" s="99"/>
      <c r="N41"/>
      <c r="O41"/>
      <c r="AE41" s="49"/>
      <c r="AF41" s="5"/>
    </row>
    <row r="42" spans="1:32" ht="15" thickBot="1">
      <c r="A42" s="6"/>
      <c r="B42" s="471" t="s">
        <v>168</v>
      </c>
      <c r="C42" s="95">
        <v>135085</v>
      </c>
      <c r="D42" s="472">
        <v>0</v>
      </c>
      <c r="E42" s="478"/>
      <c r="F42" s="101"/>
      <c r="G42" s="6"/>
      <c r="H42" s="6"/>
      <c r="I42" s="6"/>
      <c r="J42" s="6"/>
      <c r="K42" s="99"/>
      <c r="N42"/>
      <c r="O42"/>
      <c r="AE42" s="49"/>
      <c r="AF42" s="5"/>
    </row>
    <row r="43" spans="1:32" ht="15" thickBot="1">
      <c r="A43" s="6"/>
      <c r="B43" s="471" t="s">
        <v>402</v>
      </c>
      <c r="C43" s="95">
        <v>543473</v>
      </c>
      <c r="D43" s="472">
        <v>0</v>
      </c>
      <c r="E43" s="478"/>
      <c r="F43" s="101"/>
      <c r="G43" s="6"/>
      <c r="H43" s="6"/>
      <c r="I43" s="6"/>
      <c r="J43" s="6"/>
      <c r="K43" s="99"/>
      <c r="N43"/>
      <c r="O43"/>
      <c r="AE43" s="49"/>
      <c r="AF43" s="5"/>
    </row>
    <row r="44" spans="1:32" ht="15" thickBot="1">
      <c r="A44" s="6"/>
      <c r="B44" s="480" t="s">
        <v>403</v>
      </c>
      <c r="C44" s="95">
        <v>126423</v>
      </c>
      <c r="D44" s="472">
        <v>7647.34</v>
      </c>
      <c r="E44" s="478"/>
      <c r="F44" s="101"/>
      <c r="G44" s="6"/>
      <c r="H44" s="6"/>
      <c r="I44" s="6"/>
      <c r="J44" s="6"/>
      <c r="K44" s="99"/>
      <c r="N44"/>
      <c r="O44"/>
      <c r="AE44" s="49"/>
      <c r="AF44" s="5"/>
    </row>
    <row r="45" spans="1:32" ht="15" thickBot="1">
      <c r="A45" s="6"/>
      <c r="B45" s="471" t="s">
        <v>404</v>
      </c>
      <c r="C45" s="95">
        <v>55584</v>
      </c>
      <c r="D45" s="472">
        <v>0</v>
      </c>
      <c r="E45" s="478"/>
      <c r="F45" s="101"/>
      <c r="G45" s="6"/>
      <c r="H45" s="6"/>
      <c r="I45" s="6"/>
      <c r="J45" s="6"/>
      <c r="K45" s="99"/>
      <c r="N45"/>
      <c r="O45"/>
      <c r="AE45" s="49"/>
      <c r="AF45" s="5"/>
    </row>
    <row r="46" spans="1:32" ht="15" thickBot="1">
      <c r="A46" s="6"/>
      <c r="B46" s="471" t="s">
        <v>405</v>
      </c>
      <c r="C46" s="95">
        <v>98398</v>
      </c>
      <c r="D46" s="472">
        <v>18333.65</v>
      </c>
      <c r="E46" s="478"/>
      <c r="F46" s="101"/>
      <c r="G46" s="6"/>
      <c r="H46" s="6"/>
      <c r="I46" s="6"/>
      <c r="J46" s="6"/>
      <c r="K46" s="99"/>
      <c r="N46"/>
      <c r="O46"/>
      <c r="AE46" s="49"/>
      <c r="AF46" s="5"/>
    </row>
    <row r="47" spans="1:32" ht="15" thickBot="1">
      <c r="A47" s="6"/>
      <c r="B47" s="471" t="s">
        <v>406</v>
      </c>
      <c r="C47" s="95">
        <v>29754</v>
      </c>
      <c r="D47" s="472">
        <v>0</v>
      </c>
      <c r="E47" s="478"/>
      <c r="F47" s="101"/>
      <c r="G47" s="6"/>
      <c r="H47" s="6"/>
      <c r="I47" s="6"/>
      <c r="J47" s="6"/>
      <c r="K47" s="99"/>
      <c r="N47"/>
      <c r="O47"/>
      <c r="AE47" s="49"/>
      <c r="AF47" s="5"/>
    </row>
    <row r="48" spans="1:32" ht="15" customHeight="1" thickBot="1">
      <c r="A48" s="6"/>
      <c r="B48" s="471" t="s">
        <v>407</v>
      </c>
      <c r="C48" s="95">
        <v>595687</v>
      </c>
      <c r="D48" s="472">
        <v>1695.05</v>
      </c>
      <c r="E48" s="479"/>
      <c r="F48" s="102"/>
      <c r="G48" s="6"/>
      <c r="H48" s="6"/>
      <c r="I48" s="6"/>
      <c r="J48" s="6"/>
      <c r="K48" s="49"/>
      <c r="N48"/>
      <c r="O48"/>
      <c r="AE48" s="49"/>
      <c r="AF48" s="5"/>
    </row>
    <row r="49" spans="1:32" ht="15" thickBot="1">
      <c r="A49" s="6"/>
      <c r="B49" s="473" t="s">
        <v>273</v>
      </c>
      <c r="C49" s="474">
        <f>SUM(C39:C48)</f>
        <v>1994855</v>
      </c>
      <c r="D49" s="474">
        <f>SUM(D39:D48)</f>
        <v>33165.990000000005</v>
      </c>
      <c r="E49" s="84"/>
      <c r="F49" s="532" t="str">
        <f ca="1">+IF((ROUND(C49,0)=ROUND(OFFSET(B33,0,RIGHT('Introducción de datos'!$C$16,LEN('Introducción de datos'!$C$16)-1),1,1),0)),"OK: Datos corresponden","Atención: Datos no corresponden")</f>
        <v>OK: Datos corresponden</v>
      </c>
      <c r="G49" s="532"/>
      <c r="H49" s="532"/>
      <c r="I49" s="532"/>
      <c r="J49" s="104"/>
      <c r="K49" s="104"/>
      <c r="L49" s="104"/>
      <c r="M49" s="85"/>
      <c r="N49" s="86"/>
      <c r="O49" s="62"/>
      <c r="P49" s="60"/>
      <c r="AE49" s="5"/>
      <c r="AF49" s="5"/>
    </row>
    <row r="50" spans="1:19" ht="14.25">
      <c r="A50" s="6"/>
      <c r="B50" s="6"/>
      <c r="C50" s="104"/>
      <c r="D50" s="104"/>
      <c r="E50" s="105"/>
      <c r="F50" s="104"/>
      <c r="G50" s="104"/>
      <c r="H50" s="104"/>
      <c r="I50" s="104"/>
      <c r="J50" s="104"/>
      <c r="K50" s="104"/>
      <c r="L50" s="104"/>
      <c r="M50" s="104"/>
      <c r="N50" s="104"/>
      <c r="O50" s="104"/>
      <c r="P50" s="85"/>
      <c r="Q50" s="86"/>
      <c r="R50" s="62"/>
      <c r="S50" s="60"/>
    </row>
    <row r="51" spans="1:19" ht="18">
      <c r="A51" s="6"/>
      <c r="B51" s="59" t="s">
        <v>274</v>
      </c>
      <c r="C51" s="6"/>
      <c r="D51" s="6"/>
      <c r="E51" s="6"/>
      <c r="F51" s="6"/>
      <c r="G51" s="6"/>
      <c r="H51" s="6"/>
      <c r="I51" s="6"/>
      <c r="J51" s="6"/>
      <c r="K51" s="6"/>
      <c r="L51" s="6"/>
      <c r="M51" s="6"/>
      <c r="P51" s="60"/>
      <c r="Q51" s="61"/>
      <c r="R51" s="62">
        <f>+J33</f>
        <v>0</v>
      </c>
      <c r="S51" s="60"/>
    </row>
    <row r="52" spans="1:19" ht="15" thickBot="1">
      <c r="A52" s="6"/>
      <c r="B52" s="6"/>
      <c r="C52" s="97"/>
      <c r="D52" s="6"/>
      <c r="E52" s="6"/>
      <c r="F52" s="6"/>
      <c r="G52" s="6"/>
      <c r="H52" s="6"/>
      <c r="I52" s="6"/>
      <c r="J52" s="6"/>
      <c r="K52" s="6"/>
      <c r="L52" s="6"/>
      <c r="M52" s="6"/>
      <c r="P52" s="60"/>
      <c r="Q52" s="61"/>
      <c r="R52" s="62">
        <f>+K33</f>
        <v>0</v>
      </c>
      <c r="S52" s="60"/>
    </row>
    <row r="53" spans="1:34" ht="35.25" customHeight="1">
      <c r="A53" s="6"/>
      <c r="B53" s="106"/>
      <c r="C53" s="107" t="s">
        <v>275</v>
      </c>
      <c r="D53" s="107" t="s">
        <v>276</v>
      </c>
      <c r="E53" s="108" t="str">
        <f>CONCATENATE("Total gastado y desembolso (en ",D26,")")</f>
        <v>Total gastado y desembolso (en $)</v>
      </c>
      <c r="F53" s="6"/>
      <c r="G53" s="109"/>
      <c r="H53" s="92"/>
      <c r="I53" s="110"/>
      <c r="J53" s="110"/>
      <c r="K53" s="110"/>
      <c r="L53" s="110"/>
      <c r="M53" s="111"/>
      <c r="N53" s="111"/>
      <c r="O53" s="60"/>
      <c r="P53" s="61"/>
      <c r="Q53" s="62">
        <f>+M33</f>
        <v>0</v>
      </c>
      <c r="R53" s="60"/>
      <c r="AH53" s="49"/>
    </row>
    <row r="54" spans="1:34" ht="14.25">
      <c r="A54" s="6"/>
      <c r="B54" s="112" t="s">
        <v>410</v>
      </c>
      <c r="C54" s="95"/>
      <c r="D54" s="95">
        <v>2477274</v>
      </c>
      <c r="E54" s="113">
        <f>SUM(C54:D54)</f>
        <v>2477274</v>
      </c>
      <c r="F54" s="6"/>
      <c r="G54" s="114"/>
      <c r="H54" s="115"/>
      <c r="I54" s="116"/>
      <c r="J54" s="117"/>
      <c r="K54" s="117"/>
      <c r="L54" s="118"/>
      <c r="M54" s="118"/>
      <c r="N54" s="118"/>
      <c r="O54" s="60"/>
      <c r="P54" s="60"/>
      <c r="Q54" s="60"/>
      <c r="R54" s="60"/>
      <c r="AH54" s="49"/>
    </row>
    <row r="55" spans="1:34" ht="14.25">
      <c r="A55" s="6"/>
      <c r="B55" s="112" t="s">
        <v>277</v>
      </c>
      <c r="C55" s="95"/>
      <c r="D55" s="95">
        <v>33165.99</v>
      </c>
      <c r="E55" s="113">
        <f>SUM(C55:D55)</f>
        <v>33165.99</v>
      </c>
      <c r="F55" s="97"/>
      <c r="G55" s="119"/>
      <c r="H55" s="115"/>
      <c r="I55" s="116"/>
      <c r="J55" s="117"/>
      <c r="K55" s="117"/>
      <c r="L55" s="118"/>
      <c r="M55" s="120"/>
      <c r="N55" s="120"/>
      <c r="O55" s="60"/>
      <c r="P55" s="60"/>
      <c r="Q55" s="60"/>
      <c r="R55" s="60"/>
      <c r="AH55" s="49"/>
    </row>
    <row r="56" spans="1:34" ht="14.25">
      <c r="A56" s="6"/>
      <c r="B56" s="112" t="s">
        <v>278</v>
      </c>
      <c r="C56" s="95"/>
      <c r="D56" s="95">
        <v>1716064.92</v>
      </c>
      <c r="E56" s="113">
        <f>SUM(C56:D56)</f>
        <v>1716064.92</v>
      </c>
      <c r="F56" s="6"/>
      <c r="G56" s="114"/>
      <c r="H56" s="115"/>
      <c r="I56" s="116"/>
      <c r="J56" s="117"/>
      <c r="K56" s="117"/>
      <c r="L56" s="118"/>
      <c r="M56" s="118"/>
      <c r="N56" s="118"/>
      <c r="O56"/>
      <c r="AH56" s="49"/>
    </row>
    <row r="57" spans="1:34" ht="28.5">
      <c r="A57" s="6"/>
      <c r="B57" s="121" t="s">
        <v>409</v>
      </c>
      <c r="C57" s="95"/>
      <c r="D57" s="122">
        <f>+D54-D55</f>
        <v>2444108.01</v>
      </c>
      <c r="E57" s="113">
        <f>SUM(C57:D57)</f>
        <v>2444108.01</v>
      </c>
      <c r="F57" s="123"/>
      <c r="G57" s="539"/>
      <c r="H57" s="539"/>
      <c r="I57" s="124"/>
      <c r="J57" s="124"/>
      <c r="K57" s="124"/>
      <c r="L57" s="118"/>
      <c r="M57" s="120"/>
      <c r="N57" s="120"/>
      <c r="O57"/>
      <c r="AH57" s="49"/>
    </row>
    <row r="58" spans="1:35" ht="15.75" customHeight="1">
      <c r="A58" s="6"/>
      <c r="B58" s="6"/>
      <c r="C58" s="6"/>
      <c r="D58" s="6"/>
      <c r="E58" s="125"/>
      <c r="F58" s="126"/>
      <c r="G58" s="6"/>
      <c r="H58" s="6"/>
      <c r="I58" s="6"/>
      <c r="J58" s="6"/>
      <c r="K58" s="6"/>
      <c r="L58" s="6"/>
      <c r="M58" s="6"/>
      <c r="AI58" s="49"/>
    </row>
    <row r="59" spans="1:13" ht="14.25">
      <c r="A59" s="6"/>
      <c r="B59" s="6"/>
      <c r="C59" s="6"/>
      <c r="D59" s="6"/>
      <c r="E59" s="127"/>
      <c r="F59" s="6"/>
      <c r="G59" s="6"/>
      <c r="H59" s="6"/>
      <c r="I59" s="6"/>
      <c r="J59" s="6"/>
      <c r="K59" s="6"/>
      <c r="L59" s="6"/>
      <c r="M59" s="6"/>
    </row>
    <row r="60" spans="1:13" ht="18">
      <c r="A60" s="6"/>
      <c r="B60" s="59" t="s">
        <v>279</v>
      </c>
      <c r="C60" s="6"/>
      <c r="D60" s="6"/>
      <c r="E60" s="128"/>
      <c r="F60" s="6"/>
      <c r="G60" s="6"/>
      <c r="H60" s="6"/>
      <c r="I60" s="6"/>
      <c r="J60" s="6"/>
      <c r="K60" s="6"/>
      <c r="L60" s="6"/>
      <c r="M60" s="6"/>
    </row>
    <row r="61" spans="1:13" ht="14.25">
      <c r="A61" s="6"/>
      <c r="B61" s="6"/>
      <c r="C61" s="6"/>
      <c r="D61" s="6"/>
      <c r="E61" s="6"/>
      <c r="F61" s="6"/>
      <c r="G61" s="6"/>
      <c r="H61" s="6"/>
      <c r="I61" s="6"/>
      <c r="J61" s="6"/>
      <c r="K61" s="6"/>
      <c r="L61" s="6"/>
      <c r="M61" s="6"/>
    </row>
    <row r="62" spans="1:15" ht="15" customHeight="1">
      <c r="A62" s="6"/>
      <c r="B62" s="540" t="s">
        <v>280</v>
      </c>
      <c r="C62" s="540"/>
      <c r="D62" s="540"/>
      <c r="E62" s="6"/>
      <c r="F62" s="6"/>
      <c r="G62" s="6"/>
      <c r="H62" s="6"/>
      <c r="I62" s="6"/>
      <c r="J62" s="6"/>
      <c r="K62" s="6"/>
      <c r="L62" s="6"/>
      <c r="M62" s="5"/>
      <c r="O62"/>
    </row>
    <row r="63" spans="1:15" ht="14.25">
      <c r="A63" s="6"/>
      <c r="B63" s="129"/>
      <c r="C63" s="130" t="s">
        <v>281</v>
      </c>
      <c r="D63" s="131" t="s">
        <v>282</v>
      </c>
      <c r="E63" s="6"/>
      <c r="F63" s="6"/>
      <c r="G63" s="6"/>
      <c r="H63" s="6"/>
      <c r="I63" s="6"/>
      <c r="J63" s="6"/>
      <c r="K63" s="6"/>
      <c r="L63" s="6"/>
      <c r="M63" s="5"/>
      <c r="O63"/>
    </row>
    <row r="64" spans="1:15" ht="14.25">
      <c r="A64" s="6"/>
      <c r="B64" s="132" t="s">
        <v>283</v>
      </c>
      <c r="C64" s="133">
        <v>45</v>
      </c>
      <c r="D64" s="134">
        <v>45</v>
      </c>
      <c r="E64" s="6"/>
      <c r="F64" s="6"/>
      <c r="G64" s="6"/>
      <c r="H64" s="6"/>
      <c r="I64" s="6"/>
      <c r="J64" s="6"/>
      <c r="K64" s="6"/>
      <c r="L64" s="6"/>
      <c r="M64" s="5"/>
      <c r="O64"/>
    </row>
    <row r="65" spans="1:15" ht="14.25">
      <c r="A65" s="6"/>
      <c r="B65" s="135" t="s">
        <v>284</v>
      </c>
      <c r="C65" s="133">
        <v>45</v>
      </c>
      <c r="D65" s="134">
        <v>45</v>
      </c>
      <c r="E65" s="6"/>
      <c r="F65" s="6"/>
      <c r="G65" s="6"/>
      <c r="H65" s="115"/>
      <c r="I65" s="115"/>
      <c r="J65" s="6"/>
      <c r="K65" s="6"/>
      <c r="L65" s="6"/>
      <c r="M65" s="5"/>
      <c r="O65"/>
    </row>
    <row r="66" spans="1:15" ht="14.25">
      <c r="A66" s="6"/>
      <c r="B66" s="136" t="s">
        <v>285</v>
      </c>
      <c r="C66" s="137"/>
      <c r="D66" s="138"/>
      <c r="E66" s="6"/>
      <c r="F66" s="6"/>
      <c r="G66" s="6"/>
      <c r="H66" s="115"/>
      <c r="I66" s="115"/>
      <c r="J66" s="6"/>
      <c r="K66" s="6"/>
      <c r="L66" s="6"/>
      <c r="M66" s="5"/>
      <c r="O66"/>
    </row>
    <row r="67" spans="1:13" ht="14.25">
      <c r="A67" s="6"/>
      <c r="B67" s="6"/>
      <c r="C67" s="6"/>
      <c r="D67" s="6"/>
      <c r="E67" s="6"/>
      <c r="F67" s="6"/>
      <c r="G67" s="6"/>
      <c r="H67" s="6"/>
      <c r="I67" s="6"/>
      <c r="J67" s="6"/>
      <c r="K67" s="6"/>
      <c r="L67" s="6"/>
      <c r="M67" s="6"/>
    </row>
    <row r="68" spans="1:30" ht="14.25">
      <c r="A68" s="6"/>
      <c r="B68" s="6"/>
      <c r="C68" s="6"/>
      <c r="D68" s="6"/>
      <c r="E68" s="6"/>
      <c r="F68" s="6"/>
      <c r="G68" s="6"/>
      <c r="H68" s="6"/>
      <c r="I68" s="6"/>
      <c r="J68" s="6"/>
      <c r="K68" s="6"/>
      <c r="L68" s="139"/>
      <c r="M68" s="6"/>
      <c r="AC68" s="10"/>
      <c r="AD68" s="10"/>
    </row>
    <row r="69" spans="1:30" ht="18">
      <c r="A69" s="6"/>
      <c r="B69" s="140" t="s">
        <v>286</v>
      </c>
      <c r="C69" s="141"/>
      <c r="D69" s="141"/>
      <c r="E69" s="141"/>
      <c r="F69" s="141"/>
      <c r="G69" s="141"/>
      <c r="H69" s="142" t="s">
        <v>287</v>
      </c>
      <c r="I69" s="141"/>
      <c r="J69" s="143"/>
      <c r="K69" s="143"/>
      <c r="L69" s="144"/>
      <c r="M69" s="145"/>
      <c r="N69" s="146"/>
      <c r="O69" s="146"/>
      <c r="P69" s="146"/>
      <c r="S69" s="55"/>
      <c r="AC69" s="10"/>
      <c r="AD69" s="10"/>
    </row>
    <row r="70" spans="1:30" ht="18">
      <c r="A70" s="6"/>
      <c r="B70" s="147"/>
      <c r="C70" s="148"/>
      <c r="D70" s="148"/>
      <c r="E70" s="148"/>
      <c r="F70" s="148"/>
      <c r="G70" s="148"/>
      <c r="H70" s="148"/>
      <c r="I70" s="148"/>
      <c r="J70" s="148"/>
      <c r="K70" s="149"/>
      <c r="L70" s="149"/>
      <c r="M70" s="148"/>
      <c r="N70" s="146"/>
      <c r="O70" s="146"/>
      <c r="P70" s="146"/>
      <c r="S70" s="55"/>
      <c r="AC70" s="10"/>
      <c r="AD70" s="10"/>
    </row>
    <row r="71" spans="1:30" ht="18">
      <c r="A71" s="6"/>
      <c r="B71" s="150" t="s">
        <v>288</v>
      </c>
      <c r="C71" s="151"/>
      <c r="D71" s="151"/>
      <c r="E71" s="151"/>
      <c r="F71" s="148"/>
      <c r="G71" s="148"/>
      <c r="H71" s="148"/>
      <c r="I71" s="148"/>
      <c r="J71" s="148"/>
      <c r="K71" s="149"/>
      <c r="L71" s="149"/>
      <c r="M71" s="148"/>
      <c r="N71" s="146"/>
      <c r="O71" s="146"/>
      <c r="P71" s="146"/>
      <c r="S71" s="55"/>
      <c r="AC71" s="10"/>
      <c r="AD71" s="10"/>
    </row>
    <row r="72" spans="1:30" ht="15">
      <c r="A72" s="6"/>
      <c r="B72" s="152"/>
      <c r="C72" s="153"/>
      <c r="D72" s="153"/>
      <c r="E72" s="153"/>
      <c r="F72" s="153"/>
      <c r="G72" s="153"/>
      <c r="H72" s="152"/>
      <c r="I72" s="153"/>
      <c r="J72" s="152"/>
      <c r="K72" s="152"/>
      <c r="L72" s="152"/>
      <c r="M72" s="152"/>
      <c r="N72" s="49"/>
      <c r="O72" s="10"/>
      <c r="P72" s="10"/>
      <c r="Q72" s="10"/>
      <c r="R72" s="10"/>
      <c r="S72" s="10"/>
      <c r="AD72" s="10"/>
    </row>
    <row r="73" spans="1:19" ht="69.75" customHeight="1">
      <c r="A73" s="6"/>
      <c r="B73" s="541"/>
      <c r="C73" s="541"/>
      <c r="D73" s="154" t="s">
        <v>289</v>
      </c>
      <c r="E73" s="155" t="s">
        <v>290</v>
      </c>
      <c r="F73" s="155" t="s">
        <v>291</v>
      </c>
      <c r="G73" s="156" t="s">
        <v>273</v>
      </c>
      <c r="H73" s="157"/>
      <c r="I73" s="158"/>
      <c r="J73" s="100"/>
      <c r="K73" s="152"/>
      <c r="L73" s="152"/>
      <c r="M73" s="152"/>
      <c r="N73" s="49"/>
      <c r="O73" s="10"/>
      <c r="P73" s="10"/>
      <c r="Q73" s="10"/>
      <c r="R73" s="10"/>
      <c r="S73" s="10"/>
    </row>
    <row r="74" spans="1:19" ht="14.25">
      <c r="A74" s="6"/>
      <c r="B74" s="542" t="s">
        <v>292</v>
      </c>
      <c r="C74" s="542"/>
      <c r="D74" s="160">
        <v>1</v>
      </c>
      <c r="E74" s="160">
        <v>2</v>
      </c>
      <c r="F74" s="160">
        <v>0</v>
      </c>
      <c r="G74" s="161">
        <f>SUM(D74:F74)</f>
        <v>3</v>
      </c>
      <c r="H74" s="103"/>
      <c r="I74" s="162"/>
      <c r="J74" s="162"/>
      <c r="K74" s="152"/>
      <c r="L74" s="152"/>
      <c r="M74" s="152"/>
      <c r="N74" s="49"/>
      <c r="O74" s="10"/>
      <c r="P74" s="10"/>
      <c r="Q74" s="10"/>
      <c r="R74" s="10"/>
      <c r="S74" s="10"/>
    </row>
    <row r="75" spans="1:19" ht="15.75" customHeight="1">
      <c r="A75" s="6"/>
      <c r="B75" s="534" t="s">
        <v>293</v>
      </c>
      <c r="C75" s="534"/>
      <c r="D75" s="164">
        <v>3</v>
      </c>
      <c r="E75" s="164">
        <v>5</v>
      </c>
      <c r="F75" s="164">
        <v>5</v>
      </c>
      <c r="G75" s="165">
        <f>SUM(D75:F75)</f>
        <v>13</v>
      </c>
      <c r="H75" s="103"/>
      <c r="I75" s="100"/>
      <c r="J75" s="100"/>
      <c r="K75" s="152"/>
      <c r="L75" s="152"/>
      <c r="M75" s="152"/>
      <c r="N75" s="10"/>
      <c r="O75" s="10"/>
      <c r="P75" s="10"/>
      <c r="Q75" s="10"/>
      <c r="R75" s="10"/>
      <c r="S75" s="10"/>
    </row>
    <row r="76" spans="1:19" ht="14.25">
      <c r="A76" s="6"/>
      <c r="B76" s="152"/>
      <c r="C76" s="152"/>
      <c r="D76" s="152" t="s">
        <v>294</v>
      </c>
      <c r="E76" s="152"/>
      <c r="F76" s="152"/>
      <c r="G76" s="152"/>
      <c r="H76" s="152"/>
      <c r="I76" s="152"/>
      <c r="J76" s="152"/>
      <c r="K76" s="152"/>
      <c r="L76" s="152"/>
      <c r="M76" s="152"/>
      <c r="N76" s="10"/>
      <c r="O76" s="10"/>
      <c r="P76" s="10"/>
      <c r="Q76" s="10"/>
      <c r="R76" s="10"/>
      <c r="S76" s="10"/>
    </row>
    <row r="77" spans="1:19" ht="14.25">
      <c r="A77" s="6"/>
      <c r="B77" s="152"/>
      <c r="C77" s="152"/>
      <c r="D77" s="152"/>
      <c r="E77" s="152"/>
      <c r="F77" s="152"/>
      <c r="G77" s="152"/>
      <c r="H77" s="152"/>
      <c r="I77" s="152"/>
      <c r="J77" s="152"/>
      <c r="K77" s="152"/>
      <c r="L77" s="152"/>
      <c r="M77" s="152"/>
      <c r="N77" s="10"/>
      <c r="O77" s="10"/>
      <c r="P77" s="10"/>
      <c r="S77" s="10"/>
    </row>
    <row r="78" spans="1:19" ht="18">
      <c r="A78" s="6"/>
      <c r="B78" s="150" t="s">
        <v>295</v>
      </c>
      <c r="C78" s="166"/>
      <c r="D78" s="166"/>
      <c r="E78" s="152"/>
      <c r="F78" s="152"/>
      <c r="G78" s="152"/>
      <c r="H78" s="152"/>
      <c r="I78" s="152"/>
      <c r="J78" s="152"/>
      <c r="K78" s="152"/>
      <c r="L78" s="152"/>
      <c r="M78" s="152"/>
      <c r="N78" s="10"/>
      <c r="O78" s="10"/>
      <c r="P78" s="10"/>
      <c r="S78" s="10"/>
    </row>
    <row r="79" spans="1:19" ht="14.25">
      <c r="A79" s="6"/>
      <c r="B79" s="152"/>
      <c r="C79" s="152"/>
      <c r="D79" s="152"/>
      <c r="E79" s="152"/>
      <c r="F79" s="152"/>
      <c r="G79" s="152"/>
      <c r="H79" s="152"/>
      <c r="I79" s="152"/>
      <c r="J79" s="152"/>
      <c r="K79" s="152"/>
      <c r="L79" s="152"/>
      <c r="M79" s="152"/>
      <c r="N79" s="10"/>
      <c r="O79" s="10"/>
      <c r="P79" s="10"/>
      <c r="S79" s="10"/>
    </row>
    <row r="80" spans="1:19" ht="14.25">
      <c r="A80" s="6"/>
      <c r="B80" s="167"/>
      <c r="C80" s="168" t="s">
        <v>296</v>
      </c>
      <c r="D80" s="168" t="s">
        <v>297</v>
      </c>
      <c r="E80" s="169" t="s">
        <v>298</v>
      </c>
      <c r="F80" s="100"/>
      <c r="G80" s="100"/>
      <c r="H80" s="100"/>
      <c r="I80" s="158"/>
      <c r="J80" s="152"/>
      <c r="K80" s="152"/>
      <c r="L80" s="152"/>
      <c r="M80" s="152"/>
      <c r="N80" s="10"/>
      <c r="O80" s="10"/>
      <c r="P80" s="10"/>
      <c r="S80" s="10"/>
    </row>
    <row r="81" spans="1:19" ht="14.25">
      <c r="A81" s="6"/>
      <c r="B81" s="163" t="s">
        <v>299</v>
      </c>
      <c r="C81" s="170">
        <v>0</v>
      </c>
      <c r="D81" s="170">
        <v>0</v>
      </c>
      <c r="E81" s="171">
        <f>+C81-D81</f>
        <v>0</v>
      </c>
      <c r="F81" s="172"/>
      <c r="G81" s="173"/>
      <c r="H81" s="100"/>
      <c r="I81" s="162"/>
      <c r="J81" s="152"/>
      <c r="K81" s="152"/>
      <c r="L81" s="152"/>
      <c r="M81" s="152"/>
      <c r="N81" s="10"/>
      <c r="O81" s="10"/>
      <c r="P81" s="10"/>
      <c r="S81" s="10"/>
    </row>
    <row r="82" spans="1:19" ht="14.25">
      <c r="A82" s="6"/>
      <c r="B82" s="152"/>
      <c r="C82" s="152"/>
      <c r="D82" s="152"/>
      <c r="E82" s="152"/>
      <c r="F82" s="152"/>
      <c r="G82" s="152"/>
      <c r="H82" s="152"/>
      <c r="I82" s="152"/>
      <c r="J82" s="152"/>
      <c r="K82" s="152"/>
      <c r="L82" s="152"/>
      <c r="M82" s="152"/>
      <c r="N82" s="10"/>
      <c r="O82" s="10"/>
      <c r="P82" s="10"/>
      <c r="S82" s="10"/>
    </row>
    <row r="83" spans="1:19" ht="18">
      <c r="A83" s="6"/>
      <c r="B83" s="150" t="s">
        <v>300</v>
      </c>
      <c r="C83" s="166"/>
      <c r="D83" s="152"/>
      <c r="E83" s="152"/>
      <c r="F83" s="152"/>
      <c r="G83" s="152"/>
      <c r="H83" s="152"/>
      <c r="I83" s="152"/>
      <c r="J83" s="152"/>
      <c r="K83" s="152"/>
      <c r="L83" s="152"/>
      <c r="M83" s="152"/>
      <c r="N83" s="10"/>
      <c r="O83" s="10"/>
      <c r="P83" s="10"/>
      <c r="S83" s="10"/>
    </row>
    <row r="84" spans="1:19" ht="14.25">
      <c r="A84" s="6"/>
      <c r="B84" s="152"/>
      <c r="C84" s="152"/>
      <c r="D84" s="152"/>
      <c r="E84" s="152"/>
      <c r="F84" s="152"/>
      <c r="G84" s="152"/>
      <c r="H84" s="152"/>
      <c r="I84" s="152"/>
      <c r="J84" s="152"/>
      <c r="K84" s="152"/>
      <c r="L84" s="152"/>
      <c r="M84" s="152"/>
      <c r="N84" s="10"/>
      <c r="O84" s="10"/>
      <c r="P84" s="10"/>
      <c r="S84" s="10"/>
    </row>
    <row r="85" spans="1:19" ht="28.5">
      <c r="A85" s="6"/>
      <c r="B85" s="167"/>
      <c r="C85" s="168" t="s">
        <v>301</v>
      </c>
      <c r="D85" s="168" t="s">
        <v>302</v>
      </c>
      <c r="E85" s="168" t="s">
        <v>303</v>
      </c>
      <c r="F85" s="168" t="s">
        <v>304</v>
      </c>
      <c r="G85" s="174" t="s">
        <v>305</v>
      </c>
      <c r="H85" s="175"/>
      <c r="I85" s="158"/>
      <c r="J85" s="152"/>
      <c r="K85" s="152"/>
      <c r="L85" s="152"/>
      <c r="M85" s="152"/>
      <c r="N85" s="10"/>
      <c r="O85" s="10"/>
      <c r="P85" s="10"/>
      <c r="S85" s="10"/>
    </row>
    <row r="86" spans="1:19" ht="14.25">
      <c r="A86" s="6"/>
      <c r="B86" s="163" t="s">
        <v>306</v>
      </c>
      <c r="C86" s="170" t="s">
        <v>307</v>
      </c>
      <c r="D86" s="170" t="s">
        <v>307</v>
      </c>
      <c r="E86" s="170" t="s">
        <v>307</v>
      </c>
      <c r="F86" s="170" t="s">
        <v>307</v>
      </c>
      <c r="G86" s="176" t="s">
        <v>307</v>
      </c>
      <c r="H86" s="177"/>
      <c r="I86" s="103"/>
      <c r="J86" s="152"/>
      <c r="K86" s="152"/>
      <c r="L86" s="152"/>
      <c r="M86" s="152"/>
      <c r="N86" s="10"/>
      <c r="O86" s="10"/>
      <c r="P86" s="10"/>
      <c r="S86" s="10"/>
    </row>
    <row r="87" spans="1:19" ht="14.25">
      <c r="A87" s="6"/>
      <c r="B87" s="152"/>
      <c r="C87" s="152"/>
      <c r="D87" s="152"/>
      <c r="E87" s="152"/>
      <c r="F87" s="152"/>
      <c r="G87" s="152"/>
      <c r="H87" s="152"/>
      <c r="J87" s="152"/>
      <c r="K87" s="152"/>
      <c r="L87" s="152"/>
      <c r="M87" s="152"/>
      <c r="N87" s="10"/>
      <c r="O87" s="10"/>
      <c r="P87" s="10"/>
      <c r="S87" s="10"/>
    </row>
    <row r="88" spans="1:19" ht="18">
      <c r="A88" s="6"/>
      <c r="B88" s="150" t="s">
        <v>308</v>
      </c>
      <c r="C88" s="166"/>
      <c r="D88" s="166"/>
      <c r="E88" s="152"/>
      <c r="F88" s="152"/>
      <c r="G88" s="152"/>
      <c r="H88" s="152"/>
      <c r="I88" s="152"/>
      <c r="J88" s="152"/>
      <c r="K88" s="152"/>
      <c r="L88" s="152"/>
      <c r="M88" s="152"/>
      <c r="N88" s="10"/>
      <c r="O88" s="10"/>
      <c r="P88" s="10"/>
      <c r="S88" s="10"/>
    </row>
    <row r="89" spans="1:19" ht="14.25">
      <c r="A89" s="6"/>
      <c r="B89" s="152"/>
      <c r="C89" s="152"/>
      <c r="D89" s="152"/>
      <c r="E89" s="152"/>
      <c r="F89" s="152"/>
      <c r="G89" s="152"/>
      <c r="H89" s="152"/>
      <c r="I89" s="152"/>
      <c r="J89" s="152"/>
      <c r="K89" s="152"/>
      <c r="L89" s="152"/>
      <c r="M89" s="152"/>
      <c r="N89" s="10"/>
      <c r="O89" s="10"/>
      <c r="P89" s="10"/>
      <c r="S89" s="10"/>
    </row>
    <row r="90" spans="1:36" ht="14.25">
      <c r="A90" s="6"/>
      <c r="B90" s="167"/>
      <c r="C90" s="178" t="s">
        <v>309</v>
      </c>
      <c r="D90" s="178" t="s">
        <v>310</v>
      </c>
      <c r="E90" s="179" t="s">
        <v>311</v>
      </c>
      <c r="F90" s="152"/>
      <c r="G90" s="152"/>
      <c r="H90" s="152"/>
      <c r="I90" s="152"/>
      <c r="J90" s="10"/>
      <c r="K90" s="10"/>
      <c r="L90" s="10"/>
      <c r="N90"/>
      <c r="O90" s="10"/>
      <c r="AG90" s="5"/>
      <c r="AJ90"/>
    </row>
    <row r="91" spans="1:36" ht="14.25">
      <c r="A91" s="6"/>
      <c r="B91" s="159" t="s">
        <v>312</v>
      </c>
      <c r="C91" s="160" t="s">
        <v>307</v>
      </c>
      <c r="D91" s="180" t="s">
        <v>307</v>
      </c>
      <c r="E91" s="181" t="s">
        <v>307</v>
      </c>
      <c r="F91" s="152"/>
      <c r="G91" s="152"/>
      <c r="H91" s="152"/>
      <c r="I91" s="152"/>
      <c r="J91" s="10"/>
      <c r="K91" s="10"/>
      <c r="L91" s="10"/>
      <c r="N91"/>
      <c r="O91" s="10"/>
      <c r="AG91" s="5"/>
      <c r="AJ91"/>
    </row>
    <row r="92" spans="1:36" ht="14.25">
      <c r="A92" s="6"/>
      <c r="B92" s="163" t="s">
        <v>313</v>
      </c>
      <c r="C92" s="164" t="s">
        <v>307</v>
      </c>
      <c r="D92" s="182" t="s">
        <v>307</v>
      </c>
      <c r="E92" s="181" t="s">
        <v>307</v>
      </c>
      <c r="F92" s="152"/>
      <c r="G92" s="152"/>
      <c r="H92" s="152"/>
      <c r="I92" s="152"/>
      <c r="J92" s="10"/>
      <c r="K92" s="10"/>
      <c r="L92" s="10"/>
      <c r="N92"/>
      <c r="O92" s="10"/>
      <c r="AG92" s="5"/>
      <c r="AJ92"/>
    </row>
    <row r="93" spans="1:19" ht="14.25">
      <c r="A93" s="6"/>
      <c r="B93" s="152"/>
      <c r="C93" s="152"/>
      <c r="D93" s="152"/>
      <c r="E93" s="152"/>
      <c r="F93" s="152"/>
      <c r="G93" s="152"/>
      <c r="H93" s="152"/>
      <c r="I93" s="152"/>
      <c r="J93" s="152"/>
      <c r="K93" s="152"/>
      <c r="L93" s="152"/>
      <c r="M93" s="152"/>
      <c r="N93" s="10"/>
      <c r="O93" s="10"/>
      <c r="P93" s="10"/>
      <c r="S93" s="10"/>
    </row>
    <row r="94" spans="1:19" ht="18">
      <c r="A94" s="6"/>
      <c r="B94" s="150" t="s">
        <v>314</v>
      </c>
      <c r="C94" s="166"/>
      <c r="D94" s="166"/>
      <c r="E94" s="166"/>
      <c r="F94" s="166"/>
      <c r="G94" s="166"/>
      <c r="H94" s="152"/>
      <c r="I94" s="152"/>
      <c r="J94" s="152"/>
      <c r="K94" s="152"/>
      <c r="L94" s="152"/>
      <c r="M94" s="152"/>
      <c r="N94" s="10"/>
      <c r="O94" s="10"/>
      <c r="P94" s="10"/>
      <c r="S94" s="10"/>
    </row>
    <row r="95" spans="1:19" ht="14.25">
      <c r="A95" s="6"/>
      <c r="B95" s="152"/>
      <c r="C95" s="152"/>
      <c r="D95" s="152"/>
      <c r="E95" s="152"/>
      <c r="F95" s="152"/>
      <c r="G95" s="152"/>
      <c r="H95" s="152"/>
      <c r="I95" s="100"/>
      <c r="J95" s="100"/>
      <c r="K95" s="100"/>
      <c r="L95" s="100"/>
      <c r="M95" s="100"/>
      <c r="N95" s="49"/>
      <c r="O95" s="49"/>
      <c r="P95" s="49"/>
      <c r="S95" s="10"/>
    </row>
    <row r="96" spans="1:19" ht="14.25">
      <c r="A96" s="6"/>
      <c r="B96" s="477" t="s">
        <v>398</v>
      </c>
      <c r="C96" s="183" t="s">
        <v>242</v>
      </c>
      <c r="D96" s="183" t="s">
        <v>259</v>
      </c>
      <c r="E96" s="183" t="s">
        <v>260</v>
      </c>
      <c r="F96" s="183" t="s">
        <v>261</v>
      </c>
      <c r="G96" s="183" t="s">
        <v>262</v>
      </c>
      <c r="H96" s="183" t="s">
        <v>263</v>
      </c>
      <c r="I96" s="183" t="s">
        <v>264</v>
      </c>
      <c r="J96" s="183" t="s">
        <v>265</v>
      </c>
      <c r="K96" s="183" t="s">
        <v>266</v>
      </c>
      <c r="L96" s="183" t="s">
        <v>267</v>
      </c>
      <c r="M96" s="183" t="s">
        <v>268</v>
      </c>
      <c r="N96" s="184" t="s">
        <v>269</v>
      </c>
      <c r="O96" s="49"/>
      <c r="P96" s="49"/>
      <c r="S96" s="10"/>
    </row>
    <row r="97" spans="1:19" ht="15" customHeight="1">
      <c r="A97" s="6"/>
      <c r="B97" s="476" t="s">
        <v>397</v>
      </c>
      <c r="C97" s="186">
        <f>51146+1054095.46+196281</f>
        <v>1301522.46</v>
      </c>
      <c r="D97" s="186"/>
      <c r="E97" s="186"/>
      <c r="F97" s="186"/>
      <c r="G97" s="186"/>
      <c r="H97" s="187"/>
      <c r="I97" s="187"/>
      <c r="J97" s="187"/>
      <c r="K97" s="187"/>
      <c r="L97" s="187"/>
      <c r="M97" s="187"/>
      <c r="N97" s="187"/>
      <c r="O97" s="49"/>
      <c r="P97" s="49"/>
      <c r="S97" s="10"/>
    </row>
    <row r="98" spans="1:19" ht="15" customHeight="1">
      <c r="A98" s="6"/>
      <c r="B98" s="185" t="s">
        <v>315</v>
      </c>
      <c r="C98" s="186">
        <f>522085.14+164537.86+6869.45</f>
        <v>693492.45</v>
      </c>
      <c r="D98" s="186"/>
      <c r="E98" s="186"/>
      <c r="F98" s="186"/>
      <c r="G98" s="186"/>
      <c r="H98" s="187"/>
      <c r="I98" s="187"/>
      <c r="J98" s="187"/>
      <c r="K98" s="187"/>
      <c r="L98" s="187"/>
      <c r="M98" s="187"/>
      <c r="N98" s="187"/>
      <c r="O98" s="49"/>
      <c r="P98" s="49"/>
      <c r="S98" s="10"/>
    </row>
    <row r="99" spans="1:19" ht="15" customHeight="1">
      <c r="A99" s="6"/>
      <c r="B99" s="185" t="s">
        <v>316</v>
      </c>
      <c r="C99" s="186">
        <v>0</v>
      </c>
      <c r="D99" s="186"/>
      <c r="E99" s="186"/>
      <c r="F99" s="186"/>
      <c r="G99" s="186"/>
      <c r="H99" s="186"/>
      <c r="I99" s="187"/>
      <c r="J99" s="187"/>
      <c r="K99" s="187"/>
      <c r="L99" s="187"/>
      <c r="M99" s="187"/>
      <c r="N99" s="187"/>
      <c r="O99" s="49"/>
      <c r="P99" s="49"/>
      <c r="S99" s="10"/>
    </row>
    <row r="100" spans="1:19" ht="15" customHeight="1">
      <c r="A100" s="6"/>
      <c r="B100" s="188" t="s">
        <v>317</v>
      </c>
      <c r="C100" s="189">
        <f>+C97</f>
        <v>1301522.46</v>
      </c>
      <c r="D100" s="189"/>
      <c r="E100" s="189"/>
      <c r="F100" s="189"/>
      <c r="G100" s="189"/>
      <c r="H100" s="189"/>
      <c r="I100" s="190"/>
      <c r="J100" s="190"/>
      <c r="K100" s="190"/>
      <c r="L100" s="190"/>
      <c r="M100" s="190"/>
      <c r="N100" s="190"/>
      <c r="O100" s="49"/>
      <c r="P100" s="49"/>
      <c r="S100" s="10"/>
    </row>
    <row r="101" spans="1:19" ht="15" customHeight="1">
      <c r="A101" s="6"/>
      <c r="B101" s="188" t="s">
        <v>318</v>
      </c>
      <c r="C101" s="189">
        <f>+C98</f>
        <v>693492.45</v>
      </c>
      <c r="D101" s="189"/>
      <c r="E101" s="189"/>
      <c r="F101" s="189"/>
      <c r="G101" s="189"/>
      <c r="H101" s="189"/>
      <c r="I101" s="191"/>
      <c r="J101" s="191"/>
      <c r="K101" s="191"/>
      <c r="L101" s="191"/>
      <c r="M101" s="191"/>
      <c r="N101" s="191"/>
      <c r="O101" s="49"/>
      <c r="P101" s="49"/>
      <c r="S101" s="10"/>
    </row>
    <row r="102" spans="1:19" ht="14.25">
      <c r="A102" s="6"/>
      <c r="B102" s="192" t="s">
        <v>319</v>
      </c>
      <c r="C102" s="189">
        <f>+C99</f>
        <v>0</v>
      </c>
      <c r="D102" s="189"/>
      <c r="E102" s="189"/>
      <c r="F102" s="189"/>
      <c r="G102" s="189"/>
      <c r="H102" s="189"/>
      <c r="I102" s="191"/>
      <c r="J102" s="191"/>
      <c r="K102" s="191"/>
      <c r="L102" s="191"/>
      <c r="M102" s="191"/>
      <c r="N102" s="191"/>
      <c r="O102" s="49"/>
      <c r="P102" s="49"/>
      <c r="S102" s="10"/>
    </row>
    <row r="103" spans="1:19" ht="14.25">
      <c r="A103" s="6"/>
      <c r="B103" s="6"/>
      <c r="C103" s="152"/>
      <c r="D103" s="152"/>
      <c r="E103" s="152"/>
      <c r="F103" s="152" t="s">
        <v>320</v>
      </c>
      <c r="G103" s="152"/>
      <c r="H103" s="152"/>
      <c r="I103" s="100"/>
      <c r="J103" s="193"/>
      <c r="K103" s="194"/>
      <c r="L103" s="100"/>
      <c r="M103" s="195"/>
      <c r="N103" s="49"/>
      <c r="O103" s="49"/>
      <c r="P103" s="49"/>
      <c r="S103" s="10"/>
    </row>
    <row r="104" spans="1:19" ht="14.25">
      <c r="A104" s="6"/>
      <c r="B104" s="196" t="s">
        <v>321</v>
      </c>
      <c r="C104" s="152"/>
      <c r="D104" s="152"/>
      <c r="E104" s="152"/>
      <c r="F104" s="152"/>
      <c r="G104" s="152"/>
      <c r="H104" s="152"/>
      <c r="I104" s="100"/>
      <c r="J104" s="193"/>
      <c r="K104" s="194"/>
      <c r="L104" s="100"/>
      <c r="M104" s="195"/>
      <c r="N104" s="49"/>
      <c r="O104" s="49"/>
      <c r="P104" s="49"/>
      <c r="S104" s="10"/>
    </row>
    <row r="105" spans="1:19" ht="14.25">
      <c r="A105" s="6"/>
      <c r="C105" s="152"/>
      <c r="D105" s="152"/>
      <c r="E105" s="152"/>
      <c r="F105" s="152"/>
      <c r="G105" s="152"/>
      <c r="H105" s="152"/>
      <c r="I105" s="100"/>
      <c r="J105" s="193"/>
      <c r="K105" s="195"/>
      <c r="L105" s="100"/>
      <c r="M105" s="195"/>
      <c r="N105" s="49"/>
      <c r="O105" s="49"/>
      <c r="P105" s="49"/>
      <c r="S105" s="10"/>
    </row>
    <row r="106" spans="1:16" ht="14.25">
      <c r="A106" s="6"/>
      <c r="B106" s="6"/>
      <c r="C106" s="6"/>
      <c r="D106" s="6"/>
      <c r="E106" s="6"/>
      <c r="F106" s="6"/>
      <c r="G106" s="6"/>
      <c r="H106" s="6"/>
      <c r="I106" s="100"/>
      <c r="J106" s="100"/>
      <c r="K106" s="100"/>
      <c r="L106" s="100"/>
      <c r="M106" s="100"/>
      <c r="N106" s="49"/>
      <c r="O106" s="49"/>
      <c r="P106" s="49"/>
    </row>
    <row r="107" spans="1:16" ht="18">
      <c r="A107" s="6"/>
      <c r="B107" s="150" t="s">
        <v>322</v>
      </c>
      <c r="C107" s="197"/>
      <c r="D107" s="197"/>
      <c r="E107" s="197"/>
      <c r="F107" s="6"/>
      <c r="G107" s="6"/>
      <c r="H107" s="6"/>
      <c r="I107" s="100"/>
      <c r="J107" s="100"/>
      <c r="K107" s="100"/>
      <c r="L107" s="100"/>
      <c r="M107" s="100"/>
      <c r="N107" s="49"/>
      <c r="O107" s="49"/>
      <c r="P107" s="49"/>
    </row>
    <row r="108" spans="1:19" ht="14.25">
      <c r="A108" s="6"/>
      <c r="B108" s="6"/>
      <c r="C108" s="100"/>
      <c r="D108" s="100"/>
      <c r="E108" s="100"/>
      <c r="F108" s="100"/>
      <c r="G108" s="152"/>
      <c r="H108" s="152"/>
      <c r="I108" s="152"/>
      <c r="J108" s="100"/>
      <c r="K108" s="152"/>
      <c r="L108" s="100"/>
      <c r="M108" s="100"/>
      <c r="N108" s="49"/>
      <c r="O108" s="49"/>
      <c r="P108" s="49"/>
      <c r="Q108" s="10"/>
      <c r="S108" s="49"/>
    </row>
    <row r="109" spans="1:18" ht="135" customHeight="1">
      <c r="A109" s="6"/>
      <c r="B109" s="198" t="s">
        <v>323</v>
      </c>
      <c r="C109" s="199" t="s">
        <v>324</v>
      </c>
      <c r="D109" s="200" t="s">
        <v>325</v>
      </c>
      <c r="E109" s="200" t="s">
        <v>326</v>
      </c>
      <c r="F109" s="201" t="s">
        <v>327</v>
      </c>
      <c r="G109" s="201" t="s">
        <v>328</v>
      </c>
      <c r="H109" s="200" t="s">
        <v>329</v>
      </c>
      <c r="I109" s="200" t="s">
        <v>330</v>
      </c>
      <c r="J109" s="200" t="s">
        <v>331</v>
      </c>
      <c r="K109" s="202" t="s">
        <v>332</v>
      </c>
      <c r="L109" s="152"/>
      <c r="M109" s="49"/>
      <c r="N109" s="49"/>
      <c r="O109" s="49"/>
      <c r="P109" s="10"/>
      <c r="R109" s="49"/>
    </row>
    <row r="110" spans="1:18" ht="49.5" customHeight="1">
      <c r="A110" s="6"/>
      <c r="B110" s="535" t="s">
        <v>333</v>
      </c>
      <c r="C110" s="203" t="s">
        <v>334</v>
      </c>
      <c r="D110" s="204">
        <v>1</v>
      </c>
      <c r="E110" s="205">
        <v>30</v>
      </c>
      <c r="F110" s="206">
        <v>4057</v>
      </c>
      <c r="G110" s="207">
        <v>121710</v>
      </c>
      <c r="H110" s="204">
        <v>1095960</v>
      </c>
      <c r="I110" s="208">
        <f>H110/G110</f>
        <v>9.004683263495194</v>
      </c>
      <c r="J110" s="204">
        <v>6</v>
      </c>
      <c r="K110" s="208">
        <f>I110-J110</f>
        <v>3.0046832634951937</v>
      </c>
      <c r="L110" s="152"/>
      <c r="M110" s="49"/>
      <c r="N110" s="49"/>
      <c r="O110" s="49"/>
      <c r="P110" s="10"/>
      <c r="R110" s="49"/>
    </row>
    <row r="111" spans="1:16" ht="14.25">
      <c r="A111" s="6"/>
      <c r="B111" s="535"/>
      <c r="C111" s="209"/>
      <c r="D111" s="210"/>
      <c r="E111" s="211"/>
      <c r="F111" s="212"/>
      <c r="G111" s="213"/>
      <c r="H111" s="212"/>
      <c r="I111" s="214"/>
      <c r="J111" s="204"/>
      <c r="K111" s="215"/>
      <c r="L111" s="152"/>
      <c r="M111" s="49"/>
      <c r="N111" s="49"/>
      <c r="O111" s="49"/>
      <c r="P111" s="10"/>
    </row>
    <row r="112" spans="1:19" ht="14.25">
      <c r="A112" s="6"/>
      <c r="B112" s="6"/>
      <c r="C112" s="6"/>
      <c r="D112" s="6"/>
      <c r="E112" s="6"/>
      <c r="F112" s="6"/>
      <c r="G112" s="152"/>
      <c r="H112" s="152"/>
      <c r="I112" s="152"/>
      <c r="J112" s="6"/>
      <c r="K112" s="6"/>
      <c r="L112" s="152"/>
      <c r="M112" s="152"/>
      <c r="N112" s="49"/>
      <c r="O112" s="49"/>
      <c r="P112" s="49"/>
      <c r="Q112" s="10"/>
      <c r="S112" s="49"/>
    </row>
    <row r="113" spans="1:13" ht="14.25">
      <c r="A113" s="6"/>
      <c r="B113" s="6"/>
      <c r="C113" s="6"/>
      <c r="D113" s="6"/>
      <c r="E113" s="6"/>
      <c r="F113" s="6"/>
      <c r="G113" s="6"/>
      <c r="H113" s="6"/>
      <c r="I113" s="152"/>
      <c r="J113" s="148"/>
      <c r="K113" s="148"/>
      <c r="L113" s="6"/>
      <c r="M113" s="6"/>
    </row>
    <row r="114" spans="1:17" ht="18">
      <c r="A114" s="6"/>
      <c r="B114" s="216" t="s">
        <v>335</v>
      </c>
      <c r="C114" s="217"/>
      <c r="D114" s="217"/>
      <c r="E114" s="218"/>
      <c r="F114" s="218"/>
      <c r="G114" s="218"/>
      <c r="H114" s="219"/>
      <c r="I114" s="220"/>
      <c r="J114" s="221"/>
      <c r="K114" s="222" t="s">
        <v>336</v>
      </c>
      <c r="L114" s="218"/>
      <c r="M114" s="223"/>
      <c r="N114" s="224"/>
      <c r="O114" s="224"/>
      <c r="P114" s="225"/>
      <c r="Q114" s="5"/>
    </row>
    <row r="115" spans="1:17" ht="14.25">
      <c r="A115" s="6"/>
      <c r="B115" s="6"/>
      <c r="C115" s="6"/>
      <c r="D115" s="6"/>
      <c r="E115" s="6"/>
      <c r="F115" s="6"/>
      <c r="G115" s="6"/>
      <c r="H115" s="6"/>
      <c r="I115" s="6"/>
      <c r="J115" s="6"/>
      <c r="K115" s="6"/>
      <c r="L115" s="6"/>
      <c r="M115" s="6"/>
      <c r="N115"/>
      <c r="O115"/>
      <c r="P115" s="5"/>
      <c r="Q115" s="5"/>
    </row>
    <row r="116" spans="1:20" ht="42" customHeight="1">
      <c r="A116" s="6"/>
      <c r="B116" s="536" t="s">
        <v>337</v>
      </c>
      <c r="C116" s="536"/>
      <c r="D116" s="536"/>
      <c r="E116" s="226" t="s">
        <v>338</v>
      </c>
      <c r="F116" s="227" t="s">
        <v>339</v>
      </c>
      <c r="G116" s="228"/>
      <c r="H116" s="229" t="s">
        <v>242</v>
      </c>
      <c r="I116" s="229" t="s">
        <v>259</v>
      </c>
      <c r="J116" s="229" t="s">
        <v>260</v>
      </c>
      <c r="K116" s="229" t="s">
        <v>261</v>
      </c>
      <c r="L116" s="229" t="s">
        <v>262</v>
      </c>
      <c r="M116" s="229" t="s">
        <v>263</v>
      </c>
      <c r="N116" s="229" t="s">
        <v>264</v>
      </c>
      <c r="O116" s="229" t="s">
        <v>265</v>
      </c>
      <c r="P116" s="229" t="s">
        <v>266</v>
      </c>
      <c r="Q116" s="229" t="s">
        <v>267</v>
      </c>
      <c r="R116" s="229" t="s">
        <v>268</v>
      </c>
      <c r="S116" s="230" t="s">
        <v>269</v>
      </c>
      <c r="T116" s="230" t="s">
        <v>340</v>
      </c>
    </row>
    <row r="117" spans="1:20" ht="14.25">
      <c r="A117" s="6"/>
      <c r="B117" s="231"/>
      <c r="C117" s="232"/>
      <c r="D117" s="232"/>
      <c r="E117" s="233"/>
      <c r="F117" s="234"/>
      <c r="G117" s="235"/>
      <c r="H117" s="236"/>
      <c r="I117" s="236"/>
      <c r="J117" s="236"/>
      <c r="K117" s="236"/>
      <c r="L117" s="236"/>
      <c r="M117" s="236"/>
      <c r="N117" s="236"/>
      <c r="O117" s="236"/>
      <c r="P117" s="236"/>
      <c r="Q117" s="236"/>
      <c r="R117" s="236"/>
      <c r="S117" s="237"/>
      <c r="T117" s="237"/>
    </row>
    <row r="118" spans="1:21" ht="85.5" customHeight="1">
      <c r="A118" s="537" t="s">
        <v>341</v>
      </c>
      <c r="B118" s="538" t="s">
        <v>342</v>
      </c>
      <c r="C118" s="538"/>
      <c r="D118" s="538"/>
      <c r="E118" s="543" t="s">
        <v>343</v>
      </c>
      <c r="F118" s="544" t="s">
        <v>344</v>
      </c>
      <c r="G118" s="238" t="s">
        <v>345</v>
      </c>
      <c r="H118" s="239">
        <v>10799</v>
      </c>
      <c r="I118" s="240"/>
      <c r="J118" s="241"/>
      <c r="K118" s="242"/>
      <c r="L118" s="239"/>
      <c r="M118" s="239"/>
      <c r="N118"/>
      <c r="O118" s="243"/>
      <c r="P118" s="243"/>
      <c r="Q118" s="243"/>
      <c r="R118" s="243"/>
      <c r="S118" s="244"/>
      <c r="T118" s="545" t="s">
        <v>346</v>
      </c>
      <c r="U118" t="s">
        <v>347</v>
      </c>
    </row>
    <row r="119" spans="1:20" ht="102.75" customHeight="1">
      <c r="A119" s="537"/>
      <c r="B119" s="538"/>
      <c r="C119" s="538"/>
      <c r="D119" s="538"/>
      <c r="E119" s="543"/>
      <c r="F119" s="544"/>
      <c r="G119" s="238" t="s">
        <v>348</v>
      </c>
      <c r="H119" s="239">
        <v>9076</v>
      </c>
      <c r="I119" s="240"/>
      <c r="J119" s="241"/>
      <c r="K119" s="242"/>
      <c r="L119" s="239"/>
      <c r="M119" s="239"/>
      <c r="N119"/>
      <c r="O119" s="243"/>
      <c r="P119" s="243"/>
      <c r="Q119" s="243"/>
      <c r="R119" s="243"/>
      <c r="S119" s="244"/>
      <c r="T119" s="545"/>
    </row>
    <row r="120" spans="1:20" ht="133.5" customHeight="1">
      <c r="A120" s="537"/>
      <c r="B120" s="538" t="s">
        <v>349</v>
      </c>
      <c r="C120" s="538"/>
      <c r="D120" s="538"/>
      <c r="E120" s="543" t="s">
        <v>343</v>
      </c>
      <c r="F120" s="544" t="s">
        <v>344</v>
      </c>
      <c r="G120" s="238" t="s">
        <v>345</v>
      </c>
      <c r="H120" s="239">
        <v>14618</v>
      </c>
      <c r="I120" s="240"/>
      <c r="J120" s="241"/>
      <c r="K120" s="242"/>
      <c r="L120" s="239"/>
      <c r="M120" s="245"/>
      <c r="N120"/>
      <c r="O120" s="243"/>
      <c r="P120" s="243"/>
      <c r="Q120" s="243"/>
      <c r="R120" s="243"/>
      <c r="S120" s="244"/>
      <c r="T120" s="546" t="s">
        <v>350</v>
      </c>
    </row>
    <row r="121" spans="1:20" ht="152.25" customHeight="1">
      <c r="A121" s="537"/>
      <c r="B121" s="538"/>
      <c r="C121" s="538"/>
      <c r="D121" s="538"/>
      <c r="E121" s="543"/>
      <c r="F121" s="544"/>
      <c r="G121" s="238" t="s">
        <v>348</v>
      </c>
      <c r="H121" s="239">
        <v>4079</v>
      </c>
      <c r="I121" s="240"/>
      <c r="J121" s="241"/>
      <c r="K121" s="242"/>
      <c r="L121" s="239"/>
      <c r="M121" s="245"/>
      <c r="N121"/>
      <c r="O121" s="243"/>
      <c r="P121" s="243"/>
      <c r="Q121" s="243"/>
      <c r="R121" s="243"/>
      <c r="S121" s="244"/>
      <c r="T121" s="546"/>
    </row>
    <row r="122" spans="1:20" ht="85.5" customHeight="1">
      <c r="A122" s="6"/>
      <c r="B122" s="547" t="s">
        <v>351</v>
      </c>
      <c r="C122" s="547"/>
      <c r="D122" s="547"/>
      <c r="E122" s="543" t="s">
        <v>352</v>
      </c>
      <c r="F122" s="544" t="s">
        <v>344</v>
      </c>
      <c r="G122" s="246" t="s">
        <v>345</v>
      </c>
      <c r="H122" s="239">
        <v>7264</v>
      </c>
      <c r="I122" s="247"/>
      <c r="J122" s="241"/>
      <c r="K122" s="248"/>
      <c r="L122" s="245"/>
      <c r="M122" s="245"/>
      <c r="N122"/>
      <c r="O122" s="247"/>
      <c r="P122" s="247"/>
      <c r="Q122" s="247"/>
      <c r="R122" s="247"/>
      <c r="S122" s="249"/>
      <c r="T122" s="546" t="s">
        <v>353</v>
      </c>
    </row>
    <row r="123" spans="1:20" ht="148.5" customHeight="1">
      <c r="A123" s="6"/>
      <c r="B123" s="547"/>
      <c r="C123" s="547"/>
      <c r="D123" s="547"/>
      <c r="E123" s="543"/>
      <c r="F123" s="544"/>
      <c r="G123" s="246" t="s">
        <v>348</v>
      </c>
      <c r="H123" s="239">
        <v>3242</v>
      </c>
      <c r="I123" s="247"/>
      <c r="J123" s="241"/>
      <c r="K123" s="248"/>
      <c r="L123" s="245"/>
      <c r="M123" s="245"/>
      <c r="N123"/>
      <c r="O123" s="247"/>
      <c r="P123" s="247"/>
      <c r="Q123" s="247"/>
      <c r="R123" s="247"/>
      <c r="S123" s="249"/>
      <c r="T123" s="546"/>
    </row>
    <row r="124" spans="1:20" ht="102" customHeight="1">
      <c r="A124" s="6"/>
      <c r="B124" s="538" t="s">
        <v>354</v>
      </c>
      <c r="C124" s="538"/>
      <c r="D124" s="538"/>
      <c r="E124" s="543" t="s">
        <v>352</v>
      </c>
      <c r="F124" s="544" t="s">
        <v>344</v>
      </c>
      <c r="G124" s="238" t="s">
        <v>345</v>
      </c>
      <c r="H124" s="239">
        <v>1126</v>
      </c>
      <c r="I124" s="247"/>
      <c r="J124" s="241"/>
      <c r="K124" s="248"/>
      <c r="L124" s="239"/>
      <c r="M124" s="245"/>
      <c r="N124"/>
      <c r="O124" s="243"/>
      <c r="P124" s="243"/>
      <c r="Q124" s="243"/>
      <c r="R124" s="243"/>
      <c r="S124" s="244"/>
      <c r="T124" s="546" t="s">
        <v>355</v>
      </c>
    </row>
    <row r="125" spans="1:20" ht="141.75" customHeight="1">
      <c r="A125" s="6"/>
      <c r="B125" s="538"/>
      <c r="C125" s="538"/>
      <c r="D125" s="538"/>
      <c r="E125" s="543"/>
      <c r="F125" s="544"/>
      <c r="G125" s="238" t="s">
        <v>348</v>
      </c>
      <c r="H125" s="239">
        <v>399</v>
      </c>
      <c r="I125" s="247"/>
      <c r="J125" s="241"/>
      <c r="K125" s="248"/>
      <c r="L125" s="239"/>
      <c r="M125" s="245"/>
      <c r="N125"/>
      <c r="O125" s="243"/>
      <c r="P125" s="243"/>
      <c r="Q125" s="243"/>
      <c r="R125" s="243"/>
      <c r="S125" s="244"/>
      <c r="T125" s="546"/>
    </row>
    <row r="126" spans="1:20" ht="42" customHeight="1">
      <c r="A126" s="6"/>
      <c r="B126" s="547" t="s">
        <v>356</v>
      </c>
      <c r="C126" s="547"/>
      <c r="D126" s="547"/>
      <c r="E126" s="549">
        <v>2.9</v>
      </c>
      <c r="F126" s="550" t="s">
        <v>344</v>
      </c>
      <c r="G126" s="246" t="s">
        <v>345</v>
      </c>
      <c r="H126" s="239">
        <v>609</v>
      </c>
      <c r="I126" s="240"/>
      <c r="J126" s="240"/>
      <c r="K126" s="240"/>
      <c r="L126" s="240"/>
      <c r="M126" s="240"/>
      <c r="N126"/>
      <c r="O126" s="243"/>
      <c r="P126" s="243"/>
      <c r="Q126" s="243"/>
      <c r="R126" s="243"/>
      <c r="S126" s="244"/>
      <c r="T126" s="551" t="s">
        <v>357</v>
      </c>
    </row>
    <row r="127" spans="1:20" ht="50.25" customHeight="1">
      <c r="A127" s="6"/>
      <c r="B127" s="547"/>
      <c r="C127" s="547"/>
      <c r="D127" s="547"/>
      <c r="E127" s="549"/>
      <c r="F127" s="550"/>
      <c r="G127" s="238" t="s">
        <v>348</v>
      </c>
      <c r="H127" s="239">
        <v>497</v>
      </c>
      <c r="I127" s="240"/>
      <c r="J127" s="240"/>
      <c r="K127" s="240"/>
      <c r="L127" s="240"/>
      <c r="M127" s="240"/>
      <c r="N127"/>
      <c r="O127" s="243"/>
      <c r="P127" s="243"/>
      <c r="Q127" s="243"/>
      <c r="R127" s="243"/>
      <c r="S127" s="244"/>
      <c r="T127" s="551"/>
    </row>
    <row r="128" spans="1:21" ht="45.75" customHeight="1">
      <c r="A128" s="6"/>
      <c r="B128" s="547" t="s">
        <v>358</v>
      </c>
      <c r="C128" s="547"/>
      <c r="D128" s="547"/>
      <c r="E128" s="543">
        <v>2.8</v>
      </c>
      <c r="F128" s="544" t="s">
        <v>344</v>
      </c>
      <c r="G128" s="246" t="s">
        <v>345</v>
      </c>
      <c r="H128" s="239">
        <v>22852</v>
      </c>
      <c r="I128" s="247"/>
      <c r="J128" s="241"/>
      <c r="K128" s="248"/>
      <c r="L128" s="245"/>
      <c r="M128" s="239"/>
      <c r="N128"/>
      <c r="O128" s="247"/>
      <c r="P128" s="247"/>
      <c r="Q128" s="247"/>
      <c r="R128" s="247"/>
      <c r="S128" s="249"/>
      <c r="T128" s="548" t="s">
        <v>359</v>
      </c>
      <c r="U128" s="5"/>
    </row>
    <row r="129" spans="1:21" ht="40.5" customHeight="1">
      <c r="A129" s="6"/>
      <c r="B129" s="547"/>
      <c r="C129" s="547"/>
      <c r="D129" s="547"/>
      <c r="E129" s="543"/>
      <c r="F129" s="544"/>
      <c r="G129" s="251" t="s">
        <v>348</v>
      </c>
      <c r="H129" s="252"/>
      <c r="I129" s="247"/>
      <c r="J129" s="241"/>
      <c r="K129" s="248"/>
      <c r="L129" s="253"/>
      <c r="M129" s="239"/>
      <c r="N129" s="239"/>
      <c r="O129" s="253"/>
      <c r="P129" s="253"/>
      <c r="Q129" s="253"/>
      <c r="R129" s="253"/>
      <c r="S129" s="254"/>
      <c r="T129" s="548"/>
      <c r="U129" s="5"/>
    </row>
    <row r="130" spans="1:17" ht="69" customHeight="1">
      <c r="A130" s="6"/>
      <c r="B130" s="6"/>
      <c r="C130" s="6"/>
      <c r="D130" s="6"/>
      <c r="E130" s="6"/>
      <c r="F130" s="6"/>
      <c r="G130" s="6"/>
      <c r="H130" s="6"/>
      <c r="I130" s="6"/>
      <c r="J130" s="6"/>
      <c r="K130" s="6"/>
      <c r="L130" s="6"/>
      <c r="M130" s="6"/>
      <c r="N130"/>
      <c r="O130"/>
      <c r="P130" s="5"/>
      <c r="Q130" s="5"/>
    </row>
    <row r="131" spans="2:20" ht="40.5" customHeight="1">
      <c r="B131" s="552" t="s">
        <v>360</v>
      </c>
      <c r="C131" s="552"/>
      <c r="D131" s="552"/>
      <c r="E131" s="552"/>
      <c r="F131" s="552"/>
      <c r="G131" s="552"/>
      <c r="H131" s="552"/>
      <c r="I131" s="552"/>
      <c r="J131" s="552"/>
      <c r="K131" s="552"/>
      <c r="L131" s="552"/>
      <c r="M131" s="552"/>
      <c r="N131" s="552"/>
      <c r="O131" s="552"/>
      <c r="P131" s="552"/>
      <c r="Q131" s="552"/>
      <c r="R131" s="552"/>
      <c r="S131" s="552"/>
      <c r="T131" s="552"/>
    </row>
    <row r="132" spans="1:20" ht="20.25" customHeight="1">
      <c r="A132" s="6"/>
      <c r="B132" s="547" t="s">
        <v>361</v>
      </c>
      <c r="C132" s="547"/>
      <c r="D132" s="547"/>
      <c r="E132" s="543" t="s">
        <v>362</v>
      </c>
      <c r="F132" s="544" t="s">
        <v>344</v>
      </c>
      <c r="G132" s="246" t="s">
        <v>345</v>
      </c>
      <c r="H132" s="255">
        <v>0.132</v>
      </c>
      <c r="I132" s="256"/>
      <c r="J132" s="256"/>
      <c r="K132" s="257"/>
      <c r="L132" s="247"/>
      <c r="M132" s="258"/>
      <c r="N132"/>
      <c r="O132" s="247"/>
      <c r="P132" s="247"/>
      <c r="Q132" s="247"/>
      <c r="R132" s="247"/>
      <c r="S132" s="249"/>
      <c r="T132" s="259" t="s">
        <v>363</v>
      </c>
    </row>
    <row r="133" spans="1:20" ht="22.5" customHeight="1">
      <c r="A133" s="6"/>
      <c r="B133" s="547"/>
      <c r="C133" s="547"/>
      <c r="D133" s="547"/>
      <c r="E133" s="543"/>
      <c r="F133" s="544"/>
      <c r="G133" s="246" t="s">
        <v>348</v>
      </c>
      <c r="H133" s="260"/>
      <c r="I133" s="247"/>
      <c r="J133" s="261"/>
      <c r="K133" s="257"/>
      <c r="L133" s="247"/>
      <c r="M133" s="258"/>
      <c r="N133"/>
      <c r="O133" s="247"/>
      <c r="P133" s="247"/>
      <c r="Q133" s="247"/>
      <c r="R133" s="247"/>
      <c r="S133" s="249"/>
      <c r="T133" s="548" t="s">
        <v>364</v>
      </c>
    </row>
    <row r="134" spans="1:20" ht="17.25" customHeight="1">
      <c r="A134" s="6"/>
      <c r="B134" s="547" t="s">
        <v>365</v>
      </c>
      <c r="C134" s="547"/>
      <c r="D134" s="547"/>
      <c r="E134" s="543" t="s">
        <v>362</v>
      </c>
      <c r="F134" s="544" t="s">
        <v>344</v>
      </c>
      <c r="G134" s="238" t="s">
        <v>345</v>
      </c>
      <c r="H134" s="262">
        <v>0.016</v>
      </c>
      <c r="I134" s="243"/>
      <c r="J134" s="263"/>
      <c r="K134" s="264"/>
      <c r="L134" s="243"/>
      <c r="M134" s="265"/>
      <c r="N134"/>
      <c r="O134" s="243"/>
      <c r="P134" s="243"/>
      <c r="Q134" s="243"/>
      <c r="R134" s="243"/>
      <c r="S134" s="244"/>
      <c r="T134" s="548"/>
    </row>
    <row r="135" spans="1:20" ht="23.25" customHeight="1">
      <c r="A135" s="6"/>
      <c r="B135" s="547"/>
      <c r="C135" s="547"/>
      <c r="D135" s="547"/>
      <c r="E135" s="543"/>
      <c r="F135" s="544"/>
      <c r="G135" s="238" t="s">
        <v>348</v>
      </c>
      <c r="H135" s="260"/>
      <c r="I135" s="243"/>
      <c r="J135" s="263"/>
      <c r="K135" s="264"/>
      <c r="L135" s="243"/>
      <c r="M135" s="265"/>
      <c r="N135"/>
      <c r="O135" s="243"/>
      <c r="P135" s="243"/>
      <c r="Q135" s="243"/>
      <c r="R135" s="243"/>
      <c r="S135" s="244"/>
      <c r="T135" s="548"/>
    </row>
    <row r="136" spans="1:20" ht="27" customHeight="1">
      <c r="A136" s="6"/>
      <c r="B136" s="547" t="s">
        <v>366</v>
      </c>
      <c r="C136" s="547"/>
      <c r="D136" s="547"/>
      <c r="E136" s="543" t="s">
        <v>362</v>
      </c>
      <c r="F136" s="544" t="s">
        <v>344</v>
      </c>
      <c r="G136" s="246" t="s">
        <v>345</v>
      </c>
      <c r="H136" s="266">
        <v>0.16</v>
      </c>
      <c r="I136" s="247"/>
      <c r="J136" s="241"/>
      <c r="K136" s="257"/>
      <c r="L136" s="247"/>
      <c r="M136" s="247"/>
      <c r="N136"/>
      <c r="O136" s="247"/>
      <c r="P136" s="247"/>
      <c r="Q136" s="247"/>
      <c r="R136" s="247"/>
      <c r="S136" s="249"/>
      <c r="T136" s="548"/>
    </row>
    <row r="137" spans="1:20" ht="24.75" customHeight="1">
      <c r="A137" s="6"/>
      <c r="B137" s="547"/>
      <c r="C137" s="547"/>
      <c r="D137" s="547"/>
      <c r="E137" s="543"/>
      <c r="F137" s="544"/>
      <c r="G137" s="246" t="s">
        <v>348</v>
      </c>
      <c r="H137" s="260"/>
      <c r="I137" s="247"/>
      <c r="J137" s="241"/>
      <c r="K137" s="257"/>
      <c r="L137" s="247"/>
      <c r="M137" s="247"/>
      <c r="N137"/>
      <c r="O137" s="247"/>
      <c r="P137" s="247"/>
      <c r="Q137" s="247"/>
      <c r="R137" s="247"/>
      <c r="S137" s="249"/>
      <c r="T137" s="548"/>
    </row>
    <row r="138" spans="1:20" ht="29.25" customHeight="1">
      <c r="A138" s="6"/>
      <c r="B138" s="547" t="s">
        <v>367</v>
      </c>
      <c r="C138" s="547"/>
      <c r="D138" s="547"/>
      <c r="E138" s="543" t="s">
        <v>368</v>
      </c>
      <c r="F138" s="544" t="s">
        <v>344</v>
      </c>
      <c r="G138" s="238" t="s">
        <v>345</v>
      </c>
      <c r="H138" s="266">
        <v>0.7</v>
      </c>
      <c r="I138" s="245"/>
      <c r="J138" s="241"/>
      <c r="K138" s="242"/>
      <c r="L138" s="243"/>
      <c r="M138" s="267"/>
      <c r="N138"/>
      <c r="O138" s="243"/>
      <c r="P138" s="243"/>
      <c r="Q138" s="243"/>
      <c r="R138" s="243"/>
      <c r="S138" s="244"/>
      <c r="T138" s="553" t="s">
        <v>369</v>
      </c>
    </row>
    <row r="139" spans="1:20" ht="26.25" customHeight="1">
      <c r="A139" s="6"/>
      <c r="B139" s="547"/>
      <c r="C139" s="547"/>
      <c r="D139" s="547"/>
      <c r="E139" s="543" t="s">
        <v>368</v>
      </c>
      <c r="F139" s="544"/>
      <c r="G139" s="238" t="s">
        <v>348</v>
      </c>
      <c r="H139" s="266">
        <v>0.55</v>
      </c>
      <c r="I139" s="245"/>
      <c r="J139" s="241"/>
      <c r="K139" s="242"/>
      <c r="L139" s="243"/>
      <c r="M139" s="239"/>
      <c r="N139"/>
      <c r="O139" s="243"/>
      <c r="P139" s="243"/>
      <c r="Q139" s="243"/>
      <c r="R139" s="243"/>
      <c r="S139" s="244"/>
      <c r="T139" s="553"/>
    </row>
    <row r="140" spans="1:20" ht="78" customHeight="1">
      <c r="A140" s="6"/>
      <c r="B140" s="547" t="s">
        <v>370</v>
      </c>
      <c r="C140" s="547"/>
      <c r="D140" s="547"/>
      <c r="E140" s="543" t="s">
        <v>371</v>
      </c>
      <c r="F140" s="544" t="s">
        <v>344</v>
      </c>
      <c r="G140" s="238" t="s">
        <v>345</v>
      </c>
      <c r="H140" s="266">
        <v>0.44</v>
      </c>
      <c r="I140" s="245"/>
      <c r="J140" s="241"/>
      <c r="K140" s="242"/>
      <c r="L140" s="243"/>
      <c r="M140" s="265"/>
      <c r="N140"/>
      <c r="O140" s="243"/>
      <c r="P140" s="243"/>
      <c r="Q140" s="243"/>
      <c r="R140" s="243"/>
      <c r="S140" s="244"/>
      <c r="T140" s="250" t="s">
        <v>372</v>
      </c>
    </row>
    <row r="141" spans="1:20" ht="57" customHeight="1">
      <c r="A141" s="6"/>
      <c r="B141" s="547"/>
      <c r="C141" s="547"/>
      <c r="D141" s="547"/>
      <c r="E141" s="543"/>
      <c r="F141" s="544"/>
      <c r="G141" s="238" t="s">
        <v>348</v>
      </c>
      <c r="H141" s="266">
        <v>0.86</v>
      </c>
      <c r="I141" s="245"/>
      <c r="J141" s="241"/>
      <c r="K141" s="242"/>
      <c r="L141" s="243"/>
      <c r="M141" s="265"/>
      <c r="N141"/>
      <c r="O141" s="243"/>
      <c r="P141" s="243"/>
      <c r="Q141" s="243"/>
      <c r="R141" s="243"/>
      <c r="S141" s="244"/>
      <c r="T141" s="250" t="s">
        <v>373</v>
      </c>
    </row>
    <row r="142" spans="1:20" ht="39" customHeight="1">
      <c r="A142" s="6"/>
      <c r="B142" s="547" t="s">
        <v>374</v>
      </c>
      <c r="C142" s="547"/>
      <c r="D142" s="547"/>
      <c r="E142" s="543" t="s">
        <v>371</v>
      </c>
      <c r="F142" s="544" t="s">
        <v>344</v>
      </c>
      <c r="G142" s="246" t="s">
        <v>345</v>
      </c>
      <c r="H142" s="266">
        <v>0.96</v>
      </c>
      <c r="I142" s="256"/>
      <c r="J142" s="241"/>
      <c r="K142" s="268"/>
      <c r="L142" s="247"/>
      <c r="M142" s="258"/>
      <c r="N142"/>
      <c r="O142" s="247"/>
      <c r="P142" s="247"/>
      <c r="Q142" s="247"/>
      <c r="R142" s="247"/>
      <c r="S142" s="249"/>
      <c r="T142" s="259"/>
    </row>
    <row r="143" spans="1:20" ht="31.5" customHeight="1">
      <c r="A143" s="6"/>
      <c r="B143" s="547"/>
      <c r="C143" s="547"/>
      <c r="D143" s="547"/>
      <c r="E143" s="543"/>
      <c r="F143" s="544"/>
      <c r="G143" s="238" t="s">
        <v>348</v>
      </c>
      <c r="H143" s="266">
        <v>0.97</v>
      </c>
      <c r="I143" s="256"/>
      <c r="J143" s="241"/>
      <c r="K143" s="269"/>
      <c r="L143" s="253"/>
      <c r="M143" s="270"/>
      <c r="N143"/>
      <c r="O143" s="253"/>
      <c r="P143" s="253"/>
      <c r="Q143" s="253"/>
      <c r="R143" s="253"/>
      <c r="S143" s="254"/>
      <c r="T143" s="259"/>
    </row>
    <row r="144" spans="2:20" ht="71.25" customHeight="1">
      <c r="B144" s="547" t="s">
        <v>375</v>
      </c>
      <c r="C144" s="547"/>
      <c r="D144" s="547"/>
      <c r="E144" s="543" t="s">
        <v>371</v>
      </c>
      <c r="F144" s="544" t="s">
        <v>344</v>
      </c>
      <c r="G144" s="246" t="s">
        <v>345</v>
      </c>
      <c r="H144" s="266">
        <v>0.85</v>
      </c>
      <c r="I144" s="256"/>
      <c r="J144" s="241"/>
      <c r="K144" s="268"/>
      <c r="L144" s="247"/>
      <c r="M144" s="258"/>
      <c r="N144"/>
      <c r="O144" s="247"/>
      <c r="P144" s="247"/>
      <c r="Q144" s="247"/>
      <c r="R144" s="247"/>
      <c r="S144" s="249"/>
      <c r="T144" s="554" t="s">
        <v>376</v>
      </c>
    </row>
    <row r="145" spans="2:20" ht="42.75" customHeight="1">
      <c r="B145" s="547"/>
      <c r="C145" s="547"/>
      <c r="D145" s="547"/>
      <c r="E145" s="543"/>
      <c r="F145" s="544"/>
      <c r="G145" s="238" t="s">
        <v>348</v>
      </c>
      <c r="H145" s="255">
        <v>0.769</v>
      </c>
      <c r="I145" s="256"/>
      <c r="J145" s="241"/>
      <c r="K145" s="269"/>
      <c r="L145" s="253"/>
      <c r="M145" s="270"/>
      <c r="N145"/>
      <c r="O145" s="253"/>
      <c r="P145" s="253"/>
      <c r="Q145" s="253"/>
      <c r="R145" s="253"/>
      <c r="S145" s="254"/>
      <c r="T145" s="554"/>
    </row>
    <row r="149" ht="14.25">
      <c r="J149" t="s">
        <v>377</v>
      </c>
    </row>
  </sheetData>
  <sheetProtection selectLockedCells="1" selectUnlockedCells="1"/>
  <mergeCells count="84">
    <mergeCell ref="T144:T145"/>
    <mergeCell ref="B142:D143"/>
    <mergeCell ref="E142:E143"/>
    <mergeCell ref="F142:F143"/>
    <mergeCell ref="B144:D145"/>
    <mergeCell ref="E144:E145"/>
    <mergeCell ref="F144:F145"/>
    <mergeCell ref="T138:T139"/>
    <mergeCell ref="B140:D141"/>
    <mergeCell ref="E140:E141"/>
    <mergeCell ref="F140:F141"/>
    <mergeCell ref="F136:F137"/>
    <mergeCell ref="B138:D139"/>
    <mergeCell ref="E138:E139"/>
    <mergeCell ref="F138:F139"/>
    <mergeCell ref="B131:T131"/>
    <mergeCell ref="B132:D133"/>
    <mergeCell ref="E132:E133"/>
    <mergeCell ref="F132:F133"/>
    <mergeCell ref="T133:T137"/>
    <mergeCell ref="B134:D135"/>
    <mergeCell ref="E134:E135"/>
    <mergeCell ref="F134:F135"/>
    <mergeCell ref="B136:D137"/>
    <mergeCell ref="E136:E137"/>
    <mergeCell ref="B128:D129"/>
    <mergeCell ref="E128:E129"/>
    <mergeCell ref="F128:F129"/>
    <mergeCell ref="T128:T129"/>
    <mergeCell ref="B126:D127"/>
    <mergeCell ref="E126:E127"/>
    <mergeCell ref="F126:F127"/>
    <mergeCell ref="T126:T127"/>
    <mergeCell ref="B124:D125"/>
    <mergeCell ref="E124:E125"/>
    <mergeCell ref="F124:F125"/>
    <mergeCell ref="T124:T125"/>
    <mergeCell ref="B122:D123"/>
    <mergeCell ref="E122:E123"/>
    <mergeCell ref="F122:F123"/>
    <mergeCell ref="T122:T123"/>
    <mergeCell ref="F118:F119"/>
    <mergeCell ref="T118:T119"/>
    <mergeCell ref="B120:D121"/>
    <mergeCell ref="E120:E121"/>
    <mergeCell ref="F120:F121"/>
    <mergeCell ref="T120:T121"/>
    <mergeCell ref="B75:C75"/>
    <mergeCell ref="B110:B111"/>
    <mergeCell ref="B116:D116"/>
    <mergeCell ref="A118:A121"/>
    <mergeCell ref="B118:D119"/>
    <mergeCell ref="G57:H57"/>
    <mergeCell ref="B62:D62"/>
    <mergeCell ref="B73:C73"/>
    <mergeCell ref="B74:C74"/>
    <mergeCell ref="E118:E119"/>
    <mergeCell ref="B26:C26"/>
    <mergeCell ref="B29:N29"/>
    <mergeCell ref="O31:O34"/>
    <mergeCell ref="F49:I49"/>
    <mergeCell ref="B21:J21"/>
    <mergeCell ref="D24:E24"/>
    <mergeCell ref="G24:H24"/>
    <mergeCell ref="I24:J24"/>
    <mergeCell ref="B14:J14"/>
    <mergeCell ref="H16:I16"/>
    <mergeCell ref="B18:C18"/>
    <mergeCell ref="D18:F18"/>
    <mergeCell ref="C10:D10"/>
    <mergeCell ref="E10:F10"/>
    <mergeCell ref="G10:J10"/>
    <mergeCell ref="C12:D12"/>
    <mergeCell ref="E12:F12"/>
    <mergeCell ref="G12:J12"/>
    <mergeCell ref="C6:D6"/>
    <mergeCell ref="E6:F6"/>
    <mergeCell ref="I6:J6"/>
    <mergeCell ref="C8:D8"/>
    <mergeCell ref="I8:J8"/>
    <mergeCell ref="B2:J2"/>
    <mergeCell ref="C4:D4"/>
    <mergeCell ref="E4:F4"/>
    <mergeCell ref="G4:J4"/>
  </mergeCells>
  <conditionalFormatting sqref="C30:N30 C96:N96">
    <cfRule type="cellIs" priority="1" dxfId="37" operator="equal" stopIfTrue="1">
      <formula>$C$16</formula>
    </cfRule>
  </conditionalFormatting>
  <conditionalFormatting sqref="C12:D12">
    <cfRule type="cellIs" priority="2" dxfId="38" operator="equal" stopIfTrue="1">
      <formula>"C"</formula>
    </cfRule>
    <cfRule type="cellIs" priority="3" dxfId="39" operator="equal" stopIfTrue="1">
      <formula>"B2"</formula>
    </cfRule>
    <cfRule type="cellIs" priority="4" dxfId="40" operator="equal" stopIfTrue="1">
      <formula>"B1"</formula>
    </cfRule>
  </conditionalFormatting>
  <conditionalFormatting sqref="H116:T117">
    <cfRule type="cellIs" priority="5" dxfId="41" operator="equal" stopIfTrue="1">
      <formula>$C$16</formula>
    </cfRule>
  </conditionalFormatting>
  <conditionalFormatting sqref="F49:I49">
    <cfRule type="expression" priority="6" dxfId="42" stopIfTrue="1">
      <formula>LEFT($F$49,2)="OK"</formula>
    </cfRule>
  </conditionalFormatting>
  <dataValidations count="9">
    <dataValidation type="list" allowBlank="1" showErrorMessage="1" sqref="G6">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B110 C111">
      <formula1>NA()</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50"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90" zoomScaleNormal="90" zoomScaleSheetLayoutView="100" zoomScalePageLayoutView="0" workbookViewId="0" topLeftCell="B1">
      <selection activeCell="L5" sqref="L5"/>
    </sheetView>
  </sheetViews>
  <sheetFormatPr defaultColWidth="11.421875" defaultRowHeight="15"/>
  <cols>
    <col min="1" max="1" width="21.140625" style="6" customWidth="1"/>
    <col min="2" max="2" width="12.57421875" style="6" customWidth="1"/>
    <col min="3" max="3" width="20.57421875" style="6" customWidth="1"/>
    <col min="4" max="4" width="19.28125" style="6" customWidth="1"/>
    <col min="5" max="5" width="11.7109375" style="6" customWidth="1"/>
    <col min="6" max="6" width="18.7109375" style="6" customWidth="1"/>
    <col min="7" max="7" width="11.710937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52"/>
      <c r="B1" s="152"/>
      <c r="C1" s="152"/>
      <c r="D1" s="152"/>
      <c r="E1" s="152"/>
      <c r="F1" s="152"/>
      <c r="G1" s="40"/>
      <c r="H1" s="152"/>
      <c r="I1" s="152"/>
      <c r="J1" s="152"/>
    </row>
    <row r="2" ht="25.5" customHeight="1"/>
    <row r="3" spans="2:20" ht="36">
      <c r="B3" s="558" t="str">
        <f>+"Tablero de mando: "&amp;" "&amp;+'Introducción de datos'!C4&amp;" - "&amp;+'Introducción de datos'!G6</f>
        <v>Tablero de mando:  El Salvador - VIH / SIDA</v>
      </c>
      <c r="C3" s="558"/>
      <c r="D3" s="558"/>
      <c r="E3" s="558"/>
      <c r="F3" s="558"/>
      <c r="G3" s="558"/>
      <c r="H3" s="558"/>
      <c r="I3" s="558"/>
      <c r="J3" s="558"/>
      <c r="K3" s="271"/>
      <c r="L3" s="271"/>
      <c r="M3" s="271"/>
      <c r="N3" s="197"/>
      <c r="O3" s="197"/>
      <c r="P3" s="197"/>
      <c r="Q3" s="197"/>
      <c r="R3" s="197"/>
      <c r="S3" s="197"/>
      <c r="T3" s="197"/>
    </row>
    <row r="4" spans="12:20" ht="15" customHeight="1">
      <c r="L4" s="197"/>
      <c r="M4" s="197"/>
      <c r="N4" s="197"/>
      <c r="O4" s="197"/>
      <c r="P4" s="197"/>
      <c r="Q4" s="197"/>
      <c r="R4" s="197"/>
      <c r="S4" s="197"/>
      <c r="T4" s="197"/>
    </row>
    <row r="5" spans="12:20" ht="14.25">
      <c r="L5" s="197"/>
      <c r="M5" s="197"/>
      <c r="N5" s="197"/>
      <c r="O5" s="197"/>
      <c r="P5" s="197"/>
      <c r="Q5" s="197"/>
      <c r="R5" s="197"/>
      <c r="S5" s="197"/>
      <c r="T5" s="197"/>
    </row>
    <row r="6" spans="1:21" ht="32.25" customHeight="1">
      <c r="A6" s="272" t="s">
        <v>217</v>
      </c>
      <c r="B6" s="559" t="str">
        <f>+'Introducción de datos'!C4</f>
        <v>El Salvador</v>
      </c>
      <c r="C6" s="559"/>
      <c r="D6" s="560" t="s">
        <v>219</v>
      </c>
      <c r="E6" s="560"/>
      <c r="F6" s="561" t="str">
        <f>+'Introducción de datos'!G4</f>
        <v>INNOVANDO SERVICIOS, REDUCIENDO RIESGOS, RENOVANDO VIDAS EN EL SALVADOR</v>
      </c>
      <c r="G6" s="561"/>
      <c r="H6" s="561"/>
      <c r="I6" s="561"/>
      <c r="J6" s="561"/>
      <c r="K6" s="273"/>
      <c r="L6" s="274"/>
      <c r="M6" s="273"/>
      <c r="N6" s="273"/>
      <c r="O6" s="273"/>
      <c r="P6" s="275"/>
      <c r="Q6" s="276"/>
      <c r="R6" s="276"/>
      <c r="S6" s="276"/>
      <c r="T6" s="276"/>
      <c r="U6" s="276"/>
    </row>
    <row r="7" spans="2:21" ht="8.25" customHeight="1">
      <c r="B7" s="277"/>
      <c r="C7" s="278"/>
      <c r="D7" s="278"/>
      <c r="E7" s="279"/>
      <c r="F7" s="279"/>
      <c r="G7" s="280"/>
      <c r="H7" s="280"/>
      <c r="K7" s="273"/>
      <c r="L7" s="273"/>
      <c r="M7" s="273"/>
      <c r="N7" s="273"/>
      <c r="O7" s="273"/>
      <c r="P7" s="275"/>
      <c r="Q7" s="276"/>
      <c r="R7" s="276"/>
      <c r="S7" s="276"/>
      <c r="T7" s="276"/>
      <c r="U7" s="276"/>
    </row>
    <row r="8" spans="3:21" ht="3.75" customHeight="1">
      <c r="C8" s="281"/>
      <c r="D8" s="281"/>
      <c r="E8" s="281"/>
      <c r="F8" s="281"/>
      <c r="G8" s="281"/>
      <c r="H8" s="281"/>
      <c r="I8" s="281"/>
      <c r="J8" s="281"/>
      <c r="K8" s="273"/>
      <c r="L8" s="273"/>
      <c r="M8" s="273"/>
      <c r="N8" s="273"/>
      <c r="O8" s="282"/>
      <c r="P8" s="275"/>
      <c r="Q8" s="282"/>
      <c r="R8" s="283"/>
      <c r="S8" s="276"/>
      <c r="T8" s="276"/>
      <c r="U8" s="276"/>
    </row>
    <row r="9" spans="1:24" ht="25.5" customHeight="1">
      <c r="A9" s="284" t="s">
        <v>223</v>
      </c>
      <c r="B9" s="285" t="str">
        <f>+'Introducción de datos'!G6</f>
        <v>VIH / SIDA</v>
      </c>
      <c r="C9" s="286" t="s">
        <v>221</v>
      </c>
      <c r="D9" s="287" t="str">
        <f>+'Introducción de datos'!C6</f>
        <v>SLV - H - MINSAL</v>
      </c>
      <c r="E9" s="555" t="s">
        <v>378</v>
      </c>
      <c r="F9" s="555"/>
      <c r="G9" s="288" t="str">
        <f>+'Introducción de datos'!C10</f>
        <v>01 de enero del 2017</v>
      </c>
      <c r="H9" s="284" t="s">
        <v>379</v>
      </c>
      <c r="I9" s="556">
        <f>+'Introducción de datos'!I6</f>
        <v>0</v>
      </c>
      <c r="J9" s="556"/>
      <c r="K9" s="273"/>
      <c r="L9" s="273"/>
      <c r="M9" s="273"/>
      <c r="N9" s="273"/>
      <c r="O9" s="282"/>
      <c r="P9" s="275"/>
      <c r="Q9" s="282"/>
      <c r="R9" s="283"/>
      <c r="S9" s="276"/>
      <c r="T9" s="289"/>
      <c r="U9" s="289"/>
      <c r="V9" s="281"/>
      <c r="W9" s="281"/>
      <c r="X9" s="281"/>
    </row>
    <row r="10" spans="1:21" ht="25.5" customHeight="1">
      <c r="A10" s="284" t="s">
        <v>228</v>
      </c>
      <c r="B10" s="290" t="str">
        <f>IF(ISBLANK('Introducción de datos'!G8),"",'Introducción de datos'!G8)</f>
        <v>SSF/NMF</v>
      </c>
      <c r="C10" s="286" t="s">
        <v>230</v>
      </c>
      <c r="D10" s="291" t="str">
        <f>+'Introducción de datos'!I8</f>
        <v>Fase 2</v>
      </c>
      <c r="E10" s="555" t="s">
        <v>380</v>
      </c>
      <c r="F10" s="555"/>
      <c r="G10" s="557" t="str">
        <f>+'Introducción de datos'!C8</f>
        <v>Ministerio de Salud </v>
      </c>
      <c r="H10" s="557"/>
      <c r="I10" s="557"/>
      <c r="J10" s="557"/>
      <c r="K10" s="293"/>
      <c r="L10" s="293"/>
      <c r="M10" s="273"/>
      <c r="N10" s="293"/>
      <c r="O10" s="282"/>
      <c r="P10" s="275"/>
      <c r="Q10" s="289"/>
      <c r="R10" s="283"/>
      <c r="S10" s="276"/>
      <c r="T10" s="289"/>
      <c r="U10" s="289"/>
    </row>
    <row r="11" spans="1:21" ht="25.5" customHeight="1">
      <c r="A11" s="284" t="s">
        <v>381</v>
      </c>
      <c r="B11" s="292" t="str">
        <f>+'Introducción de datos'!C16</f>
        <v>P1</v>
      </c>
      <c r="C11" s="286" t="s">
        <v>382</v>
      </c>
      <c r="D11" s="294">
        <f>+'Introducción de datos'!E16</f>
        <v>42736</v>
      </c>
      <c r="E11" s="555" t="s">
        <v>383</v>
      </c>
      <c r="F11" s="555"/>
      <c r="G11" s="294">
        <f>+'Introducción de datos'!G16</f>
        <v>42916</v>
      </c>
      <c r="H11" s="284" t="s">
        <v>384</v>
      </c>
      <c r="I11" s="563" t="str">
        <f>+'Introducción de datos'!C12</f>
        <v>B2</v>
      </c>
      <c r="J11" s="563"/>
      <c r="K11" s="295"/>
      <c r="L11" s="293"/>
      <c r="M11" s="273"/>
      <c r="N11" s="293"/>
      <c r="O11" s="293"/>
      <c r="P11" s="275"/>
      <c r="Q11" s="289"/>
      <c r="R11" s="283"/>
      <c r="S11" s="276"/>
      <c r="T11" s="296"/>
      <c r="U11" s="289"/>
    </row>
    <row r="12" spans="1:24" ht="25.5" customHeight="1">
      <c r="A12" s="284" t="s">
        <v>234</v>
      </c>
      <c r="B12" s="557" t="str">
        <f>+'Introducción de datos'!G10</f>
        <v>JACOBS</v>
      </c>
      <c r="C12" s="557"/>
      <c r="D12" s="557"/>
      <c r="E12" s="555" t="s">
        <v>238</v>
      </c>
      <c r="F12" s="555"/>
      <c r="G12" s="557" t="str">
        <f>+'Introducción de datos'!G12</f>
        <v>Serena Buccini</v>
      </c>
      <c r="H12" s="557"/>
      <c r="I12" s="557"/>
      <c r="J12" s="557"/>
      <c r="K12" s="293"/>
      <c r="L12" s="293"/>
      <c r="M12" s="273"/>
      <c r="N12" s="293"/>
      <c r="O12" s="276"/>
      <c r="P12" s="275"/>
      <c r="Q12" s="289"/>
      <c r="R12" s="283"/>
      <c r="S12" s="276"/>
      <c r="T12" s="289"/>
      <c r="U12" s="297"/>
      <c r="V12" s="289"/>
      <c r="W12" s="296"/>
      <c r="X12" s="289"/>
    </row>
    <row r="13" spans="1:21" ht="25.5" customHeight="1">
      <c r="A13" s="284" t="s">
        <v>246</v>
      </c>
      <c r="B13" s="557" t="str">
        <f>+'Introducción de datos'!D18</f>
        <v>UAFM/FE/MINSAL.</v>
      </c>
      <c r="C13" s="557"/>
      <c r="D13" s="557"/>
      <c r="E13" s="555" t="s">
        <v>385</v>
      </c>
      <c r="F13" s="555"/>
      <c r="G13" s="562">
        <f>+'Introducción de datos'!J16</f>
        <v>42970</v>
      </c>
      <c r="H13" s="562"/>
      <c r="I13" s="562"/>
      <c r="J13" s="562"/>
      <c r="K13" s="276"/>
      <c r="L13" s="298"/>
      <c r="M13" s="298"/>
      <c r="N13" s="298"/>
      <c r="O13" s="276"/>
      <c r="P13" s="298"/>
      <c r="Q13" s="298"/>
      <c r="R13" s="283"/>
      <c r="S13" s="276"/>
      <c r="T13" s="298"/>
      <c r="U13" s="299"/>
    </row>
  </sheetData>
  <sheetProtection password="CFC9" sheet="1"/>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conditionalFormatting sqref="I11:J11">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dataValidations count="1">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O33"/>
  <sheetViews>
    <sheetView showGridLines="0" tabSelected="1" zoomScale="120" zoomScaleNormal="120" zoomScalePageLayoutView="0" workbookViewId="0" topLeftCell="A22">
      <selection activeCell="P23" sqref="P23"/>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9.140625" style="0" customWidth="1"/>
    <col min="6" max="6" width="28.00390625" style="0" customWidth="1"/>
    <col min="7" max="7" width="3.8515625" style="0" customWidth="1"/>
    <col min="8" max="8" width="10.421875" style="0" customWidth="1"/>
    <col min="9" max="9" width="14.7109375" style="0" customWidth="1"/>
    <col min="10" max="10" width="12.00390625" style="0" customWidth="1"/>
    <col min="11" max="11" width="11.7109375" style="0" customWidth="1"/>
    <col min="12" max="12" width="3.7109375" style="0" customWidth="1"/>
  </cols>
  <sheetData>
    <row r="1" spans="2:11" ht="30.75" customHeight="1">
      <c r="B1" s="6"/>
      <c r="C1" s="6"/>
      <c r="D1" s="6"/>
      <c r="E1" s="6"/>
      <c r="F1" s="6"/>
      <c r="G1" s="6"/>
      <c r="H1" s="6"/>
      <c r="I1" s="6"/>
      <c r="J1" s="6"/>
      <c r="K1" s="6"/>
    </row>
    <row r="2" spans="2:15" ht="27.75" customHeight="1">
      <c r="B2" s="522" t="str">
        <f>+"Cuadro de mando:  "&amp;"  "&amp;+'Introducción de datos'!C4&amp;" - "&amp;'Introducción de datos'!G6</f>
        <v>Cuadro de mando:    El Salvador - VIH / SIDA</v>
      </c>
      <c r="C2" s="522"/>
      <c r="D2" s="522"/>
      <c r="E2" s="522"/>
      <c r="F2" s="522"/>
      <c r="G2" s="522"/>
      <c r="H2" s="522"/>
      <c r="I2" s="522"/>
      <c r="J2" s="522"/>
      <c r="K2" s="522"/>
      <c r="L2" s="300"/>
      <c r="M2" s="300"/>
      <c r="N2" s="300"/>
      <c r="O2" s="300"/>
    </row>
    <row r="3" spans="2:12" ht="14.25">
      <c r="B3" s="301" t="str">
        <f>+'Introducción de datos'!G8</f>
        <v>SSF/NMF</v>
      </c>
      <c r="C3" s="568" t="str">
        <f>+'Introducción de datos'!I8</f>
        <v>Fase 2</v>
      </c>
      <c r="D3" s="568"/>
      <c r="E3" s="565"/>
      <c r="F3" s="565"/>
      <c r="G3" s="565"/>
      <c r="H3" s="565"/>
      <c r="I3" s="566" t="str">
        <f>+'Introducción de datos'!B16</f>
        <v>Periodo:</v>
      </c>
      <c r="J3" s="566"/>
      <c r="K3" s="303" t="str">
        <f>+'Introducción de datos'!C16</f>
        <v>P1</v>
      </c>
      <c r="L3" s="304"/>
    </row>
    <row r="4" spans="2:11" ht="14.25">
      <c r="B4" s="301" t="str">
        <f>+'Introducción de datos'!B12</f>
        <v>Ultima calificación:</v>
      </c>
      <c r="C4" s="564" t="str">
        <f>+'Introducción de datos'!C12</f>
        <v>B2</v>
      </c>
      <c r="D4" s="564"/>
      <c r="E4" s="565" t="str">
        <f>+'Introducción de datos'!C8</f>
        <v>Ministerio de Salud </v>
      </c>
      <c r="F4" s="565"/>
      <c r="G4" s="565"/>
      <c r="H4" s="565"/>
      <c r="I4" s="566" t="str">
        <f>+'Introducción de datos'!D16</f>
        <v>Desde:</v>
      </c>
      <c r="J4" s="566"/>
      <c r="K4" s="305">
        <f>+'Introducción de datos'!E16</f>
        <v>42736</v>
      </c>
    </row>
    <row r="5" spans="2:11" ht="18.75" customHeight="1">
      <c r="B5" s="301"/>
      <c r="C5" s="301"/>
      <c r="D5" s="567" t="str">
        <f>+'Introducción de datos'!G4</f>
        <v>INNOVANDO SERVICIOS, REDUCIENDO RIESGOS, RENOVANDO VIDAS EN EL SALVADOR</v>
      </c>
      <c r="E5" s="567"/>
      <c r="F5" s="567"/>
      <c r="G5" s="567"/>
      <c r="H5" s="567"/>
      <c r="I5" s="567"/>
      <c r="J5" s="301" t="str">
        <f>+'Introducción de datos'!F16</f>
        <v>Hasta:</v>
      </c>
      <c r="K5" s="305">
        <f>+'Introducción de datos'!G16</f>
        <v>42916</v>
      </c>
    </row>
    <row r="6" spans="2:11" ht="18">
      <c r="B6" s="306"/>
      <c r="C6" s="301"/>
      <c r="D6" s="307"/>
      <c r="E6" s="573" t="s">
        <v>386</v>
      </c>
      <c r="F6" s="573"/>
      <c r="G6" s="573"/>
      <c r="H6" s="573"/>
      <c r="I6" s="6"/>
      <c r="J6" s="6"/>
      <c r="K6" s="6"/>
    </row>
    <row r="7" spans="2:11" ht="10.5" customHeight="1">
      <c r="B7" s="308"/>
      <c r="C7" s="302"/>
      <c r="D7" s="307"/>
      <c r="E7" s="309"/>
      <c r="F7" s="309"/>
      <c r="G7" s="310"/>
      <c r="H7" s="310"/>
      <c r="I7" s="311"/>
      <c r="J7" s="311"/>
      <c r="K7" s="312"/>
    </row>
    <row r="8" spans="2:11" ht="14.25">
      <c r="B8" s="313" t="str">
        <f>+'Introducción de datos'!B27&amp;" - en ("&amp;'Introducción de datos'!D26&amp;")         "&amp;+I3&amp;" "&amp;+K3</f>
        <v>F1: Presupuesto y desembolsos del Fondo Mundial - en ($)         Periodo: P1</v>
      </c>
      <c r="C8" s="314"/>
      <c r="D8" s="152"/>
      <c r="E8" s="152"/>
      <c r="F8" s="152"/>
      <c r="H8" s="313" t="str">
        <f>+'Introducción de datos'!B51&amp;" - en ("&amp;'Introducción de datos'!D26&amp;")         "&amp;+I3&amp;" "&amp;+K3</f>
        <v>F3: Desembolsos y gastos - en ($)         Periodo: P1</v>
      </c>
      <c r="I8" s="6"/>
      <c r="J8" s="6"/>
      <c r="K8" s="6"/>
    </row>
    <row r="9" spans="2:11" ht="45.75" customHeight="1">
      <c r="B9" s="315" t="s">
        <v>387</v>
      </c>
      <c r="C9" s="574" t="s">
        <v>388</v>
      </c>
      <c r="D9" s="574"/>
      <c r="E9" s="574"/>
      <c r="F9" s="574"/>
      <c r="H9" s="316" t="s">
        <v>387</v>
      </c>
      <c r="I9" s="575" t="s">
        <v>389</v>
      </c>
      <c r="J9" s="575"/>
      <c r="K9" s="575"/>
    </row>
    <row r="10" spans="2:11" ht="14.25">
      <c r="B10" s="152"/>
      <c r="C10" s="152"/>
      <c r="D10" s="152"/>
      <c r="E10" s="152"/>
      <c r="F10" s="152"/>
      <c r="G10" s="6"/>
      <c r="H10" s="6"/>
      <c r="I10" s="6"/>
      <c r="J10" s="6"/>
      <c r="K10" s="6"/>
    </row>
    <row r="11" spans="2:11" ht="14.25">
      <c r="B11" s="152"/>
      <c r="C11" s="152"/>
      <c r="D11" s="152"/>
      <c r="E11" s="152"/>
      <c r="F11" s="152"/>
      <c r="G11" s="6"/>
      <c r="H11" s="6"/>
      <c r="I11" s="6"/>
      <c r="J11" s="6"/>
      <c r="K11" s="6"/>
    </row>
    <row r="12" spans="2:11" ht="14.25">
      <c r="B12" s="152"/>
      <c r="C12" s="152"/>
      <c r="D12" s="152"/>
      <c r="E12" s="152"/>
      <c r="F12" s="152"/>
      <c r="G12" s="6"/>
      <c r="H12" s="6"/>
      <c r="I12" s="6"/>
      <c r="J12" s="6"/>
      <c r="K12" s="6"/>
    </row>
    <row r="13" spans="2:11" ht="14.25">
      <c r="B13" s="152"/>
      <c r="C13" s="152"/>
      <c r="D13" s="152"/>
      <c r="E13" s="152"/>
      <c r="F13" s="152"/>
      <c r="G13" s="6"/>
      <c r="H13" s="6"/>
      <c r="I13" s="6"/>
      <c r="J13" s="6"/>
      <c r="K13" s="6"/>
    </row>
    <row r="14" spans="2:11" ht="14.25">
      <c r="B14" s="152"/>
      <c r="C14" s="152"/>
      <c r="D14" s="152"/>
      <c r="E14" s="152"/>
      <c r="F14" s="152"/>
      <c r="G14" s="6"/>
      <c r="H14" s="6"/>
      <c r="I14" s="6"/>
      <c r="J14" s="6"/>
      <c r="K14" s="6"/>
    </row>
    <row r="15" spans="2:13" ht="14.25">
      <c r="B15" s="152"/>
      <c r="C15" s="152"/>
      <c r="D15" s="152"/>
      <c r="E15" s="152"/>
      <c r="F15" s="152"/>
      <c r="G15" s="6"/>
      <c r="H15" s="6"/>
      <c r="I15" s="6"/>
      <c r="J15" s="6"/>
      <c r="K15" s="6"/>
      <c r="M15" s="317" t="s">
        <v>390</v>
      </c>
    </row>
    <row r="16" spans="2:13" ht="14.25">
      <c r="B16" s="152"/>
      <c r="C16" s="152"/>
      <c r="D16" s="152"/>
      <c r="E16" s="152"/>
      <c r="F16" s="152"/>
      <c r="G16" s="6"/>
      <c r="H16" s="6"/>
      <c r="I16" s="6"/>
      <c r="J16" s="6"/>
      <c r="K16" s="6"/>
      <c r="M16" s="317" t="s">
        <v>391</v>
      </c>
    </row>
    <row r="17" spans="2:11" ht="14.25">
      <c r="B17" s="152"/>
      <c r="C17" s="152"/>
      <c r="D17" s="152"/>
      <c r="E17" s="152"/>
      <c r="F17" s="152"/>
      <c r="G17" s="6"/>
      <c r="H17" s="6"/>
      <c r="I17" s="6"/>
      <c r="J17" s="6"/>
      <c r="K17" s="6"/>
    </row>
    <row r="18" spans="2:11" ht="14.25">
      <c r="B18" s="152"/>
      <c r="C18" s="152"/>
      <c r="D18" s="152"/>
      <c r="E18" s="152"/>
      <c r="F18" s="152"/>
      <c r="G18" s="6"/>
      <c r="H18" s="6"/>
      <c r="I18" s="6"/>
      <c r="J18" s="6"/>
      <c r="K18" s="6"/>
    </row>
    <row r="19" spans="2:11" ht="14.25">
      <c r="B19" s="152"/>
      <c r="C19" s="152"/>
      <c r="D19" s="152"/>
      <c r="E19" s="152"/>
      <c r="F19" s="152"/>
      <c r="G19" s="6"/>
      <c r="H19" s="6"/>
      <c r="I19" s="6"/>
      <c r="J19" s="6"/>
      <c r="K19" s="6"/>
    </row>
    <row r="20" spans="2:11" ht="14.25">
      <c r="B20" s="152"/>
      <c r="C20" s="152"/>
      <c r="D20" s="152"/>
      <c r="E20" s="152"/>
      <c r="F20" s="152"/>
      <c r="G20" s="6"/>
      <c r="H20" s="6"/>
      <c r="I20" s="6"/>
      <c r="J20" s="6"/>
      <c r="K20" s="6"/>
    </row>
    <row r="21" spans="1:11" ht="24" customHeight="1">
      <c r="A21" s="10"/>
      <c r="B21" s="10"/>
      <c r="C21" s="10"/>
      <c r="D21" s="10"/>
      <c r="E21" s="10"/>
      <c r="F21" s="10"/>
      <c r="G21" s="10"/>
      <c r="H21" s="10"/>
      <c r="I21" s="10"/>
      <c r="J21" s="10"/>
      <c r="K21" s="10"/>
    </row>
    <row r="22" spans="2:11" ht="23.25" customHeight="1">
      <c r="B22" s="318" t="str">
        <f>+'Introducción de datos'!B36&amp;" - en ("&amp;'Introducción de datos'!D26&amp;")  "&amp;+I3&amp;" "&amp;+K3</f>
        <v>F2: Presupuesto y gastos reales por Modulo de la subvención - en ($)  Periodo: P1</v>
      </c>
      <c r="C22" s="152"/>
      <c r="D22" s="152"/>
      <c r="E22" s="152"/>
      <c r="F22" s="152"/>
      <c r="H22" s="318" t="str">
        <f>+'Introducción de datos'!B60&amp;"   "&amp;+I3&amp;" "&amp;+K3</f>
        <v>F4: Último ciclo de información y desembolso del RP   Periodo: P1</v>
      </c>
      <c r="J22" s="6"/>
      <c r="K22" s="6"/>
    </row>
    <row r="23" spans="2:11" ht="45.75" customHeight="1">
      <c r="B23" s="316" t="s">
        <v>392</v>
      </c>
      <c r="C23" s="575" t="s">
        <v>393</v>
      </c>
      <c r="D23" s="575"/>
      <c r="E23" s="575"/>
      <c r="F23" s="575"/>
      <c r="G23" s="319"/>
      <c r="H23" s="316" t="s">
        <v>387</v>
      </c>
      <c r="I23" s="575" t="s">
        <v>394</v>
      </c>
      <c r="J23" s="575"/>
      <c r="K23" s="575"/>
    </row>
    <row r="24" spans="2:11" ht="14.25">
      <c r="B24" s="320"/>
      <c r="C24" s="320"/>
      <c r="D24" s="320"/>
      <c r="E24" s="320"/>
      <c r="F24" s="320"/>
      <c r="G24" s="320"/>
      <c r="H24" s="321"/>
      <c r="I24" s="321"/>
      <c r="J24" s="320"/>
      <c r="K24" s="320"/>
    </row>
    <row r="25" spans="2:11" ht="29.25" customHeight="1">
      <c r="B25" s="6"/>
      <c r="C25" s="6"/>
      <c r="D25" s="6"/>
      <c r="E25" s="6"/>
      <c r="F25" s="6"/>
      <c r="G25" s="322"/>
      <c r="H25" s="570" t="s">
        <v>395</v>
      </c>
      <c r="I25" s="570"/>
      <c r="J25" s="570"/>
      <c r="K25" s="570"/>
    </row>
    <row r="26" spans="2:11" ht="24">
      <c r="B26" s="6"/>
      <c r="C26" s="6"/>
      <c r="D26" s="6"/>
      <c r="E26" s="6"/>
      <c r="F26" s="6"/>
      <c r="G26" s="44"/>
      <c r="H26" s="571"/>
      <c r="I26" s="571"/>
      <c r="J26" s="323" t="s">
        <v>281</v>
      </c>
      <c r="K26" s="324" t="s">
        <v>282</v>
      </c>
    </row>
    <row r="27" spans="2:11" ht="29.25" customHeight="1">
      <c r="B27" s="6"/>
      <c r="C27" s="6"/>
      <c r="D27" s="6"/>
      <c r="E27" s="6"/>
      <c r="F27" s="6"/>
      <c r="G27" s="325"/>
      <c r="H27" s="572" t="str">
        <f>'Introducción de datos'!B64</f>
        <v>Días tardados en presentar el informe de progreso actualizado y solicitud de desembolso al ALF</v>
      </c>
      <c r="I27" s="572"/>
      <c r="J27" s="326">
        <f>+'Introducción de datos'!C64</f>
        <v>45</v>
      </c>
      <c r="K27" s="327">
        <f>+'Introducción de datos'!D64</f>
        <v>45</v>
      </c>
    </row>
    <row r="28" spans="2:11" ht="21" customHeight="1">
      <c r="B28" s="6"/>
      <c r="C28" s="6"/>
      <c r="D28" s="6"/>
      <c r="E28" s="6"/>
      <c r="F28" s="6"/>
      <c r="G28" s="325"/>
      <c r="H28" s="572" t="str">
        <f>'Introducción de datos'!B65</f>
        <v>Días que el desembolso ha tardado en llegar al RP</v>
      </c>
      <c r="I28" s="572"/>
      <c r="J28" s="326">
        <f>+'Introducción de datos'!C65</f>
        <v>45</v>
      </c>
      <c r="K28" s="327">
        <f>+'Introducción de datos'!D65</f>
        <v>45</v>
      </c>
    </row>
    <row r="29" spans="2:11" ht="21" customHeight="1">
      <c r="B29" s="6"/>
      <c r="C29" s="6"/>
      <c r="D29" s="6"/>
      <c r="E29" s="6"/>
      <c r="F29" s="6"/>
      <c r="G29" s="325"/>
      <c r="H29" s="569" t="str">
        <f>'Introducción de datos'!B66</f>
        <v>Días que el desembolso ha tardado en llegar a los subreceptores </v>
      </c>
      <c r="I29" s="569"/>
      <c r="J29" s="328">
        <f>+'Introducción de datos'!C66</f>
        <v>0</v>
      </c>
      <c r="K29" s="329">
        <f>+'Introducción de datos'!D66</f>
        <v>0</v>
      </c>
    </row>
    <row r="30" spans="2:11" ht="14.25">
      <c r="B30" s="6"/>
      <c r="C30" s="6"/>
      <c r="D30" s="6"/>
      <c r="E30" s="6"/>
      <c r="F30" s="6"/>
      <c r="G30" s="6"/>
      <c r="H30" s="6"/>
      <c r="I30" s="6"/>
      <c r="J30" s="6"/>
      <c r="K30" s="6"/>
    </row>
    <row r="31" spans="2:11" ht="14.25">
      <c r="B31" s="6"/>
      <c r="C31" s="100"/>
      <c r="D31" s="330"/>
      <c r="E31" s="6"/>
      <c r="F31" s="6"/>
      <c r="G31" s="6"/>
      <c r="H31" s="6"/>
      <c r="I31" s="6"/>
      <c r="J31" s="6"/>
      <c r="K31" s="6"/>
    </row>
    <row r="32" spans="2:11" ht="14.25">
      <c r="B32" s="6"/>
      <c r="C32" s="293" t="s">
        <v>271</v>
      </c>
      <c r="D32" s="330"/>
      <c r="E32" s="6"/>
      <c r="F32" s="6"/>
      <c r="G32" s="6"/>
      <c r="H32" s="6"/>
      <c r="I32" s="6"/>
      <c r="J32" s="6"/>
      <c r="K32" s="6"/>
    </row>
    <row r="33" ht="14.25">
      <c r="C33" s="317" t="s">
        <v>319</v>
      </c>
    </row>
  </sheetData>
  <sheetProtection password="CF09" sheet="1"/>
  <mergeCells count="18">
    <mergeCell ref="H29:I29"/>
    <mergeCell ref="H25:K25"/>
    <mergeCell ref="H26:I26"/>
    <mergeCell ref="H27:I27"/>
    <mergeCell ref="H28:I28"/>
    <mergeCell ref="E6:H6"/>
    <mergeCell ref="C9:F9"/>
    <mergeCell ref="I9:K9"/>
    <mergeCell ref="C23:F23"/>
    <mergeCell ref="I23:K23"/>
    <mergeCell ref="C4:D4"/>
    <mergeCell ref="E4:H4"/>
    <mergeCell ref="I4:J4"/>
    <mergeCell ref="D5:I5"/>
    <mergeCell ref="B2:K2"/>
    <mergeCell ref="C3:D3"/>
    <mergeCell ref="E3:H3"/>
    <mergeCell ref="I3:J3"/>
  </mergeCells>
  <conditionalFormatting sqref="K27:K29">
    <cfRule type="cellIs" priority="1" dxfId="44" operator="equal" stopIfTrue="1">
      <formula>0</formula>
    </cfRule>
  </conditionalFormatting>
  <conditionalFormatting sqref="C4:D4">
    <cfRule type="cellIs" priority="2" dxfId="43" operator="equal" stopIfTrue="1">
      <formula>"C"</formula>
    </cfRule>
    <cfRule type="cellIs" priority="3" dxfId="39" operator="equal" stopIfTrue="1">
      <formula>"B2"</formula>
    </cfRule>
    <cfRule type="cellIs" priority="4"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r:id="rId2"/>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7"/>
  <sheetViews>
    <sheetView showGridLines="0" zoomScalePageLayoutView="0" workbookViewId="0" topLeftCell="A1">
      <selection activeCell="G9" sqref="G9"/>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9.140625" style="0" customWidth="1"/>
    <col min="6" max="6" width="15.00390625" style="0" customWidth="1"/>
    <col min="7" max="7" width="18.7109375" style="0" customWidth="1"/>
    <col min="8" max="8" width="11.28125" style="0" customWidth="1"/>
    <col min="9" max="9" width="48.57421875" style="0" customWidth="1"/>
    <col min="10" max="10" width="13.7109375" style="0" customWidth="1"/>
    <col min="11" max="11" width="13.57421875" style="0" customWidth="1"/>
    <col min="12" max="12" width="14.140625" style="0" customWidth="1"/>
  </cols>
  <sheetData>
    <row r="1" spans="3:5" ht="28.5" customHeight="1">
      <c r="C1" s="331"/>
      <c r="E1" s="331"/>
    </row>
    <row r="2" spans="2:16" ht="27.75" customHeight="1">
      <c r="B2" s="576" t="str">
        <f>+"Cuadro de mando:  "&amp;"  "&amp;+'Introducción de datos'!C4&amp;" - "&amp;'Introducción de datos'!G6</f>
        <v>Cuadro de mando:    El Salvador - VIH / SIDA</v>
      </c>
      <c r="C2" s="576"/>
      <c r="D2" s="576"/>
      <c r="E2" s="576"/>
      <c r="F2" s="576"/>
      <c r="G2" s="576"/>
      <c r="H2" s="576"/>
      <c r="I2" s="576"/>
      <c r="J2" s="576"/>
      <c r="K2" s="576"/>
      <c r="L2" s="576"/>
      <c r="M2" s="332"/>
      <c r="N2" s="332"/>
      <c r="O2" s="332"/>
      <c r="P2" s="332"/>
    </row>
    <row r="3" spans="2:12" ht="14.25">
      <c r="B3" s="333" t="str">
        <f>+'Introducción de datos'!G8</f>
        <v>SSF/NMF</v>
      </c>
      <c r="C3" s="577" t="str">
        <f>+'Introducción de datos'!I8</f>
        <v>Fase 2</v>
      </c>
      <c r="D3" s="577"/>
      <c r="E3" s="578"/>
      <c r="F3" s="578"/>
      <c r="G3" s="578"/>
      <c r="H3" s="578"/>
      <c r="I3" s="578"/>
      <c r="J3" s="579" t="str">
        <f>+'Introducción de datos'!B16</f>
        <v>Periodo:</v>
      </c>
      <c r="K3" s="579"/>
      <c r="L3" s="303" t="str">
        <f>+'Introducción de datos'!C16</f>
        <v>P1</v>
      </c>
    </row>
    <row r="4" spans="2:12" ht="14.25">
      <c r="B4" s="333" t="str">
        <f>+'Introducción de datos'!B12</f>
        <v>Ultima calificación:</v>
      </c>
      <c r="C4" s="564" t="str">
        <f>+'Introducción de datos'!C12</f>
        <v>B2</v>
      </c>
      <c r="D4" s="564"/>
      <c r="E4" s="578" t="str">
        <f>+'Introducción de datos'!C8</f>
        <v>Ministerio de Salud </v>
      </c>
      <c r="F4" s="578"/>
      <c r="G4" s="578"/>
      <c r="H4" s="578"/>
      <c r="I4" s="578"/>
      <c r="J4" s="579" t="str">
        <f>+'Introducción de datos'!D16</f>
        <v>Desde:</v>
      </c>
      <c r="K4" s="579"/>
      <c r="L4" s="305">
        <f>+'Introducción de datos'!E16</f>
        <v>42736</v>
      </c>
    </row>
    <row r="5" spans="2:12" ht="18.75" customHeight="1">
      <c r="B5" s="333"/>
      <c r="C5" s="333"/>
      <c r="D5" s="578" t="str">
        <f>+'Introducción de datos'!G4</f>
        <v>INNOVANDO SERVICIOS, REDUCIENDO RIESGOS, RENOVANDO VIDAS EN EL SALVADOR</v>
      </c>
      <c r="E5" s="578"/>
      <c r="F5" s="578"/>
      <c r="G5" s="578"/>
      <c r="H5" s="578"/>
      <c r="I5" s="578"/>
      <c r="J5" s="578"/>
      <c r="K5" s="333" t="str">
        <f>+'Introducción de datos'!F16</f>
        <v>Hasta:</v>
      </c>
      <c r="L5" s="305">
        <f>+'Introducción de datos'!G16</f>
        <v>42916</v>
      </c>
    </row>
    <row r="6" spans="2:9" ht="18">
      <c r="B6" s="334"/>
      <c r="C6" s="333"/>
      <c r="D6" s="307"/>
      <c r="E6" s="580" t="s">
        <v>190</v>
      </c>
      <c r="F6" s="580"/>
      <c r="G6" s="580"/>
      <c r="H6" s="580"/>
      <c r="I6" s="580"/>
    </row>
    <row r="7" spans="2:8" ht="14.25">
      <c r="B7" s="335" t="str">
        <f>+'Introducción de datos'!B71&amp;"     "&amp;+J3&amp;" "&amp;+L3</f>
        <v>M1: Estado de las condiciones precedentes y acciones con fecha límite     Periodo: P1</v>
      </c>
      <c r="C7" s="336"/>
      <c r="H7" s="335" t="str">
        <f>+'Introducción de datos'!B78&amp;"         "&amp;+J3&amp;"  "&amp;+L3</f>
        <v>M2: Estado de los principales puestos directivos del RP         Periodo:  P1</v>
      </c>
    </row>
    <row r="8" spans="2:12" ht="187.5" customHeight="1">
      <c r="B8" s="337" t="s">
        <v>387</v>
      </c>
      <c r="C8" s="581" t="s">
        <v>396</v>
      </c>
      <c r="D8" s="581"/>
      <c r="E8" s="581"/>
      <c r="F8" s="581"/>
      <c r="G8" s="338"/>
      <c r="H8" s="337" t="s">
        <v>387</v>
      </c>
      <c r="I8" s="581" t="s">
        <v>0</v>
      </c>
      <c r="J8" s="581"/>
      <c r="K8" s="581"/>
      <c r="L8" s="581"/>
    </row>
    <row r="9" spans="2:8" ht="14.25">
      <c r="B9" s="10"/>
      <c r="C9" s="10"/>
      <c r="D9" s="10"/>
      <c r="E9" s="10"/>
      <c r="F9" s="10"/>
      <c r="G9" s="10"/>
      <c r="H9" s="10"/>
    </row>
    <row r="10" spans="1:16" ht="14.25">
      <c r="A10" s="339"/>
      <c r="B10" s="10"/>
      <c r="C10" s="10"/>
      <c r="D10" s="582"/>
      <c r="E10" s="496"/>
      <c r="F10" s="496"/>
      <c r="G10" s="12"/>
      <c r="H10" s="10"/>
      <c r="N10" s="341"/>
      <c r="O10" s="341"/>
      <c r="P10" s="342"/>
    </row>
    <row r="11" spans="2:15" ht="14.25">
      <c r="B11" s="10"/>
      <c r="C11" s="340"/>
      <c r="D11" s="582"/>
      <c r="E11" s="340"/>
      <c r="F11" s="340"/>
      <c r="G11" s="340"/>
      <c r="H11" s="340"/>
      <c r="N11" s="10"/>
      <c r="O11" s="10"/>
    </row>
    <row r="12" spans="2:8" ht="14.25">
      <c r="B12" s="340"/>
      <c r="C12" s="343"/>
      <c r="D12" s="344"/>
      <c r="E12" s="344"/>
      <c r="F12" s="344"/>
      <c r="G12" s="344"/>
      <c r="H12" s="345"/>
    </row>
    <row r="13" spans="2:8" ht="14.25">
      <c r="B13" s="340"/>
      <c r="C13" s="343"/>
      <c r="D13" s="344"/>
      <c r="E13" s="344"/>
      <c r="F13" s="344"/>
      <c r="G13" s="344"/>
      <c r="H13" s="345"/>
    </row>
    <row r="15" ht="54.75" customHeight="1">
      <c r="B15" s="335" t="str">
        <f>+'Introducción de datos'!B83&amp;"            "&amp;+J3&amp;" "&amp;+L3</f>
        <v>M3: Acuerdos contractuales (gestores de compra de bienes y servicios)             Periodo: P1</v>
      </c>
    </row>
    <row r="16" ht="31.5" customHeight="1">
      <c r="G16" s="338"/>
    </row>
    <row r="17" spans="2:8" ht="20.25" customHeight="1">
      <c r="B17" s="337" t="s">
        <v>387</v>
      </c>
      <c r="C17" s="585" t="s">
        <v>1</v>
      </c>
      <c r="D17" s="585"/>
      <c r="E17" s="585"/>
      <c r="F17" s="585"/>
      <c r="H17" s="346"/>
    </row>
    <row r="18" spans="8:13" ht="18" customHeight="1">
      <c r="H18" s="335" t="str">
        <f>+'Introducción de datos'!B88&amp;"                "&amp;+J3&amp;" "&amp;+L3</f>
        <v>M4: Número de informes completos recibidos a tiempo                Periodo: P1</v>
      </c>
      <c r="M18" s="304"/>
    </row>
    <row r="19" spans="8:12" ht="15.75" customHeight="1">
      <c r="H19" s="337" t="s">
        <v>387</v>
      </c>
      <c r="I19" s="585" t="s">
        <v>1</v>
      </c>
      <c r="J19" s="585"/>
      <c r="K19" s="585"/>
      <c r="L19" s="585"/>
    </row>
    <row r="25" ht="22.5" customHeight="1"/>
    <row r="26" ht="14.25">
      <c r="H26" s="335" t="str">
        <f>+'Introducción de datos'!B107&amp;"    "&amp;+J3&amp;"  "&amp;+L3</f>
        <v>M6: Diferencia entre existencias actuales y existencias de seguridad    Periodo:  P1</v>
      </c>
    </row>
    <row r="27" spans="2:7" ht="57.75" customHeight="1">
      <c r="B27" s="335" t="str">
        <f>+'Introducción de datos'!B94</f>
        <v>M5: Presupuesto y compra de productos y equipo sanitario, medicamentos y productos farmacéuticos</v>
      </c>
      <c r="G27" s="338"/>
    </row>
    <row r="28" spans="2:6" ht="111.75" customHeight="1">
      <c r="B28" s="337" t="s">
        <v>387</v>
      </c>
      <c r="C28" s="585" t="s">
        <v>2</v>
      </c>
      <c r="D28" s="585"/>
      <c r="E28" s="585"/>
      <c r="F28" s="585"/>
    </row>
    <row r="29" spans="6:12" ht="96" customHeight="1">
      <c r="F29" s="347"/>
      <c r="G29" s="347"/>
      <c r="H29" s="337" t="s">
        <v>387</v>
      </c>
      <c r="I29" s="586" t="s">
        <v>3</v>
      </c>
      <c r="J29" s="586"/>
      <c r="K29" s="586"/>
      <c r="L29" s="586"/>
    </row>
    <row r="30" spans="6:12" ht="43.5" customHeight="1">
      <c r="F30" s="347"/>
      <c r="G30" s="347"/>
      <c r="H30" s="348" t="s">
        <v>323</v>
      </c>
      <c r="I30" s="349" t="s">
        <v>324</v>
      </c>
      <c r="J30" s="350" t="s">
        <v>4</v>
      </c>
      <c r="K30" s="351" t="s">
        <v>5</v>
      </c>
      <c r="L30" s="352" t="s">
        <v>6</v>
      </c>
    </row>
    <row r="31" spans="6:12" ht="14.25">
      <c r="F31" s="347"/>
      <c r="G31" s="347"/>
      <c r="H31" s="583" t="str">
        <f>+'Introducción de datos'!B110</f>
        <v>VIH/SIDA</v>
      </c>
      <c r="I31" s="353" t="str">
        <f>+'Introducción de datos'!C110</f>
        <v>Efavirenz 600 mg/Emtricitabina 200 mg/tenofovir 300 mg</v>
      </c>
      <c r="J31" s="354">
        <f>+'Introducción de datos'!I110</f>
        <v>9.004683263495194</v>
      </c>
      <c r="K31" s="355">
        <f>+'Introducción de datos'!J110</f>
        <v>6</v>
      </c>
      <c r="L31" s="356">
        <f>+'Introducción de datos'!K110</f>
        <v>3.0046832634951937</v>
      </c>
    </row>
    <row r="32" spans="6:12" ht="14.25">
      <c r="F32" s="347"/>
      <c r="G32" s="347"/>
      <c r="H32" s="583"/>
      <c r="I32" s="353"/>
      <c r="J32" s="354"/>
      <c r="K32" s="355"/>
      <c r="L32" s="357"/>
    </row>
    <row r="33" spans="6:12" ht="14.25">
      <c r="F33" s="347"/>
      <c r="G33" s="347"/>
      <c r="H33" s="583"/>
      <c r="I33" s="353"/>
      <c r="J33" s="354"/>
      <c r="K33" s="355"/>
      <c r="L33" s="357"/>
    </row>
    <row r="37" spans="2:5" ht="38.25" customHeight="1">
      <c r="B37" s="584" t="str">
        <f>+'Introducción de datos'!B104</f>
        <v>* Incluye sólo los montos de las categorías 4 y 5 (Productos y equipamientos sanitarios y Medicamentos y productos farmacéuticos) de los  Informes Financieros Mejorados</v>
      </c>
      <c r="C37" s="584"/>
      <c r="D37" s="584"/>
      <c r="E37" s="584"/>
    </row>
  </sheetData>
  <sheetProtection selectLockedCells="1" selectUnlockedCells="1"/>
  <mergeCells count="19">
    <mergeCell ref="H31:H33"/>
    <mergeCell ref="B37:E37"/>
    <mergeCell ref="C17:F17"/>
    <mergeCell ref="I19:L19"/>
    <mergeCell ref="C28:F28"/>
    <mergeCell ref="I29:L29"/>
    <mergeCell ref="D10:D11"/>
    <mergeCell ref="E10:F10"/>
    <mergeCell ref="C4:D4"/>
    <mergeCell ref="E4:I4"/>
    <mergeCell ref="J4:K4"/>
    <mergeCell ref="D5:J5"/>
    <mergeCell ref="B2:L2"/>
    <mergeCell ref="C3:D3"/>
    <mergeCell ref="E3:I3"/>
    <mergeCell ref="J3:K3"/>
    <mergeCell ref="E6:I6"/>
    <mergeCell ref="C8:F8"/>
    <mergeCell ref="I8:L8"/>
  </mergeCells>
  <conditionalFormatting sqref="D12:D13">
    <cfRule type="cellIs" priority="1" dxfId="42" operator="greaterThan" stopIfTrue="1">
      <formula>0</formula>
    </cfRule>
  </conditionalFormatting>
  <conditionalFormatting sqref="E12:E13">
    <cfRule type="cellIs" priority="2" dxfId="45" operator="greaterThan" stopIfTrue="1">
      <formula>0</formula>
    </cfRule>
  </conditionalFormatting>
  <conditionalFormatting sqref="F12:G13">
    <cfRule type="cellIs" priority="3" dxfId="43" operator="greaterThan" stopIfTrue="1">
      <formula>0</formula>
    </cfRule>
  </conditionalFormatting>
  <conditionalFormatting sqref="C4:D4">
    <cfRule type="cellIs" priority="4" dxfId="43" operator="equal" stopIfTrue="1">
      <formula>"C"</formula>
    </cfRule>
    <cfRule type="cellIs" priority="5" dxfId="39" operator="equal" stopIfTrue="1">
      <formula>"B2"</formula>
    </cfRule>
    <cfRule type="cellIs" priority="6" dxfId="40" operator="equal" stopIfTrue="1">
      <formula>"B1"</formula>
    </cfRule>
  </conditionalFormatting>
  <conditionalFormatting sqref="L31:L33">
    <cfRule type="cellIs" priority="7" dxfId="46" operator="lessThan" stopIfTrue="1">
      <formula>1</formula>
    </cfRule>
    <cfRule type="cellIs" priority="8" dxfId="47" operator="between" stopIfTrue="1">
      <formula>3</formula>
      <formula>17</formula>
    </cfRule>
    <cfRule type="cellIs" priority="9" dxfId="48"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33"/>
  <sheetViews>
    <sheetView showGridLines="0" zoomScale="80" zoomScaleNormal="80" zoomScaleSheetLayoutView="110" zoomScalePageLayoutView="0" workbookViewId="0" topLeftCell="B25">
      <selection activeCell="R33" sqref="R33"/>
    </sheetView>
  </sheetViews>
  <sheetFormatPr defaultColWidth="9.140625" defaultRowHeight="15"/>
  <cols>
    <col min="1" max="1" width="0" style="0" hidden="1" customWidth="1"/>
    <col min="2" max="2" width="17.8515625" style="0" customWidth="1"/>
    <col min="3" max="3" width="16.140625" style="0" customWidth="1"/>
    <col min="4" max="4" width="17.28125" style="0" customWidth="1"/>
    <col min="5" max="5" width="14.00390625" style="0" customWidth="1"/>
    <col min="6" max="6" width="10.7109375" style="0" customWidth="1"/>
    <col min="7" max="7" width="5.7109375" style="0" customWidth="1"/>
    <col min="8" max="8" width="8.00390625" style="0" customWidth="1"/>
    <col min="9" max="9" width="6.7109375" style="0" customWidth="1"/>
    <col min="10" max="10" width="4.140625" style="0" customWidth="1"/>
    <col min="11" max="11" width="15.140625" style="0" customWidth="1"/>
    <col min="12" max="12" width="12.140625" style="0" customWidth="1"/>
    <col min="13" max="13" width="16.7109375" style="0" customWidth="1"/>
    <col min="14" max="14" width="12.421875" style="0" customWidth="1"/>
    <col min="15" max="15" width="14.57421875" style="0" customWidth="1"/>
    <col min="16" max="16" width="15.7109375" style="0" customWidth="1"/>
    <col min="17" max="17" width="32.28125" style="0" customWidth="1"/>
    <col min="18" max="18" width="62.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589" t="str">
        <f>+"Cuadro de mando:  "&amp;"  "&amp;+'Introducción de datos'!C4&amp;" - "&amp;'Introducción de datos'!G6</f>
        <v>Cuadro de mando:    El Salvador - VIH / SIDA</v>
      </c>
      <c r="C2" s="589"/>
      <c r="D2" s="589"/>
      <c r="E2" s="589"/>
      <c r="F2" s="589"/>
      <c r="G2" s="589"/>
      <c r="H2" s="589"/>
      <c r="I2" s="589"/>
      <c r="J2" s="589"/>
      <c r="K2" s="589"/>
      <c r="L2" s="589"/>
      <c r="M2" s="589"/>
      <c r="N2" s="589"/>
      <c r="O2" s="589"/>
      <c r="P2" s="589"/>
      <c r="Q2" s="589"/>
    </row>
    <row r="3" spans="1:17" ht="14.25">
      <c r="A3" s="6"/>
      <c r="B3" s="301" t="str">
        <f>+'Introducción de datos'!G8</f>
        <v>SSF/NMF</v>
      </c>
      <c r="C3" s="568" t="str">
        <f>+'Introducción de datos'!I8</f>
        <v>Fase 2</v>
      </c>
      <c r="D3" s="568"/>
      <c r="E3" s="565"/>
      <c r="F3" s="565"/>
      <c r="G3" s="565"/>
      <c r="H3" s="565"/>
      <c r="I3" s="565"/>
      <c r="J3" s="565"/>
      <c r="K3" s="565"/>
      <c r="L3" s="6"/>
      <c r="M3" s="6"/>
      <c r="O3" s="566" t="str">
        <f>+'Introducción de datos'!B16</f>
        <v>Periodo:</v>
      </c>
      <c r="P3" s="566"/>
      <c r="Q3" s="358" t="s">
        <v>7</v>
      </c>
    </row>
    <row r="4" spans="1:29" ht="12" customHeight="1">
      <c r="A4" s="6"/>
      <c r="B4" s="301" t="str">
        <f>+'Introducción de datos'!B12</f>
        <v>Ultima calificación:</v>
      </c>
      <c r="C4" s="587" t="str">
        <f>+'Introducción de datos'!C12</f>
        <v>B2</v>
      </c>
      <c r="D4" s="587"/>
      <c r="E4" s="565" t="str">
        <f>+'Introducción de datos'!C8</f>
        <v>Ministerio de Salud </v>
      </c>
      <c r="F4" s="565"/>
      <c r="G4" s="565"/>
      <c r="H4" s="565"/>
      <c r="I4" s="565"/>
      <c r="J4" s="565"/>
      <c r="K4" s="565"/>
      <c r="L4" s="565"/>
      <c r="M4" s="6"/>
      <c r="O4" s="359"/>
      <c r="P4" s="301" t="str">
        <f>+'Introducción de datos'!D16</f>
        <v>Desde:</v>
      </c>
      <c r="Q4" s="360">
        <f>+'Introducción de datos'!E16</f>
        <v>42736</v>
      </c>
      <c r="Y4" s="317"/>
      <c r="Z4" s="317"/>
      <c r="AA4" s="317"/>
      <c r="AB4" s="317"/>
      <c r="AC4" s="317"/>
    </row>
    <row r="5" spans="1:35" ht="15.75" customHeight="1">
      <c r="A5" s="6"/>
      <c r="B5" s="301"/>
      <c r="C5" s="301"/>
      <c r="D5" s="565" t="str">
        <f>+'Introducción de datos'!G4</f>
        <v>INNOVANDO SERVICIOS, REDUCIENDO RIESGOS, RENOVANDO VIDAS EN EL SALVADOR</v>
      </c>
      <c r="E5" s="565"/>
      <c r="F5" s="565"/>
      <c r="G5" s="565"/>
      <c r="H5" s="565"/>
      <c r="I5" s="565"/>
      <c r="J5" s="565"/>
      <c r="K5" s="565"/>
      <c r="L5" s="565"/>
      <c r="M5" s="565"/>
      <c r="N5" s="565"/>
      <c r="P5" s="301" t="str">
        <f>+'Introducción de datos'!F16</f>
        <v>Hasta:</v>
      </c>
      <c r="Q5" s="360">
        <f>+'Introducción de datos'!G16</f>
        <v>42916</v>
      </c>
      <c r="S5" s="361"/>
      <c r="T5" s="361"/>
      <c r="U5" s="361"/>
      <c r="V5" s="361"/>
      <c r="W5" s="361"/>
      <c r="X5" s="361"/>
      <c r="Y5" s="317"/>
      <c r="Z5" s="317"/>
      <c r="AA5" s="317" t="s">
        <v>8</v>
      </c>
      <c r="AB5" s="317"/>
      <c r="AC5" s="362" t="s">
        <v>9</v>
      </c>
      <c r="AD5" s="361"/>
      <c r="AE5" s="361"/>
      <c r="AF5" s="361"/>
      <c r="AG5" s="361"/>
      <c r="AH5" s="361"/>
      <c r="AI5" s="361"/>
    </row>
    <row r="6" spans="1:35" ht="15.75" customHeight="1">
      <c r="A6" s="6"/>
      <c r="B6" s="301"/>
      <c r="C6" s="301"/>
      <c r="D6" s="363"/>
      <c r="E6" s="363"/>
      <c r="F6" s="588" t="s">
        <v>10</v>
      </c>
      <c r="G6" s="588"/>
      <c r="H6" s="588"/>
      <c r="I6" s="588"/>
      <c r="J6" s="588"/>
      <c r="K6" s="588"/>
      <c r="L6" s="363"/>
      <c r="M6" s="6"/>
      <c r="N6" s="6"/>
      <c r="O6" s="364"/>
      <c r="P6" s="365"/>
      <c r="S6" s="361"/>
      <c r="T6" s="361"/>
      <c r="U6" s="361"/>
      <c r="V6" s="361"/>
      <c r="W6" s="361"/>
      <c r="X6" s="361"/>
      <c r="Y6" s="317"/>
      <c r="Z6" s="317"/>
      <c r="AA6" s="317"/>
      <c r="AB6" s="317"/>
      <c r="AC6" s="317"/>
      <c r="AD6" s="361"/>
      <c r="AE6" s="361"/>
      <c r="AF6" s="361"/>
      <c r="AG6" s="361"/>
      <c r="AH6" s="361"/>
      <c r="AI6" s="361"/>
    </row>
    <row r="7" spans="1:35" ht="3" customHeight="1">
      <c r="A7" s="6"/>
      <c r="B7" s="301"/>
      <c r="C7" s="301"/>
      <c r="D7" s="363"/>
      <c r="E7" s="363"/>
      <c r="F7" s="363"/>
      <c r="G7" s="363"/>
      <c r="H7" s="363"/>
      <c r="I7" s="363"/>
      <c r="J7" s="363"/>
      <c r="K7" s="363"/>
      <c r="L7" s="363"/>
      <c r="M7" s="6"/>
      <c r="N7" s="6"/>
      <c r="O7" s="364"/>
      <c r="P7" s="305"/>
      <c r="Q7" s="305"/>
      <c r="S7" s="361"/>
      <c r="T7" s="361"/>
      <c r="U7" s="361"/>
      <c r="V7" s="361"/>
      <c r="W7" s="361"/>
      <c r="X7" s="361"/>
      <c r="Y7" s="317"/>
      <c r="Z7" s="317"/>
      <c r="AA7" s="317"/>
      <c r="AB7" s="317"/>
      <c r="AC7" s="317"/>
      <c r="AD7" s="361"/>
      <c r="AE7" s="361"/>
      <c r="AF7" s="361"/>
      <c r="AG7" s="361"/>
      <c r="AH7" s="361"/>
      <c r="AI7" s="361"/>
    </row>
    <row r="8" spans="1:35" ht="42" customHeight="1">
      <c r="A8" s="6"/>
      <c r="B8" s="590" t="str">
        <f>+'Introducción de datos'!B118</f>
        <v>TCS-1 Número y porcentaje de adultos y niños elegible que actualmente recibe terapia antirretroviral</v>
      </c>
      <c r="C8" s="590"/>
      <c r="D8" s="590"/>
      <c r="E8" s="590"/>
      <c r="F8" s="590" t="str">
        <f>+'Introducción de datos'!B120</f>
        <v>KP-3a  Número y porcentaje de hombres que tienen sexo con hombres que se sometieron a las pruebas y consejería del VIH y que recibieron sus resultados</v>
      </c>
      <c r="G8" s="590"/>
      <c r="H8" s="590"/>
      <c r="I8" s="590"/>
      <c r="J8" s="590"/>
      <c r="K8" s="590"/>
      <c r="L8" s="366"/>
      <c r="M8" s="590" t="s">
        <v>11</v>
      </c>
      <c r="N8" s="590"/>
      <c r="O8" s="590"/>
      <c r="P8" s="590"/>
      <c r="Q8" s="590"/>
      <c r="R8" s="590"/>
      <c r="S8" s="361"/>
      <c r="T8" s="361"/>
      <c r="U8" s="361"/>
      <c r="V8" s="361"/>
      <c r="W8" s="361"/>
      <c r="X8" s="361"/>
      <c r="Y8" s="317"/>
      <c r="Z8" s="317"/>
      <c r="AA8" s="317"/>
      <c r="AB8" s="317"/>
      <c r="AC8" s="317"/>
      <c r="AD8" s="361"/>
      <c r="AE8" s="361"/>
      <c r="AF8" s="361"/>
      <c r="AG8" s="361"/>
      <c r="AH8" s="361"/>
      <c r="AI8" s="361"/>
    </row>
    <row r="9" spans="1:35" ht="95.25" customHeight="1">
      <c r="A9" s="6"/>
      <c r="B9" s="367" t="s">
        <v>12</v>
      </c>
      <c r="C9" s="591" t="s">
        <v>13</v>
      </c>
      <c r="D9" s="591"/>
      <c r="E9" s="591"/>
      <c r="F9" s="368" t="s">
        <v>12</v>
      </c>
      <c r="G9" s="592" t="s">
        <v>14</v>
      </c>
      <c r="H9" s="592"/>
      <c r="I9" s="592"/>
      <c r="J9" s="592"/>
      <c r="K9" s="592"/>
      <c r="L9" s="368" t="s">
        <v>12</v>
      </c>
      <c r="M9" s="593" t="s">
        <v>15</v>
      </c>
      <c r="N9" s="593"/>
      <c r="O9" s="593"/>
      <c r="P9" s="593"/>
      <c r="Q9" s="593"/>
      <c r="S9" s="361"/>
      <c r="T9" s="361"/>
      <c r="U9" s="361"/>
      <c r="V9" s="361"/>
      <c r="W9" s="361"/>
      <c r="X9" s="361"/>
      <c r="Y9" s="361"/>
      <c r="Z9" s="361"/>
      <c r="AA9" s="361"/>
      <c r="AB9" s="361"/>
      <c r="AC9" s="361"/>
      <c r="AD9" s="361"/>
      <c r="AE9" s="361"/>
      <c r="AF9" s="361"/>
      <c r="AG9" s="361"/>
      <c r="AH9" s="361"/>
      <c r="AI9" s="361"/>
    </row>
    <row r="10" spans="1:35" ht="18.75" customHeight="1">
      <c r="A10" s="6"/>
      <c r="B10" s="301"/>
      <c r="C10" s="301"/>
      <c r="D10" s="363"/>
      <c r="E10" s="363"/>
      <c r="F10" s="363"/>
      <c r="G10" s="363"/>
      <c r="H10" s="363"/>
      <c r="I10" s="363"/>
      <c r="J10" s="363"/>
      <c r="K10" s="363"/>
      <c r="L10" s="363"/>
      <c r="M10" s="6"/>
      <c r="N10" s="6"/>
      <c r="O10" s="364"/>
      <c r="P10" s="305"/>
      <c r="S10" s="361"/>
      <c r="T10" s="361"/>
      <c r="U10" s="361"/>
      <c r="V10" s="361"/>
      <c r="W10" s="361"/>
      <c r="X10" s="361"/>
      <c r="Y10" s="361"/>
      <c r="Z10" s="361"/>
      <c r="AA10" s="361"/>
      <c r="AB10" s="361"/>
      <c r="AC10" s="361"/>
      <c r="AD10" s="361"/>
      <c r="AE10" s="361"/>
      <c r="AF10" s="361"/>
      <c r="AG10" s="361"/>
      <c r="AH10" s="361"/>
      <c r="AI10" s="361"/>
    </row>
    <row r="11" spans="1:35" ht="18.75" customHeight="1">
      <c r="A11" s="6"/>
      <c r="B11" s="301"/>
      <c r="C11" s="301"/>
      <c r="D11" s="363"/>
      <c r="E11" s="363"/>
      <c r="F11" s="363"/>
      <c r="G11" s="363"/>
      <c r="H11" s="363"/>
      <c r="I11" s="363"/>
      <c r="J11" s="363"/>
      <c r="K11" s="363"/>
      <c r="L11" s="363"/>
      <c r="M11" s="6"/>
      <c r="N11" s="6"/>
      <c r="O11" s="364"/>
      <c r="P11" s="305"/>
      <c r="S11" s="361"/>
      <c r="T11" s="361"/>
      <c r="U11" s="361"/>
      <c r="V11" s="361"/>
      <c r="W11" s="361"/>
      <c r="X11" s="361"/>
      <c r="Y11" s="361"/>
      <c r="Z11" s="361"/>
      <c r="AA11" s="361"/>
      <c r="AB11" s="361"/>
      <c r="AC11" s="361"/>
      <c r="AD11" s="361"/>
      <c r="AE11" s="361"/>
      <c r="AF11" s="361"/>
      <c r="AG11" s="361"/>
      <c r="AH11" s="361"/>
      <c r="AI11" s="361"/>
    </row>
    <row r="12" spans="1:35" ht="18.75" customHeight="1">
      <c r="A12" s="6"/>
      <c r="B12" s="301"/>
      <c r="C12" s="301"/>
      <c r="D12" s="363"/>
      <c r="E12" s="363"/>
      <c r="F12" s="363"/>
      <c r="G12" s="363"/>
      <c r="H12" s="363"/>
      <c r="I12" s="363"/>
      <c r="J12" s="363"/>
      <c r="K12" s="363"/>
      <c r="L12" s="363"/>
      <c r="M12" s="6"/>
      <c r="N12" s="6"/>
      <c r="O12" s="364"/>
      <c r="P12" s="305"/>
      <c r="S12" s="361"/>
      <c r="T12" s="361"/>
      <c r="U12" s="361"/>
      <c r="V12" s="361"/>
      <c r="W12" s="361"/>
      <c r="X12" s="361"/>
      <c r="Y12" s="361"/>
      <c r="Z12" s="361"/>
      <c r="AA12" s="361"/>
      <c r="AB12" s="361"/>
      <c r="AC12" s="361"/>
      <c r="AD12" s="361"/>
      <c r="AE12" s="361"/>
      <c r="AF12" s="361"/>
      <c r="AG12" s="361"/>
      <c r="AH12" s="361"/>
      <c r="AI12" s="361"/>
    </row>
    <row r="13" spans="1:35" ht="18.75" customHeight="1">
      <c r="A13" s="6"/>
      <c r="B13" s="301"/>
      <c r="C13" s="301"/>
      <c r="D13" s="363"/>
      <c r="E13" s="363"/>
      <c r="F13" s="363"/>
      <c r="G13" s="363"/>
      <c r="H13" s="363"/>
      <c r="I13" s="363"/>
      <c r="J13" s="363"/>
      <c r="K13" s="363"/>
      <c r="L13" s="363"/>
      <c r="M13" s="6"/>
      <c r="N13" s="6"/>
      <c r="O13" s="364"/>
      <c r="P13" s="305"/>
      <c r="S13" s="361"/>
      <c r="T13" s="361"/>
      <c r="U13" s="361"/>
      <c r="V13" s="361"/>
      <c r="W13" s="361"/>
      <c r="X13" s="361"/>
      <c r="Y13" s="361"/>
      <c r="Z13" s="361"/>
      <c r="AA13" s="361"/>
      <c r="AB13" s="361"/>
      <c r="AC13" s="361"/>
      <c r="AD13" s="361"/>
      <c r="AE13" s="361"/>
      <c r="AF13" s="361"/>
      <c r="AG13" s="361"/>
      <c r="AH13" s="361"/>
      <c r="AI13" s="361"/>
    </row>
    <row r="14" spans="1:35" ht="18.75" customHeight="1">
      <c r="A14" s="6"/>
      <c r="B14" s="301"/>
      <c r="C14" s="301"/>
      <c r="D14" s="363"/>
      <c r="E14" s="363"/>
      <c r="F14" s="363"/>
      <c r="G14" s="363"/>
      <c r="H14" s="363"/>
      <c r="I14" s="363"/>
      <c r="J14" s="363"/>
      <c r="K14" s="363"/>
      <c r="L14" s="363"/>
      <c r="M14" s="6"/>
      <c r="N14" s="6"/>
      <c r="O14" s="364"/>
      <c r="P14" s="305"/>
      <c r="S14" s="361"/>
      <c r="T14" s="361"/>
      <c r="U14" s="361"/>
      <c r="V14" s="361"/>
      <c r="W14" s="361"/>
      <c r="X14" s="361"/>
      <c r="Y14" s="361"/>
      <c r="Z14" s="361"/>
      <c r="AA14" s="361"/>
      <c r="AB14" s="361"/>
      <c r="AC14" s="361"/>
      <c r="AD14" s="361"/>
      <c r="AE14" s="361"/>
      <c r="AF14" s="361"/>
      <c r="AG14" s="361"/>
      <c r="AH14" s="361"/>
      <c r="AI14" s="361"/>
    </row>
    <row r="15" spans="1:35" ht="18.75" customHeight="1">
      <c r="A15" s="6"/>
      <c r="B15" s="301"/>
      <c r="C15" s="301"/>
      <c r="D15" s="363"/>
      <c r="E15" s="363"/>
      <c r="F15" s="363"/>
      <c r="G15" s="363"/>
      <c r="H15" s="363"/>
      <c r="I15" s="363"/>
      <c r="J15" s="363"/>
      <c r="K15" s="363"/>
      <c r="L15" s="363"/>
      <c r="M15" s="6"/>
      <c r="N15" s="6"/>
      <c r="O15" s="364"/>
      <c r="P15" s="305"/>
      <c r="S15" s="361"/>
      <c r="T15" s="361"/>
      <c r="U15" s="361"/>
      <c r="V15" s="361"/>
      <c r="W15" s="361"/>
      <c r="X15" s="361"/>
      <c r="Y15" s="361"/>
      <c r="Z15" s="361"/>
      <c r="AA15" s="361"/>
      <c r="AB15" s="361"/>
      <c r="AC15" s="361"/>
      <c r="AD15" s="361"/>
      <c r="AE15" s="361"/>
      <c r="AF15" s="361"/>
      <c r="AG15" s="361"/>
      <c r="AH15" s="361"/>
      <c r="AI15" s="361"/>
    </row>
    <row r="16" spans="1:35" ht="18.75" customHeight="1">
      <c r="A16" s="6"/>
      <c r="B16" s="301"/>
      <c r="C16" s="301"/>
      <c r="D16" s="363"/>
      <c r="E16" s="363"/>
      <c r="F16" s="363"/>
      <c r="G16" s="363"/>
      <c r="H16" s="363"/>
      <c r="I16" s="363"/>
      <c r="J16" s="363"/>
      <c r="K16" s="363"/>
      <c r="L16" s="363"/>
      <c r="M16" s="6"/>
      <c r="N16" s="6"/>
      <c r="O16" s="364"/>
      <c r="P16" s="305"/>
      <c r="S16" s="361"/>
      <c r="T16" s="361"/>
      <c r="U16" s="361"/>
      <c r="V16" s="361"/>
      <c r="W16" s="361"/>
      <c r="X16" s="361"/>
      <c r="Y16" s="361"/>
      <c r="Z16" s="361"/>
      <c r="AA16" s="361"/>
      <c r="AB16" s="361"/>
      <c r="AC16" s="361"/>
      <c r="AD16" s="361"/>
      <c r="AE16" s="361"/>
      <c r="AF16" s="361"/>
      <c r="AG16" s="361"/>
      <c r="AH16" s="361"/>
      <c r="AI16" s="361"/>
    </row>
    <row r="17" spans="1:35" ht="17.25" customHeight="1">
      <c r="A17" s="6"/>
      <c r="B17" s="301"/>
      <c r="C17" s="301"/>
      <c r="D17" s="363"/>
      <c r="E17" s="363"/>
      <c r="F17" s="363"/>
      <c r="G17" s="363"/>
      <c r="H17" s="363"/>
      <c r="I17" s="363"/>
      <c r="J17" s="363"/>
      <c r="K17" s="363"/>
      <c r="L17" s="363"/>
      <c r="M17" s="6"/>
      <c r="N17" s="6"/>
      <c r="O17" s="364"/>
      <c r="P17" s="305"/>
      <c r="S17" s="361"/>
      <c r="T17" s="361"/>
      <c r="U17" s="361"/>
      <c r="V17" s="361"/>
      <c r="W17" s="361"/>
      <c r="X17" s="361"/>
      <c r="Y17" s="361"/>
      <c r="Z17" s="361"/>
      <c r="AA17" s="361"/>
      <c r="AB17" s="361"/>
      <c r="AC17" s="361"/>
      <c r="AD17" s="361"/>
      <c r="AE17" s="361"/>
      <c r="AF17" s="361"/>
      <c r="AG17" s="361"/>
      <c r="AH17" s="361"/>
      <c r="AI17" s="361"/>
    </row>
    <row r="18" spans="1:35" ht="6" customHeight="1">
      <c r="A18" s="6"/>
      <c r="B18" s="306"/>
      <c r="C18" s="301"/>
      <c r="D18" s="307"/>
      <c r="E18" s="598"/>
      <c r="F18" s="598"/>
      <c r="G18" s="598"/>
      <c r="H18" s="598"/>
      <c r="I18" s="598"/>
      <c r="J18" s="598"/>
      <c r="K18" s="598"/>
      <c r="L18" s="6"/>
      <c r="M18" s="6"/>
      <c r="N18" s="6"/>
      <c r="O18" s="6"/>
      <c r="P18" s="6"/>
      <c r="S18" s="361"/>
      <c r="T18" s="361"/>
      <c r="U18" s="361"/>
      <c r="V18" s="361"/>
      <c r="W18" s="361"/>
      <c r="X18" s="361"/>
      <c r="Y18" s="361"/>
      <c r="Z18" s="361"/>
      <c r="AA18" s="361"/>
      <c r="AB18" s="361"/>
      <c r="AC18" s="361"/>
      <c r="AD18" s="361"/>
      <c r="AE18" s="361"/>
      <c r="AF18" s="361"/>
      <c r="AG18" s="361"/>
      <c r="AH18" s="361"/>
      <c r="AI18" s="361"/>
    </row>
    <row r="19" spans="1:35" ht="24" customHeight="1">
      <c r="A19" s="6"/>
      <c r="B19" s="599" t="s">
        <v>16</v>
      </c>
      <c r="C19" s="599"/>
      <c r="D19" s="599"/>
      <c r="E19" s="369" t="s">
        <v>345</v>
      </c>
      <c r="F19" s="369" t="s">
        <v>17</v>
      </c>
      <c r="G19" s="600" t="s">
        <v>18</v>
      </c>
      <c r="H19" s="600"/>
      <c r="I19" s="601" t="s">
        <v>19</v>
      </c>
      <c r="J19" s="601"/>
      <c r="K19" s="481" t="s">
        <v>20</v>
      </c>
      <c r="L19" s="594" t="s">
        <v>340</v>
      </c>
      <c r="M19" s="594"/>
      <c r="N19" s="594"/>
      <c r="O19" s="594"/>
      <c r="P19" s="594"/>
      <c r="Q19" s="594"/>
      <c r="S19" s="370" t="s">
        <v>21</v>
      </c>
      <c r="T19" s="371">
        <v>0</v>
      </c>
      <c r="U19" s="372">
        <v>0.3</v>
      </c>
      <c r="V19" s="372">
        <v>0.6</v>
      </c>
      <c r="W19" s="372">
        <v>0.9</v>
      </c>
      <c r="X19" s="372">
        <v>1</v>
      </c>
      <c r="Y19" s="317"/>
      <c r="Z19" s="317"/>
      <c r="AA19" s="370" t="s">
        <v>22</v>
      </c>
      <c r="AB19" s="371">
        <v>0</v>
      </c>
      <c r="AC19" s="372">
        <v>0.2</v>
      </c>
      <c r="AD19" s="372">
        <v>0.4</v>
      </c>
      <c r="AE19" s="372">
        <v>0.6</v>
      </c>
      <c r="AF19" s="372">
        <v>0.8</v>
      </c>
      <c r="AG19" s="317"/>
      <c r="AH19" s="317"/>
      <c r="AI19" s="317"/>
    </row>
    <row r="20" spans="1:35" ht="85.5" customHeight="1">
      <c r="A20" s="6"/>
      <c r="B20" s="595" t="str">
        <f>+'Introducción de datos'!B118</f>
        <v>TCS-1 Número y porcentaje de adultos y niños elegible que actualmente recibe terapia antirretroviral</v>
      </c>
      <c r="C20" s="595"/>
      <c r="D20" s="595"/>
      <c r="E20" s="373">
        <f ca="1">OFFSET('Introducción de datos'!$G$117,1,RIGHT('Introducción de datos'!$C$16,LEN('Introducción de datos'!$C$16)-1),1,1)</f>
        <v>10799</v>
      </c>
      <c r="F20" s="373">
        <f ca="1">OFFSET('Introducción de datos'!$G$117,2,RIGHT('Introducción de datos'!$C$16,LEN('Introducción de datos'!$C$16)-1),1,1)</f>
        <v>9076</v>
      </c>
      <c r="G20" s="596">
        <f aca="true" t="shared" si="0" ref="G20:G25">+IF(ISERROR(F20/E20),0,F20/E20)</f>
        <v>0.8404481896471896</v>
      </c>
      <c r="H20" s="596"/>
      <c r="I20" s="596"/>
      <c r="J20" s="596"/>
      <c r="K20" s="596"/>
      <c r="L20" s="597" t="s">
        <v>23</v>
      </c>
      <c r="M20" s="597"/>
      <c r="N20" s="597"/>
      <c r="O20" s="597"/>
      <c r="P20" s="597"/>
      <c r="Q20" s="597"/>
      <c r="S20" s="370" t="s">
        <v>24</v>
      </c>
      <c r="T20" s="374">
        <v>0.3</v>
      </c>
      <c r="U20" s="372">
        <v>0.6</v>
      </c>
      <c r="V20" s="372">
        <v>0.9</v>
      </c>
      <c r="W20" s="372">
        <v>1</v>
      </c>
      <c r="X20" s="372">
        <v>2</v>
      </c>
      <c r="Y20" s="317"/>
      <c r="Z20" s="317"/>
      <c r="AA20" s="370" t="s">
        <v>25</v>
      </c>
      <c r="AB20" s="374">
        <v>0.2</v>
      </c>
      <c r="AC20" s="372">
        <v>0.4</v>
      </c>
      <c r="AD20" s="372">
        <v>0.6</v>
      </c>
      <c r="AE20" s="372">
        <v>0.8</v>
      </c>
      <c r="AF20" s="372">
        <v>1</v>
      </c>
      <c r="AG20" s="317"/>
      <c r="AH20" s="317"/>
      <c r="AI20" s="317"/>
    </row>
    <row r="21" spans="1:35" ht="241.5" customHeight="1">
      <c r="A21" s="6"/>
      <c r="B21" s="595" t="str">
        <f>+'Introducción de datos'!B120</f>
        <v>KP-3a  Número y porcentaje de hombres que tienen sexo con hombres que se sometieron a las pruebas y consejería del VIH y que recibieron sus resultados</v>
      </c>
      <c r="C21" s="595"/>
      <c r="D21" s="595"/>
      <c r="E21" s="373">
        <f ca="1">OFFSET('Introducción de datos'!$G$117,3,RIGHT('Introducción de datos'!$C$16,LEN('Introducción de datos'!$C$16)-1),1,1)</f>
        <v>14618</v>
      </c>
      <c r="F21" s="373">
        <f ca="1">OFFSET('Introducción de datos'!$G$117,4,RIGHT('Introducción de datos'!$C$16,LEN('Introducción de datos'!$C$16)-1),1,1)</f>
        <v>4079</v>
      </c>
      <c r="G21" s="596">
        <f t="shared" si="0"/>
        <v>0.2790395402927897</v>
      </c>
      <c r="H21" s="596"/>
      <c r="I21" s="596"/>
      <c r="J21" s="596"/>
      <c r="K21" s="596"/>
      <c r="L21" s="597" t="s">
        <v>26</v>
      </c>
      <c r="M21" s="597"/>
      <c r="N21" s="597"/>
      <c r="O21" s="597"/>
      <c r="P21" s="597"/>
      <c r="Q21" s="597"/>
      <c r="S21" s="375"/>
      <c r="T21" s="372" t="e">
        <f aca="true" t="shared" si="1" ref="T21:W22">IF($K20&gt;T$19,IF($K20&lt;=T$20,$K20,NA()),NA())</f>
        <v>#N/A</v>
      </c>
      <c r="U21" s="372" t="e">
        <f t="shared" si="1"/>
        <v>#N/A</v>
      </c>
      <c r="V21" s="372" t="e">
        <f t="shared" si="1"/>
        <v>#N/A</v>
      </c>
      <c r="W21" s="372" t="e">
        <f t="shared" si="1"/>
        <v>#N/A</v>
      </c>
      <c r="X21" s="372" t="e">
        <f>IF($K20&gt;X$19,IF($K20&lt;=X$20,1,NA()),NA())</f>
        <v>#N/A</v>
      </c>
      <c r="Y21" s="317"/>
      <c r="Z21" s="376" t="e">
        <f>+'Información de la subvención'!#REF!</f>
        <v>#REF!</v>
      </c>
      <c r="AA21" s="372" t="e">
        <f>+IF(Z21="A1",1,IF(Z21="A2",0.8,IF(Z21="B1",0.6,IF(Z21="B2",0.4,0.2))))</f>
        <v>#REF!</v>
      </c>
      <c r="AB21" s="372" t="e">
        <f aca="true" t="shared" si="2" ref="AB21:AF23">IF($AA21&gt;AB$19,IF($AA21&lt;=AB$20,$AA21,NA()),NA())</f>
        <v>#REF!</v>
      </c>
      <c r="AC21" s="372" t="e">
        <f t="shared" si="2"/>
        <v>#REF!</v>
      </c>
      <c r="AD21" s="372" t="e">
        <f t="shared" si="2"/>
        <v>#REF!</v>
      </c>
      <c r="AE21" s="372" t="e">
        <f t="shared" si="2"/>
        <v>#REF!</v>
      </c>
      <c r="AF21" s="372" t="e">
        <f t="shared" si="2"/>
        <v>#REF!</v>
      </c>
      <c r="AG21" s="317"/>
      <c r="AH21" s="317"/>
      <c r="AI21" s="317"/>
    </row>
    <row r="22" spans="1:35" ht="236.25" customHeight="1">
      <c r="A22" s="6"/>
      <c r="B22" s="595" t="str">
        <f>+'Introducción de datos'!B122</f>
        <v>KP-3c Número y porcentaje de trabajadores sexuales que se sometieron a las pruebas y consejería del VIH y que recibieron sus resultados</v>
      </c>
      <c r="C22" s="595"/>
      <c r="D22" s="595"/>
      <c r="E22" s="373">
        <f ca="1">OFFSET('Introducción de datos'!$G$117,5,RIGHT('Introducción de datos'!$C$16,LEN('Introducción de datos'!$C$16)-1),1,1)</f>
        <v>7264</v>
      </c>
      <c r="F22" s="373">
        <f ca="1">OFFSET('Introducción de datos'!$G$117,6,RIGHT('Introducción de datos'!$C$16,LEN('Introducción de datos'!$C$16)-1),1,1)</f>
        <v>3242</v>
      </c>
      <c r="G22" s="596">
        <f t="shared" si="0"/>
        <v>0.4463105726872247</v>
      </c>
      <c r="H22" s="596"/>
      <c r="I22" s="596"/>
      <c r="J22" s="596"/>
      <c r="K22" s="596"/>
      <c r="L22" s="602" t="s">
        <v>27</v>
      </c>
      <c r="M22" s="602"/>
      <c r="N22" s="602"/>
      <c r="O22" s="602"/>
      <c r="P22" s="602"/>
      <c r="Q22" s="602"/>
      <c r="S22" s="375"/>
      <c r="T22" s="372" t="e">
        <f t="shared" si="1"/>
        <v>#N/A</v>
      </c>
      <c r="U22" s="372" t="e">
        <f t="shared" si="1"/>
        <v>#N/A</v>
      </c>
      <c r="V22" s="372" t="e">
        <f t="shared" si="1"/>
        <v>#N/A</v>
      </c>
      <c r="W22" s="372" t="e">
        <f t="shared" si="1"/>
        <v>#N/A</v>
      </c>
      <c r="X22" s="372" t="e">
        <f>IF(#REF!&gt;X$19,IF(#REF!&lt;=X$20,1,1),NA())</f>
        <v>#REF!</v>
      </c>
      <c r="Y22" s="317"/>
      <c r="Z22" s="376" t="e">
        <f>+'Información de la subvención'!#REF!</f>
        <v>#REF!</v>
      </c>
      <c r="AA22" s="372" t="e">
        <f>+IF(Z22="A1",1,IF(Z22="A2",0.8,IF(Z22="B1",0.6,IF(Z22="B2",0.4,0.2))))</f>
        <v>#REF!</v>
      </c>
      <c r="AB22" s="372" t="e">
        <f t="shared" si="2"/>
        <v>#REF!</v>
      </c>
      <c r="AC22" s="372" t="e">
        <f t="shared" si="2"/>
        <v>#REF!</v>
      </c>
      <c r="AD22" s="372" t="e">
        <f t="shared" si="2"/>
        <v>#REF!</v>
      </c>
      <c r="AE22" s="372" t="e">
        <f t="shared" si="2"/>
        <v>#REF!</v>
      </c>
      <c r="AF22" s="372" t="e">
        <f t="shared" si="2"/>
        <v>#REF!</v>
      </c>
      <c r="AG22" s="317"/>
      <c r="AH22" s="317"/>
      <c r="AI22" s="317"/>
    </row>
    <row r="23" spans="1:35" ht="185.25" customHeight="1">
      <c r="A23" s="6"/>
      <c r="B23" s="595" t="str">
        <f>+'Introducción de datos'!B124</f>
        <v>KP-3b Número y porcentaje de personas transgénero que se sometieron a las pruebas y consejería del VIH y que recibieron sus resultados</v>
      </c>
      <c r="C23" s="595"/>
      <c r="D23" s="595"/>
      <c r="E23" s="373">
        <f ca="1">OFFSET('Introducción de datos'!$G$117,7,RIGHT('Introducción de datos'!$C$16,LEN('Introducción de datos'!$C$16)-1),1,1)</f>
        <v>1126</v>
      </c>
      <c r="F23" s="373">
        <f ca="1">OFFSET('Introducción de datos'!$G$117,8,RIGHT('Introducción de datos'!$C$16,LEN('Introducción de datos'!$C$16)-1),1,1)</f>
        <v>399</v>
      </c>
      <c r="G23" s="596">
        <f t="shared" si="0"/>
        <v>0.3543516873889876</v>
      </c>
      <c r="H23" s="596"/>
      <c r="I23" s="596"/>
      <c r="J23" s="596"/>
      <c r="K23" s="596"/>
      <c r="L23" s="597" t="s">
        <v>28</v>
      </c>
      <c r="M23" s="597"/>
      <c r="N23" s="597"/>
      <c r="O23" s="597"/>
      <c r="P23" s="597"/>
      <c r="Q23" s="597"/>
      <c r="S23" s="375"/>
      <c r="T23" s="372" t="e">
        <f>IF($K21&gt;T$19,IF($K21&lt;=T$20,$K21,NA()),NA())</f>
        <v>#N/A</v>
      </c>
      <c r="U23" s="372" t="e">
        <f>IF($K21&gt;U$19,IF($K21&lt;=U$20,$K21,NA()),NA())</f>
        <v>#N/A</v>
      </c>
      <c r="V23" s="372" t="e">
        <f>IF($K21&gt;V$19,IF($K21&lt;=V$20,$K21,NA()),NA())</f>
        <v>#N/A</v>
      </c>
      <c r="W23" s="372" t="e">
        <f>IF($K21&gt;W$19,IF($K21&lt;=W$20,$K21,NA()),NA())</f>
        <v>#N/A</v>
      </c>
      <c r="X23" s="372" t="e">
        <f>IF($K21&gt;X$19,IF($K21&lt;=X$20,1,NA()),NA())</f>
        <v>#N/A</v>
      </c>
      <c r="Y23" s="317"/>
      <c r="Z23" s="376" t="e">
        <f>+'Información de la subvención'!#REF!</f>
        <v>#REF!</v>
      </c>
      <c r="AA23" s="372" t="e">
        <f>+IF(Z23="A1",1,IF(Z23="A2",0.8,IF(Z23="B1",0.6,IF(Z23="B2",0.4,0.2))))</f>
        <v>#REF!</v>
      </c>
      <c r="AB23" s="372" t="e">
        <f t="shared" si="2"/>
        <v>#REF!</v>
      </c>
      <c r="AC23" s="372" t="e">
        <f t="shared" si="2"/>
        <v>#REF!</v>
      </c>
      <c r="AD23" s="372" t="e">
        <f t="shared" si="2"/>
        <v>#REF!</v>
      </c>
      <c r="AE23" s="372" t="e">
        <f t="shared" si="2"/>
        <v>#REF!</v>
      </c>
      <c r="AF23" s="372" t="e">
        <f t="shared" si="2"/>
        <v>#REF!</v>
      </c>
      <c r="AG23" s="317"/>
      <c r="AH23" s="317"/>
      <c r="AI23" s="317"/>
    </row>
    <row r="24" spans="1:35" ht="66" customHeight="1">
      <c r="A24" s="6"/>
      <c r="B24" s="595" t="str">
        <f>+'Introducción de datos'!B126</f>
        <v>TCS-3 Porcentaje de adultos y niños los cuales 12 meses despues de haber iniciado la TAR cuentan con una carga viral indetectable (&lt; 1000 copias)</v>
      </c>
      <c r="C24" s="595"/>
      <c r="D24" s="595"/>
      <c r="E24" s="373">
        <f ca="1">OFFSET('Introducción de datos'!$G$117,9,RIGHT('Introducción de datos'!$C$16,LEN('Introducción de datos'!$C$16)-1),1,1)</f>
        <v>609</v>
      </c>
      <c r="F24" s="373">
        <f ca="1">OFFSET('Introducción de datos'!$G$117,10,RIGHT('Introducción de datos'!$C$16,LEN('Introducción de datos'!$C$16)-1),1,1)</f>
        <v>497</v>
      </c>
      <c r="G24" s="596">
        <f t="shared" si="0"/>
        <v>0.8160919540229885</v>
      </c>
      <c r="H24" s="596"/>
      <c r="I24" s="596"/>
      <c r="J24" s="596"/>
      <c r="K24" s="596"/>
      <c r="L24" s="605" t="s">
        <v>29</v>
      </c>
      <c r="M24" s="605"/>
      <c r="N24" s="605"/>
      <c r="O24" s="605"/>
      <c r="P24" s="605"/>
      <c r="Q24" s="605"/>
      <c r="S24" s="375"/>
      <c r="T24" s="372"/>
      <c r="U24" s="372"/>
      <c r="V24" s="372"/>
      <c r="W24" s="372"/>
      <c r="X24" s="372"/>
      <c r="Y24" s="317"/>
      <c r="Z24" s="317"/>
      <c r="AA24" s="317"/>
      <c r="AB24" s="317"/>
      <c r="AC24" s="317"/>
      <c r="AD24" s="317"/>
      <c r="AE24" s="317"/>
      <c r="AF24" s="317"/>
      <c r="AG24" s="317"/>
      <c r="AH24" s="317"/>
      <c r="AI24" s="317"/>
    </row>
    <row r="25" spans="1:35" ht="97.5" customHeight="1">
      <c r="A25" s="6" t="s">
        <v>30</v>
      </c>
      <c r="B25" s="595" t="str">
        <f>+'Introducción de datos'!B128</f>
        <v>KP-3e Número de personas privadas de libertad que se sometieron a las pruebas y consejería del VIH y que recibieron sus resultados</v>
      </c>
      <c r="C25" s="595"/>
      <c r="D25" s="595"/>
      <c r="E25" s="373">
        <f ca="1">OFFSET('Introducción de datos'!$G$117,11,RIGHT('Introducción de datos'!$C$16,LEN('Introducción de datos'!$C$16)-1),1,1)</f>
        <v>22852</v>
      </c>
      <c r="F25" s="373">
        <f ca="1">OFFSET('Introducción de datos'!$G$117,12,RIGHT('Introducción de datos'!$C$16,LEN('Introducción de datos'!$C$16)-1),1,1)</f>
        <v>0</v>
      </c>
      <c r="G25" s="596">
        <f t="shared" si="0"/>
        <v>0</v>
      </c>
      <c r="H25" s="596"/>
      <c r="I25" s="596"/>
      <c r="J25" s="596"/>
      <c r="K25" s="596"/>
      <c r="L25" s="603" t="s">
        <v>359</v>
      </c>
      <c r="M25" s="603"/>
      <c r="N25" s="603"/>
      <c r="O25" s="603"/>
      <c r="P25" s="603"/>
      <c r="Q25" s="603"/>
      <c r="S25" s="375"/>
      <c r="T25" s="372" t="e">
        <f>IF($K23&gt;T$19,IF($K23&lt;=T$20,$K23,NA()),NA())</f>
        <v>#N/A</v>
      </c>
      <c r="U25" s="372" t="e">
        <f>IF($K23&gt;U$19,IF($K23&lt;=U$20,$K23,NA()),NA())</f>
        <v>#N/A</v>
      </c>
      <c r="V25" s="372" t="e">
        <f>IF($K23&gt;V$19,IF($K23&lt;=V$20,$K23,NA()),NA())</f>
        <v>#N/A</v>
      </c>
      <c r="W25" s="372" t="e">
        <f>IF($K23&gt;W$19,IF($K23&lt;=W$20,$K23,NA()),NA())</f>
        <v>#N/A</v>
      </c>
      <c r="X25" s="372" t="e">
        <f>IF($K23&gt;X$19,IF($K23&lt;=X$20,1,NA()),NA())</f>
        <v>#N/A</v>
      </c>
      <c r="Y25" s="317"/>
      <c r="Z25" s="317"/>
      <c r="AA25" s="317"/>
      <c r="AB25" s="317"/>
      <c r="AC25" s="317"/>
      <c r="AD25" s="317"/>
      <c r="AE25" s="317"/>
      <c r="AF25" s="317"/>
      <c r="AG25" s="317"/>
      <c r="AH25" s="317"/>
      <c r="AI25" s="317"/>
    </row>
    <row r="26" spans="1:35" ht="36.75" customHeight="1">
      <c r="A26" s="6"/>
      <c r="B26" s="604" t="s">
        <v>31</v>
      </c>
      <c r="C26" s="604"/>
      <c r="D26" s="604"/>
      <c r="E26" s="604"/>
      <c r="F26" s="604"/>
      <c r="G26" s="604"/>
      <c r="H26" s="604"/>
      <c r="I26" s="604"/>
      <c r="J26" s="604"/>
      <c r="K26" s="604"/>
      <c r="L26" s="604"/>
      <c r="M26" s="604"/>
      <c r="N26" s="604"/>
      <c r="O26" s="604"/>
      <c r="P26" s="604"/>
      <c r="Q26" s="604"/>
      <c r="S26" s="375"/>
      <c r="T26" s="372"/>
      <c r="U26" s="372"/>
      <c r="V26" s="372"/>
      <c r="W26" s="372"/>
      <c r="X26" s="372"/>
      <c r="Y26" s="317"/>
      <c r="Z26" s="317"/>
      <c r="AA26" s="317"/>
      <c r="AB26" s="317"/>
      <c r="AC26" s="317"/>
      <c r="AD26" s="317"/>
      <c r="AE26" s="317"/>
      <c r="AF26" s="317"/>
      <c r="AG26" s="317"/>
      <c r="AH26" s="317"/>
      <c r="AI26" s="317"/>
    </row>
    <row r="27" spans="1:35" ht="40.5" customHeight="1">
      <c r="A27" s="6"/>
      <c r="B27" s="595" t="str">
        <f>+'Introducción de datos'!B132</f>
        <v>HIV I-9a    % de Hombres que tienen relaciones sexuales con hombres infectados por el VIH </v>
      </c>
      <c r="C27" s="595"/>
      <c r="D27" s="595"/>
      <c r="E27" s="377">
        <f ca="1">OFFSET('Introducción de datos'!$G$117,15,RIGHT('Introducción de datos'!$C$16,LEN('Introducción de datos'!$C$16)-1),1,1)</f>
        <v>0.132</v>
      </c>
      <c r="F27" s="378">
        <f ca="1">OFFSET('Introducción de datos'!$G$117,16,RIGHT('Introducción de datos'!$C$16,LEN('Introducción de datos'!$C$16)-1),1,1)</f>
        <v>0</v>
      </c>
      <c r="G27" s="596">
        <f aca="true" t="shared" si="3" ref="G27:G33">+IF(ISERROR(F27/E27),0,F27/E27)</f>
        <v>0</v>
      </c>
      <c r="H27" s="596"/>
      <c r="I27" s="596"/>
      <c r="J27" s="596"/>
      <c r="K27" s="596"/>
      <c r="L27" s="606" t="s">
        <v>32</v>
      </c>
      <c r="M27" s="606"/>
      <c r="N27" s="606"/>
      <c r="O27" s="606"/>
      <c r="P27" s="606"/>
      <c r="Q27" s="606"/>
      <c r="S27" s="375"/>
      <c r="T27" s="372" t="e">
        <f>IF(#REF!&gt;T$19,IF(#REF!&lt;=T$20,#REF!,NA()),NA())</f>
        <v>#REF!</v>
      </c>
      <c r="U27" s="372" t="e">
        <f>IF(#REF!&gt;U$19,IF(#REF!&lt;=U$20,#REF!,NA()),NA())</f>
        <v>#REF!</v>
      </c>
      <c r="V27" s="372" t="e">
        <f>IF(#REF!&gt;V$19,IF(#REF!&lt;=V$20,#REF!,NA()),NA())</f>
        <v>#REF!</v>
      </c>
      <c r="W27" s="372" t="e">
        <f>IF(#REF!&gt;W$19,IF(#REF!&lt;=W$20,#REF!,NA()),NA())</f>
        <v>#REF!</v>
      </c>
      <c r="X27" s="372" t="e">
        <f>IF(#REF!&gt;X$19,IF(#REF!&lt;=X$20,1,NA()),NA())</f>
        <v>#REF!</v>
      </c>
      <c r="Y27" s="317"/>
      <c r="Z27" s="317"/>
      <c r="AA27" s="317"/>
      <c r="AB27" s="317"/>
      <c r="AC27" s="317"/>
      <c r="AD27" s="317"/>
      <c r="AE27" s="317"/>
      <c r="AF27" s="317"/>
      <c r="AG27" s="317"/>
      <c r="AH27" s="317"/>
      <c r="AI27" s="317"/>
    </row>
    <row r="28" spans="1:35" ht="33.75" customHeight="1">
      <c r="A28" s="6"/>
      <c r="B28" s="595" t="str">
        <f>+'Introducción de datos'!B134</f>
        <v>HIV I-10   % de Trabajadoras sexuales  femeninas y masculinos infectados por el VIH</v>
      </c>
      <c r="C28" s="595"/>
      <c r="D28" s="595"/>
      <c r="E28" s="379">
        <f ca="1">OFFSET('Introducción de datos'!$G$117,17,RIGHT('Introducción de datos'!$C$16,LEN('Introducción de datos'!$C$16)-1),1,1)</f>
        <v>0.016</v>
      </c>
      <c r="F28" s="378">
        <f ca="1">OFFSET('Introducción de datos'!$G$117,18,RIGHT('Introducción de datos'!$C$16,LEN('Introducción de datos'!$C$16)-1),1,1)</f>
        <v>0</v>
      </c>
      <c r="G28" s="596">
        <f t="shared" si="3"/>
        <v>0</v>
      </c>
      <c r="H28" s="596"/>
      <c r="I28" s="596"/>
      <c r="J28" s="596"/>
      <c r="K28" s="596"/>
      <c r="L28" s="606"/>
      <c r="M28" s="606"/>
      <c r="N28" s="606"/>
      <c r="O28" s="606"/>
      <c r="P28" s="606"/>
      <c r="Q28" s="606"/>
      <c r="S28" s="375"/>
      <c r="T28" s="372" t="e">
        <f>IF($K25&gt;T$19,IF($K25&lt;=T$20,$K25,NA()),NA())</f>
        <v>#N/A</v>
      </c>
      <c r="U28" s="372" t="e">
        <f>IF($K25&gt;U$19,IF($K25&lt;=U$20,$K25,NA()),NA())</f>
        <v>#N/A</v>
      </c>
      <c r="V28" s="372" t="e">
        <f>IF($K25&gt;V$19,IF($K25&lt;=V$20,$K25,NA()),NA())</f>
        <v>#N/A</v>
      </c>
      <c r="W28" s="372" t="e">
        <f>IF($K25&gt;W$19,IF($K25&lt;=W$20,$K25,NA()),NA())</f>
        <v>#N/A</v>
      </c>
      <c r="X28" s="372" t="e">
        <f>IF($K25&gt;X$19,IF($K25&lt;=X$20,1,NA()),NA())</f>
        <v>#N/A</v>
      </c>
      <c r="Y28" s="317"/>
      <c r="Z28" s="317"/>
      <c r="AA28" s="317"/>
      <c r="AB28" s="317"/>
      <c r="AC28" s="317"/>
      <c r="AD28" s="317"/>
      <c r="AE28" s="317"/>
      <c r="AF28" s="317"/>
      <c r="AG28" s="317"/>
      <c r="AH28" s="317"/>
      <c r="AI28" s="317"/>
    </row>
    <row r="29" spans="1:35" ht="49.5" customHeight="1">
      <c r="A29" s="6"/>
      <c r="B29" s="595" t="str">
        <f>+'Introducción de datos'!B136</f>
        <v>HIV I-9b   % de Población Transgénero infectada por el VIH</v>
      </c>
      <c r="C29" s="595"/>
      <c r="D29" s="595"/>
      <c r="E29" s="380">
        <f ca="1">OFFSET('Introducción de datos'!$G$117,19,RIGHT('Introducción de datos'!$C$16,LEN('Introducción de datos'!$C$16)-1),1,1)</f>
        <v>0.16</v>
      </c>
      <c r="F29" s="378">
        <f ca="1">OFFSET('Introducción de datos'!$G$117,20,RIGHT('Introducción de datos'!$C$16,LEN('Introducción de datos'!$C$16)-1),1,1)</f>
        <v>0</v>
      </c>
      <c r="G29" s="596">
        <f t="shared" si="3"/>
        <v>0</v>
      </c>
      <c r="H29" s="596"/>
      <c r="I29" s="596"/>
      <c r="J29" s="596"/>
      <c r="K29" s="596"/>
      <c r="L29" s="606"/>
      <c r="M29" s="606"/>
      <c r="N29" s="606"/>
      <c r="O29" s="606"/>
      <c r="P29" s="606"/>
      <c r="Q29" s="606"/>
      <c r="S29" s="375"/>
      <c r="T29" s="372"/>
      <c r="U29" s="372"/>
      <c r="V29" s="372"/>
      <c r="W29" s="372"/>
      <c r="X29" s="372"/>
      <c r="Y29" s="317"/>
      <c r="Z29" s="317"/>
      <c r="AA29" s="317"/>
      <c r="AB29" s="317"/>
      <c r="AC29" s="317"/>
      <c r="AD29" s="317"/>
      <c r="AE29" s="317"/>
      <c r="AF29" s="317"/>
      <c r="AG29" s="317"/>
      <c r="AH29" s="317"/>
      <c r="AI29" s="317"/>
    </row>
    <row r="30" spans="2:17" ht="58.5" customHeight="1">
      <c r="B30" s="595" t="str">
        <f>+'Introducción de datos'!B138</f>
        <v>HIV O-4a   % de Hombres que reportan haber utilizado condón en su ultima relación sexual anal con una pareja masculina</v>
      </c>
      <c r="C30" s="595"/>
      <c r="D30" s="595"/>
      <c r="E30" s="380">
        <f ca="1">OFFSET('Introducción de datos'!$G$117,21,RIGHT('Introducción de datos'!$C$16,LEN('Introducción de datos'!$C$16)-1),1,1)</f>
        <v>0.7</v>
      </c>
      <c r="F30" s="381">
        <f ca="1">OFFSET('Introducción de datos'!$G$117,22,RIGHT('Introducción de datos'!$C$16,LEN('Introducción de datos'!$C$16)-1),1,1)</f>
        <v>0.55</v>
      </c>
      <c r="G30" s="596">
        <f t="shared" si="3"/>
        <v>0.7857142857142858</v>
      </c>
      <c r="H30" s="596"/>
      <c r="I30" s="596"/>
      <c r="J30" s="596"/>
      <c r="K30" s="596"/>
      <c r="L30" s="607" t="s">
        <v>33</v>
      </c>
      <c r="M30" s="607"/>
      <c r="N30" s="607"/>
      <c r="O30" s="607"/>
      <c r="P30" s="607"/>
      <c r="Q30" s="607"/>
    </row>
    <row r="31" spans="2:18" ht="293.25" customHeight="1">
      <c r="B31" s="595" t="str">
        <f>+'Introducción de datos'!B140</f>
        <v>HIV O-4b % de personas transgénero que practican el trabajo sexual que reporta haber utilizado condón con su último cliente </v>
      </c>
      <c r="C31" s="595"/>
      <c r="D31" s="595"/>
      <c r="E31" s="380">
        <f ca="1">OFFSET('Introducción de datos'!$G$117,23,RIGHT('Introducción de datos'!$C$16,LEN('Introducción de datos'!$C$16)-1),1,1)</f>
        <v>0.44</v>
      </c>
      <c r="F31" s="381">
        <f ca="1">OFFSET('Introducción de datos'!$G$117,24,RIGHT('Introducción de datos'!$C$16,LEN('Introducción de datos'!$C$16)-1),1,1)</f>
        <v>0.86</v>
      </c>
      <c r="G31" s="596">
        <f t="shared" si="3"/>
        <v>1.9545454545454546</v>
      </c>
      <c r="H31" s="596"/>
      <c r="I31" s="596"/>
      <c r="J31" s="596"/>
      <c r="K31" s="596"/>
      <c r="L31" s="607" t="s">
        <v>408</v>
      </c>
      <c r="M31" s="607"/>
      <c r="N31" s="607"/>
      <c r="O31" s="607"/>
      <c r="P31" s="607"/>
      <c r="Q31" s="607"/>
      <c r="R31" s="382"/>
    </row>
    <row r="32" spans="2:17" ht="72" customHeight="1">
      <c r="B32" s="595" t="str">
        <f>+'Introducción de datos'!B142</f>
        <v>HIV O-5   % de Trabajadoras del sexo que practican el trabajo sexual que reporta haber utilizado condón con su último cliente </v>
      </c>
      <c r="C32" s="595"/>
      <c r="D32" s="595"/>
      <c r="E32" s="380">
        <f ca="1">OFFSET('Introducción de datos'!$G$117,25,RIGHT('Introducción de datos'!$C$16,LEN('Introducción de datos'!$C$16)-1),1,1)</f>
        <v>0.96</v>
      </c>
      <c r="F32" s="381">
        <f ca="1">OFFSET('Introducción de datos'!$G$117,26,RIGHT('Introducción de datos'!$C$16,LEN('Introducción de datos'!$C$16)-1),1,1)</f>
        <v>0.97</v>
      </c>
      <c r="G32" s="596">
        <f t="shared" si="3"/>
        <v>1.0104166666666667</v>
      </c>
      <c r="H32" s="596"/>
      <c r="I32" s="596"/>
      <c r="J32" s="596"/>
      <c r="K32" s="596"/>
      <c r="L32" s="607" t="s">
        <v>34</v>
      </c>
      <c r="M32" s="607"/>
      <c r="N32" s="607"/>
      <c r="O32" s="607"/>
      <c r="P32" s="607"/>
      <c r="Q32" s="607"/>
    </row>
    <row r="33" spans="2:17" ht="117" customHeight="1">
      <c r="B33" s="595" t="str">
        <f>+'Introducción de datos'!B144</f>
        <v>HIV O-1: % de adultos y niños con VIH quienes continúan en tratamiento 12 meses después de haber iniciado la terapia</v>
      </c>
      <c r="C33" s="595"/>
      <c r="D33" s="595"/>
      <c r="E33" s="380">
        <f ca="1">OFFSET('Introducción de datos'!$G$117,27,RIGHT('Introducción de datos'!$C$16,LEN('Introducción de datos'!$C$16)-1),1,1)</f>
        <v>0.85</v>
      </c>
      <c r="F33" s="381">
        <f ca="1">OFFSET('Introducción de datos'!$G$117,28,RIGHT('Introducción de datos'!$C$16,LEN('Introducción de datos'!$C$16)-1),1,1)</f>
        <v>0.769</v>
      </c>
      <c r="G33" s="596">
        <f t="shared" si="3"/>
        <v>0.9047058823529412</v>
      </c>
      <c r="H33" s="596"/>
      <c r="I33" s="596"/>
      <c r="J33" s="596"/>
      <c r="K33" s="596"/>
      <c r="L33" s="607" t="s">
        <v>35</v>
      </c>
      <c r="M33" s="607"/>
      <c r="N33" s="607"/>
      <c r="O33" s="607"/>
      <c r="P33" s="607"/>
      <c r="Q33" s="607"/>
    </row>
  </sheetData>
  <sheetProtection selectLockedCells="1" selectUnlockedCells="1"/>
  <mergeCells count="57">
    <mergeCell ref="B32:D32"/>
    <mergeCell ref="G32:K32"/>
    <mergeCell ref="L32:Q32"/>
    <mergeCell ref="B33:D33"/>
    <mergeCell ref="G33:K33"/>
    <mergeCell ref="L33:Q33"/>
    <mergeCell ref="B30:D30"/>
    <mergeCell ref="G30:K30"/>
    <mergeCell ref="L30:Q30"/>
    <mergeCell ref="B31:D31"/>
    <mergeCell ref="G31:K31"/>
    <mergeCell ref="L31:Q31"/>
    <mergeCell ref="B27:D27"/>
    <mergeCell ref="G27:K27"/>
    <mergeCell ref="L27:Q29"/>
    <mergeCell ref="B28:D28"/>
    <mergeCell ref="G28:K28"/>
    <mergeCell ref="B29:D29"/>
    <mergeCell ref="G29:K29"/>
    <mergeCell ref="B25:D25"/>
    <mergeCell ref="G25:K25"/>
    <mergeCell ref="L25:Q25"/>
    <mergeCell ref="B26:Q26"/>
    <mergeCell ref="B23:D23"/>
    <mergeCell ref="G23:K23"/>
    <mergeCell ref="L23:Q23"/>
    <mergeCell ref="B24:D24"/>
    <mergeCell ref="G24:K24"/>
    <mergeCell ref="L24:Q24"/>
    <mergeCell ref="B21:D21"/>
    <mergeCell ref="G21:K21"/>
    <mergeCell ref="L21:Q21"/>
    <mergeCell ref="B22:D22"/>
    <mergeCell ref="G22:K22"/>
    <mergeCell ref="L22:Q22"/>
    <mergeCell ref="L19:Q19"/>
    <mergeCell ref="B20:D20"/>
    <mergeCell ref="G20:K20"/>
    <mergeCell ref="L20:Q20"/>
    <mergeCell ref="E18:K18"/>
    <mergeCell ref="B19:D19"/>
    <mergeCell ref="G19:H19"/>
    <mergeCell ref="I19:J19"/>
    <mergeCell ref="B8:E8"/>
    <mergeCell ref="F8:K8"/>
    <mergeCell ref="M8:R8"/>
    <mergeCell ref="C9:E9"/>
    <mergeCell ref="G9:K9"/>
    <mergeCell ref="M9:Q9"/>
    <mergeCell ref="C4:D4"/>
    <mergeCell ref="E4:L4"/>
    <mergeCell ref="D5:N5"/>
    <mergeCell ref="F6:K6"/>
    <mergeCell ref="B2:Q2"/>
    <mergeCell ref="C3:D3"/>
    <mergeCell ref="E3:K3"/>
    <mergeCell ref="O3:P3"/>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conditionalFormatting sqref="G20:G25 G27:G32">
    <cfRule type="cellIs" priority="4" dxfId="49" operator="between" stopIfTrue="1">
      <formula>0</formula>
      <formula>0.599</formula>
    </cfRule>
    <cfRule type="cellIs" priority="5" dxfId="50" operator="between" stopIfTrue="1">
      <formula>0.6</formula>
      <formula>0.899</formula>
    </cfRule>
    <cfRule type="cellIs" priority="6" dxfId="51" operator="greaterThanOrEqual" stopIfTrue="1">
      <formula>0.9</formula>
    </cfRule>
  </conditionalFormatting>
  <conditionalFormatting sqref="G33">
    <cfRule type="cellIs" priority="7" dxfId="52" operator="between" stopIfTrue="1">
      <formula>0</formula>
      <formula>0.599</formula>
    </cfRule>
    <cfRule type="cellIs" priority="8" dxfId="48" operator="between" stopIfTrue="1">
      <formula>0.6</formula>
      <formula>0.899</formula>
    </cfRule>
    <cfRule type="cellIs" priority="9" dxfId="50"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64" r:id="rId2"/>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25">
      <selection activeCell="I30" sqref="I30"/>
    </sheetView>
  </sheetViews>
  <sheetFormatPr defaultColWidth="9.140625" defaultRowHeight="15"/>
  <cols>
    <col min="1" max="1" width="1.1484375" style="383" customWidth="1"/>
    <col min="2" max="2" width="19.28125" style="383" customWidth="1"/>
    <col min="3" max="3" width="1.1484375" style="383" customWidth="1"/>
    <col min="4" max="4" width="17.140625" style="383" customWidth="1"/>
    <col min="5" max="5" width="17.57421875" style="383" customWidth="1"/>
    <col min="6" max="6" width="9.7109375" style="383" customWidth="1"/>
    <col min="7" max="7" width="13.00390625" style="383" customWidth="1"/>
    <col min="8" max="8" width="4.28125" style="383" customWidth="1"/>
    <col min="9" max="9" width="15.8515625" style="383" customWidth="1"/>
    <col min="10" max="10" width="3.57421875" style="383" customWidth="1"/>
    <col min="11" max="11" width="7.57421875" style="384" customWidth="1"/>
    <col min="12" max="12" width="22.00390625" style="383" customWidth="1"/>
    <col min="13" max="13" width="12.00390625" style="383" customWidth="1"/>
    <col min="14" max="14" width="5.421875" style="383" customWidth="1"/>
    <col min="15" max="15" width="2.57421875" style="383" customWidth="1"/>
    <col min="16" max="16384" width="9.140625" style="383" customWidth="1"/>
  </cols>
  <sheetData>
    <row r="1" spans="1:14" ht="38.25" customHeight="1">
      <c r="A1" s="385"/>
      <c r="B1" s="385"/>
      <c r="C1" s="385"/>
      <c r="D1" s="385"/>
      <c r="E1" s="385"/>
      <c r="F1" s="385"/>
      <c r="G1" s="385"/>
      <c r="H1" s="385"/>
      <c r="I1" s="385"/>
      <c r="J1" s="385"/>
      <c r="K1" s="386"/>
      <c r="L1" s="385"/>
      <c r="M1" s="385"/>
      <c r="N1" s="385"/>
    </row>
    <row r="2" spans="1:256" ht="27.75" customHeight="1">
      <c r="A2" s="6"/>
      <c r="B2" s="589" t="str">
        <f>+"Cuadro de mando:  "&amp;"  "&amp;+'Introducción de datos'!C4&amp;" - "&amp;'Introducción de datos'!G6</f>
        <v>Cuadro de mando:    El Salvador - VIH / SIDA</v>
      </c>
      <c r="C2" s="589"/>
      <c r="D2" s="589"/>
      <c r="E2" s="589"/>
      <c r="F2" s="589"/>
      <c r="G2" s="589"/>
      <c r="H2" s="589"/>
      <c r="I2" s="589"/>
      <c r="J2" s="589"/>
      <c r="K2" s="589"/>
      <c r="L2" s="589"/>
      <c r="M2" s="589"/>
      <c r="N2" s="589"/>
      <c r="O2" s="38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6"/>
      <c r="B3" s="301" t="str">
        <f>+'Introducción de datos'!G8</f>
        <v>SSF/NMF</v>
      </c>
      <c r="C3" s="568" t="str">
        <f>+'Introducción de datos'!I8</f>
        <v>Fase 2</v>
      </c>
      <c r="D3" s="568"/>
      <c r="E3" s="608"/>
      <c r="F3" s="608"/>
      <c r="G3" s="608"/>
      <c r="H3" s="608"/>
      <c r="I3" s="608"/>
      <c r="J3" s="608"/>
      <c r="K3" s="608"/>
      <c r="L3" s="301" t="str">
        <f>+'Introducción de datos'!B16</f>
        <v>Periodo:</v>
      </c>
      <c r="M3" s="358" t="str">
        <f>+'Introducción de datos'!C16</f>
        <v>P1</v>
      </c>
      <c r="N3" s="358"/>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6"/>
      <c r="B4" s="301" t="str">
        <f>+'Introducción de datos'!B12</f>
        <v>Ultima calificación:</v>
      </c>
      <c r="C4" s="587" t="str">
        <f>+'Introducción de datos'!C12</f>
        <v>B2</v>
      </c>
      <c r="D4" s="587"/>
      <c r="E4" s="565" t="str">
        <f>+'Introducción de datos'!C8</f>
        <v>Ministerio de Salud </v>
      </c>
      <c r="F4" s="565"/>
      <c r="G4" s="565"/>
      <c r="H4" s="565"/>
      <c r="I4" s="565"/>
      <c r="J4" s="565"/>
      <c r="K4" s="565"/>
      <c r="L4" s="301" t="str">
        <f>+'Introducción de datos'!D16</f>
        <v>Desde:</v>
      </c>
      <c r="M4" s="305">
        <f>+'Introducción de datos'!E16</f>
        <v>42736</v>
      </c>
      <c r="N4" s="30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301"/>
      <c r="C5" s="301"/>
      <c r="D5" s="307"/>
      <c r="E5" s="565" t="str">
        <f>+'Introducción de datos'!G4</f>
        <v>INNOVANDO SERVICIOS, REDUCIENDO RIESGOS, RENOVANDO VIDAS EN EL SALVADOR</v>
      </c>
      <c r="F5" s="565"/>
      <c r="G5" s="565"/>
      <c r="H5" s="565"/>
      <c r="I5" s="565"/>
      <c r="J5" s="565"/>
      <c r="K5" s="565"/>
      <c r="L5" s="301" t="str">
        <f>+'Introducción de datos'!F16</f>
        <v>Hasta:</v>
      </c>
      <c r="M5" s="305">
        <f>+'Introducción de datos'!G16</f>
        <v>42916</v>
      </c>
      <c r="N5" s="30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308"/>
      <c r="C6" s="302"/>
      <c r="D6" s="307"/>
      <c r="E6" s="609" t="s">
        <v>25</v>
      </c>
      <c r="F6" s="609"/>
      <c r="G6" s="609"/>
      <c r="H6" s="609"/>
      <c r="I6" s="609"/>
      <c r="J6" s="609"/>
      <c r="K6" s="609"/>
      <c r="L6" s="152"/>
      <c r="M6" s="152"/>
      <c r="N6" s="15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92" customFormat="1" ht="4.5" customHeight="1">
      <c r="A7" s="388"/>
      <c r="B7" s="389"/>
      <c r="C7" s="389"/>
      <c r="D7" s="389"/>
      <c r="E7" s="389"/>
      <c r="F7" s="389"/>
      <c r="G7" s="389"/>
      <c r="H7" s="389"/>
      <c r="I7" s="389"/>
      <c r="J7" s="389"/>
      <c r="K7" s="389"/>
      <c r="L7" s="390"/>
      <c r="M7" s="390"/>
      <c r="N7" s="391"/>
    </row>
    <row r="8" spans="1:14" s="392" customFormat="1" ht="21" customHeight="1">
      <c r="A8" s="388"/>
      <c r="B8" s="610" t="s">
        <v>36</v>
      </c>
      <c r="C8" s="610"/>
      <c r="D8" s="610"/>
      <c r="E8" s="610"/>
      <c r="F8" s="610"/>
      <c r="G8" s="610"/>
      <c r="H8" s="610"/>
      <c r="I8" s="610"/>
      <c r="J8" s="610"/>
      <c r="K8" s="610"/>
      <c r="L8" s="610"/>
      <c r="M8" s="610"/>
      <c r="N8" s="610"/>
    </row>
    <row r="9" spans="1:14" s="392" customFormat="1" ht="3.75" customHeight="1">
      <c r="A9" s="388"/>
      <c r="B9" s="389"/>
      <c r="C9" s="389"/>
      <c r="D9" s="389"/>
      <c r="E9" s="389"/>
      <c r="F9" s="389"/>
      <c r="G9" s="389"/>
      <c r="H9" s="389"/>
      <c r="I9" s="389"/>
      <c r="J9" s="389"/>
      <c r="K9" s="389"/>
      <c r="L9" s="390"/>
      <c r="M9" s="390"/>
      <c r="N9" s="391"/>
    </row>
    <row r="10" spans="1:14" s="395" customFormat="1" ht="25.5" customHeight="1">
      <c r="A10" s="393"/>
      <c r="B10" s="611" t="s">
        <v>37</v>
      </c>
      <c r="C10" s="611"/>
      <c r="D10" s="612" t="s">
        <v>24</v>
      </c>
      <c r="E10" s="612"/>
      <c r="F10" s="612"/>
      <c r="G10" s="612"/>
      <c r="H10" s="394"/>
      <c r="I10" s="612" t="s">
        <v>25</v>
      </c>
      <c r="J10" s="612"/>
      <c r="K10" s="612"/>
      <c r="L10" s="612"/>
      <c r="M10" s="612"/>
      <c r="N10" s="612"/>
    </row>
    <row r="11" spans="1:14" s="395" customFormat="1" ht="28.5" customHeight="1">
      <c r="A11" s="393"/>
      <c r="B11" s="396" t="s">
        <v>38</v>
      </c>
      <c r="C11" s="397"/>
      <c r="D11" s="613" t="str">
        <f>IF(ISBLANK(Financiamiento!C9),"",(Financiamiento!C9))</f>
        <v>El presupuesto aprobado por Fondo Mundial para el semestre enero- dic 2017  es por la cantidad de $1,994,855.00; recibiendo desembolso por la cantidad de $2,477,274.00; esto debido a que han desembolsado $ 482,419.00 como  Colchon para el siguiente trimestre. </v>
      </c>
      <c r="E11" s="613"/>
      <c r="F11" s="613"/>
      <c r="G11" s="613"/>
      <c r="H11" s="398"/>
      <c r="I11" s="617"/>
      <c r="J11" s="617"/>
      <c r="K11" s="617"/>
      <c r="L11" s="617"/>
      <c r="M11" s="617"/>
      <c r="N11" s="617"/>
    </row>
    <row r="12" spans="1:14" s="395" customFormat="1" ht="27.75" customHeight="1">
      <c r="A12" s="393"/>
      <c r="B12" s="399" t="s">
        <v>39</v>
      </c>
      <c r="C12" s="400"/>
      <c r="D12" s="613" t="str">
        <f>IF(ISBLANK(Financiamiento!C23),"",(Financiamiento!C23))</f>
        <v>Al cierre del P1 se observa un gasto del 2% del presupuesto asignado para el P1; debido a que se encuentran en proceso de compras en UACI un 86% del presupuesto ($1,716,064.92)</v>
      </c>
      <c r="E12" s="613"/>
      <c r="F12" s="613"/>
      <c r="G12" s="613"/>
      <c r="H12" s="398"/>
      <c r="I12" s="614"/>
      <c r="J12" s="614"/>
      <c r="K12" s="614"/>
      <c r="L12" s="614"/>
      <c r="M12" s="614"/>
      <c r="N12" s="614"/>
    </row>
    <row r="13" spans="1:14" s="395" customFormat="1" ht="26.25" customHeight="1">
      <c r="A13" s="393"/>
      <c r="B13" s="399" t="s">
        <v>40</v>
      </c>
      <c r="C13" s="400"/>
      <c r="D13" s="613" t="str">
        <f>IF(ISBLANK(Financiamiento!I9),"",(Financiamiento!I9))</f>
        <v>Al cierre del semestre se observa en la gráfica un gasto del 2%, con un 86% en compromisos en realacion a  $ 1,994,855 del presupuesto semestral,  lo que será cancelado al momento de recibir los productos, reactivos, medicamentos u otros que se encuentran en etapa de compra en UACI</v>
      </c>
      <c r="E13" s="613"/>
      <c r="F13" s="613"/>
      <c r="G13" s="613"/>
      <c r="H13" s="398"/>
      <c r="I13" s="614"/>
      <c r="J13" s="614"/>
      <c r="K13" s="614"/>
      <c r="L13" s="614"/>
      <c r="M13" s="614"/>
      <c r="N13" s="614"/>
    </row>
    <row r="14" spans="1:14" s="395" customFormat="1" ht="28.5" customHeight="1">
      <c r="A14" s="393"/>
      <c r="B14" s="401" t="s">
        <v>41</v>
      </c>
      <c r="C14" s="402"/>
      <c r="D14" s="615" t="str">
        <f>IF(ISBLANK(Financiamiento!I23),"",(Financiamiento!I23))</f>
        <v>El ciclo de información de esta Subvención es Anual por lo tanto a la fecha no se han remitido ningun reporte al FM</v>
      </c>
      <c r="E14" s="615"/>
      <c r="F14" s="615"/>
      <c r="G14" s="615"/>
      <c r="H14" s="398"/>
      <c r="I14" s="616"/>
      <c r="J14" s="616"/>
      <c r="K14" s="616"/>
      <c r="L14" s="616"/>
      <c r="M14" s="616"/>
      <c r="N14" s="616"/>
    </row>
    <row r="15" spans="1:15" s="395" customFormat="1" ht="4.5" customHeight="1">
      <c r="A15" s="393"/>
      <c r="B15" s="403"/>
      <c r="C15" s="404"/>
      <c r="D15" s="405"/>
      <c r="E15" s="405"/>
      <c r="F15" s="405"/>
      <c r="G15" s="405"/>
      <c r="H15" s="398"/>
      <c r="I15" s="406"/>
      <c r="J15" s="406"/>
      <c r="K15" s="406"/>
      <c r="L15" s="406"/>
      <c r="M15" s="406"/>
      <c r="N15" s="406"/>
      <c r="O15" s="407"/>
    </row>
    <row r="16" spans="1:14" s="392" customFormat="1" ht="21" customHeight="1">
      <c r="A16" s="388"/>
      <c r="B16" s="610" t="s">
        <v>42</v>
      </c>
      <c r="C16" s="610"/>
      <c r="D16" s="610"/>
      <c r="E16" s="610"/>
      <c r="F16" s="610"/>
      <c r="G16" s="610"/>
      <c r="H16" s="610"/>
      <c r="I16" s="610"/>
      <c r="J16" s="610"/>
      <c r="K16" s="610"/>
      <c r="L16" s="610"/>
      <c r="M16" s="610"/>
      <c r="N16" s="610"/>
    </row>
    <row r="17" spans="1:14" s="395" customFormat="1" ht="3.75" customHeight="1">
      <c r="A17" s="393"/>
      <c r="B17" s="408"/>
      <c r="C17" s="409"/>
      <c r="D17" s="410"/>
      <c r="E17" s="411"/>
      <c r="F17" s="412"/>
      <c r="G17" s="412"/>
      <c r="H17" s="413"/>
      <c r="I17" s="414"/>
      <c r="J17" s="415"/>
      <c r="K17" s="416"/>
      <c r="L17" s="417"/>
      <c r="M17" s="418"/>
      <c r="N17" s="419"/>
    </row>
    <row r="18" spans="1:14" s="395" customFormat="1" ht="22.5" customHeight="1">
      <c r="A18" s="393"/>
      <c r="B18" s="622" t="s">
        <v>22</v>
      </c>
      <c r="C18" s="622"/>
      <c r="D18" s="623" t="s">
        <v>24</v>
      </c>
      <c r="E18" s="623"/>
      <c r="F18" s="623"/>
      <c r="G18" s="623"/>
      <c r="H18" s="394"/>
      <c r="I18" s="624" t="s">
        <v>25</v>
      </c>
      <c r="J18" s="624"/>
      <c r="K18" s="624"/>
      <c r="L18" s="624"/>
      <c r="M18" s="624"/>
      <c r="N18" s="624"/>
    </row>
    <row r="19" spans="1:14" s="395" customFormat="1" ht="51.75" customHeight="1">
      <c r="A19" s="393"/>
      <c r="B19" s="420" t="s">
        <v>43</v>
      </c>
      <c r="C19" s="421"/>
      <c r="D19" s="618" t="str">
        <f>IF(ISBLANK(Gestión!C8),"",(Gestión!C8))</f>
        <v>Dos condiciones parcialmente cumplidas: 
1: Absorción de recursos de la cual ya se le envió copia al FM de los contratos de los recursos absorbidos.
2.Actualización del PENM: Actualmente se esta trabajando en la revisión del mismo para poder dar respuesta al FM.
Las Acciones con fecha límite no cumplidas son:
1.Reconciliación de gastos con PNUD
2.Segregación de gastos de PNUD
3.Consolidado de existencias de productos de salud
4. Consolidado de alcance de Productos de Salud
5.Riesgo de ruptura de inventario de ARV</v>
      </c>
      <c r="E19" s="618"/>
      <c r="F19" s="618"/>
      <c r="G19" s="618"/>
      <c r="H19" s="422"/>
      <c r="I19" s="619"/>
      <c r="J19" s="619"/>
      <c r="K19" s="619"/>
      <c r="L19" s="619"/>
      <c r="M19" s="619"/>
      <c r="N19" s="619"/>
    </row>
    <row r="20" spans="1:15" ht="24.75" customHeight="1">
      <c r="A20" s="385"/>
      <c r="B20" s="423" t="s">
        <v>44</v>
      </c>
      <c r="C20" s="424"/>
      <c r="D20" s="620" t="str">
        <f>IF(ISBLANK(Gestión!I8),"",(Gestión!I8))</f>
        <v>El RP MINSAL cuenta con los principales puestos directivos, no hay puestos vacantes.</v>
      </c>
      <c r="E20" s="620">
        <f>+'Introducción de datos'!D75/'Introducción de datos'!G75</f>
        <v>0.23076923076923078</v>
      </c>
      <c r="F20" s="620">
        <f>+('Introducción de datos'!E75+'Introducción de datos'!F75)/'Introducción de datos'!G75</f>
        <v>0.7692307692307693</v>
      </c>
      <c r="G20" s="620"/>
      <c r="H20" s="422"/>
      <c r="I20" s="621"/>
      <c r="J20" s="621"/>
      <c r="K20" s="621"/>
      <c r="L20" s="621"/>
      <c r="M20" s="621"/>
      <c r="N20" s="621"/>
      <c r="O20" s="425"/>
    </row>
    <row r="21" spans="1:15" ht="29.25" customHeight="1">
      <c r="A21" s="385"/>
      <c r="B21" s="426" t="s">
        <v>45</v>
      </c>
      <c r="C21" s="424"/>
      <c r="D21" s="620" t="str">
        <f>IF(ISBLANK(Gestión!C17),"",(Gestión!C17))</f>
        <v>El RP MINSAL no cuenta con subreceptores</v>
      </c>
      <c r="E21" s="620"/>
      <c r="F21" s="620"/>
      <c r="G21" s="620"/>
      <c r="H21" s="422"/>
      <c r="I21" s="621"/>
      <c r="J21" s="621"/>
      <c r="K21" s="621"/>
      <c r="L21" s="621"/>
      <c r="M21" s="621"/>
      <c r="N21" s="621"/>
      <c r="O21" s="425"/>
    </row>
    <row r="22" spans="1:15" ht="26.25" customHeight="1">
      <c r="A22" s="385"/>
      <c r="B22" s="426" t="s">
        <v>46</v>
      </c>
      <c r="C22" s="424"/>
      <c r="D22" s="620" t="str">
        <f>IF(ISBLANK(Gestión!I19),"",(Gestión!I19))</f>
        <v>El RP MINSAL no cuenta con subreceptores</v>
      </c>
      <c r="E22" s="620"/>
      <c r="F22" s="620"/>
      <c r="G22" s="620"/>
      <c r="H22" s="422"/>
      <c r="I22" s="621"/>
      <c r="J22" s="621"/>
      <c r="K22" s="621"/>
      <c r="L22" s="621"/>
      <c r="M22" s="621"/>
      <c r="N22" s="621"/>
      <c r="O22" s="425"/>
    </row>
    <row r="23" spans="1:15" ht="72" customHeight="1">
      <c r="A23" s="385"/>
      <c r="B23" s="426" t="s">
        <v>47</v>
      </c>
      <c r="C23" s="424"/>
      <c r="D23" s="620" t="str">
        <f>IF(ISBLANK(Gestión!C28),"",(Gestión!C28))</f>
        <v>Para el primer semestre se tuvo retrasos en la adquisición de 2 ARV situación que se solvento con préstamos al ISSS. En cuanto a reactivos no se ha presentado retraso durante este semestre en las compras, ya que se contaba con los reactivos que fueron adquiridos con presupuesto 2016 y recibidos a inicios del año en curso.</v>
      </c>
      <c r="E23" s="620"/>
      <c r="F23" s="620"/>
      <c r="G23" s="620"/>
      <c r="H23" s="422"/>
      <c r="I23" s="621"/>
      <c r="J23" s="621"/>
      <c r="K23" s="621"/>
      <c r="L23" s="621"/>
      <c r="M23" s="621"/>
      <c r="N23" s="621"/>
      <c r="O23" s="425"/>
    </row>
    <row r="24" spans="1:15" ht="27" customHeight="1">
      <c r="A24" s="385"/>
      <c r="B24" s="427" t="s">
        <v>48</v>
      </c>
      <c r="C24" s="428"/>
      <c r="D24" s="625" t="str">
        <f>IF(ISBLANK(Gestión!I29),"",(Gestión!I29))</f>
        <v>Con presupuesto del Fondo Mundial actualmente no se adquieren ARV, 
 Casi un 50% de los usuarios VIH (+) utilizan Efavirenz + emtricitabina + tenofovir ( ATRIPLA) por lo cual es el que se esta reportando.
De este no se ha tenido desabastecimiento, ni vencimientos  durante el período de enero a junio del  año 2017 y se cuenta con existencias para 9 meses dándole cobertura a los 4,057 pacientes que actualmente se encuentran recibiendo dicho medicamento.</v>
      </c>
      <c r="E24" s="625"/>
      <c r="F24" s="625"/>
      <c r="G24" s="625"/>
      <c r="H24" s="422"/>
      <c r="I24" s="626"/>
      <c r="J24" s="626"/>
      <c r="K24" s="626"/>
      <c r="L24" s="626"/>
      <c r="M24" s="626"/>
      <c r="N24" s="626"/>
      <c r="O24" s="425"/>
    </row>
    <row r="25" spans="1:15" ht="4.5" customHeight="1">
      <c r="A25" s="388"/>
      <c r="B25" s="429"/>
      <c r="C25" s="430"/>
      <c r="D25" s="431"/>
      <c r="E25" s="432"/>
      <c r="F25" s="433"/>
      <c r="G25" s="433"/>
      <c r="H25" s="394"/>
      <c r="I25" s="432"/>
      <c r="J25" s="434"/>
      <c r="K25" s="416"/>
      <c r="L25" s="417"/>
      <c r="M25" s="418"/>
      <c r="N25" s="419"/>
      <c r="O25" s="425"/>
    </row>
    <row r="26" spans="1:14" s="392" customFormat="1" ht="21" customHeight="1">
      <c r="A26" s="388"/>
      <c r="B26" s="610" t="s">
        <v>49</v>
      </c>
      <c r="C26" s="610"/>
      <c r="D26" s="610"/>
      <c r="E26" s="610"/>
      <c r="F26" s="610"/>
      <c r="G26" s="610"/>
      <c r="H26" s="610"/>
      <c r="I26" s="610"/>
      <c r="J26" s="610"/>
      <c r="K26" s="610"/>
      <c r="L26" s="610"/>
      <c r="M26" s="610"/>
      <c r="N26" s="610"/>
    </row>
    <row r="27" spans="1:15" ht="3.75" customHeight="1">
      <c r="A27" s="388"/>
      <c r="B27" s="429"/>
      <c r="C27" s="430"/>
      <c r="D27" s="431"/>
      <c r="E27" s="432"/>
      <c r="F27" s="433"/>
      <c r="G27" s="433"/>
      <c r="H27" s="394"/>
      <c r="I27" s="432"/>
      <c r="J27" s="434"/>
      <c r="K27" s="416"/>
      <c r="L27" s="417"/>
      <c r="M27" s="418"/>
      <c r="N27" s="419"/>
      <c r="O27" s="425"/>
    </row>
    <row r="28" spans="1:15" ht="21.75" customHeight="1">
      <c r="A28" s="385"/>
      <c r="B28" s="631" t="s">
        <v>50</v>
      </c>
      <c r="C28" s="631"/>
      <c r="D28" s="632" t="s">
        <v>24</v>
      </c>
      <c r="E28" s="632"/>
      <c r="F28" s="632"/>
      <c r="G28" s="632"/>
      <c r="H28" s="394"/>
      <c r="I28" s="632" t="s">
        <v>25</v>
      </c>
      <c r="J28" s="632"/>
      <c r="K28" s="632"/>
      <c r="L28" s="632"/>
      <c r="M28" s="632"/>
      <c r="N28" s="632"/>
      <c r="O28" s="425"/>
    </row>
    <row r="29" spans="1:15" ht="67.5" customHeight="1">
      <c r="A29" s="385"/>
      <c r="B29" s="435" t="s">
        <v>51</v>
      </c>
      <c r="C29" s="436"/>
      <c r="D29" s="627" t="str">
        <f>IF(ISBLANK(Programatico!C9),"",(Programatico!C9))</f>
        <v>Actualmente el 100% de los usuarios que consultan a los Hospitales con TAR y que cumplen criterios para iniciar la misma se encuentran recibiendo tratamiento.
En relación a la meta del año 2017 un  84% de los pacientes estimados  viviendo con VIH se encuentran en TAR.</v>
      </c>
      <c r="E29" s="627"/>
      <c r="F29" s="627"/>
      <c r="G29" s="627"/>
      <c r="H29" s="422"/>
      <c r="I29" s="628"/>
      <c r="J29" s="628"/>
      <c r="K29" s="628"/>
      <c r="L29" s="628"/>
      <c r="M29" s="628"/>
      <c r="N29" s="628"/>
      <c r="O29" s="425"/>
    </row>
    <row r="30" spans="1:15" ht="47.25" customHeight="1">
      <c r="A30" s="385"/>
      <c r="B30" s="437" t="s">
        <v>52</v>
      </c>
      <c r="C30" s="438"/>
      <c r="D30" s="629" t="str">
        <f>IF(ISBLANK(Programatico!G9),"",(Programatico!G9))</f>
        <v>Se ha realizado un esfuerzo conjunto con PLAN Internacional logrando así mejorar la cobertura de años anteriores, pero a pesar del esfuerzo se ha encontrado con diferentes dificultades en la ejecución tales como:  dificultad en encontrar el número de HSH estimados por Departamentos, altos grados de delincuencia hacia estas poblaciones y la población en general.
El número de referencias efectivas registradas hasta el momento en el SUMEVE para esta población es de  2,273</v>
      </c>
      <c r="E30" s="629"/>
      <c r="F30" s="629"/>
      <c r="G30" s="629"/>
      <c r="H30" s="422"/>
      <c r="I30" s="630"/>
      <c r="J30" s="630"/>
      <c r="K30" s="630"/>
      <c r="L30" s="630"/>
      <c r="M30" s="630"/>
      <c r="N30" s="630"/>
      <c r="O30" s="425"/>
    </row>
    <row r="31" spans="1:15" ht="127.5" customHeight="1">
      <c r="A31" s="385"/>
      <c r="B31" s="437" t="s">
        <v>53</v>
      </c>
      <c r="C31" s="438"/>
      <c r="D31" s="629" t="str">
        <f>IF(ISBLANK(Programatico!M9),"",(Programatico!M9))</f>
        <v>Debido a la diversidad de formas o lugares en el cual se puede desarrollar el TS, se ha tenido dificultad para el abordaje a esta población, ya que algunas laboran con horarios nocturnos y otras en lugares donde no les permiten salir del local y en ocasiones tampoco autorizan la entrada para abordaje o tamizaje de las TS, a pesar de estas dificultades el MINSAL ha recibido 1,871 referencias efectivas, muchas de ellas se han logrado a través de actividades extramurales con acompañamiento de personal de los CCPI y las UCSF.</v>
      </c>
      <c r="E31" s="629"/>
      <c r="F31" s="629"/>
      <c r="G31" s="629"/>
      <c r="H31" s="422"/>
      <c r="I31" s="630"/>
      <c r="J31" s="630"/>
      <c r="K31" s="630"/>
      <c r="L31" s="630"/>
      <c r="M31" s="630"/>
      <c r="N31" s="630"/>
      <c r="O31" s="425"/>
    </row>
    <row r="32" spans="1:15" ht="207" customHeight="1">
      <c r="A32" s="385"/>
      <c r="B32" s="439" t="s">
        <v>242</v>
      </c>
      <c r="C32" s="438"/>
      <c r="D32" s="633" t="str">
        <f>IF(ISBLANK(Programatico!L20),"",(Programatico!L20))</f>
        <v>De las 10,799 personas viviendo con VIH estimadas para el año 2017actualmente 9076 se encuentran con TAR, alcanzando un logro del 84% con relación a la meta</v>
      </c>
      <c r="E32" s="633"/>
      <c r="F32" s="633"/>
      <c r="G32" s="633"/>
      <c r="H32" s="422"/>
      <c r="I32" s="630"/>
      <c r="J32" s="630"/>
      <c r="K32" s="630"/>
      <c r="L32" s="630"/>
      <c r="M32" s="630"/>
      <c r="N32" s="630"/>
      <c r="O32" s="425"/>
    </row>
    <row r="33" spans="1:15" ht="150" customHeight="1">
      <c r="A33" s="385"/>
      <c r="B33" s="439" t="s">
        <v>259</v>
      </c>
      <c r="C33" s="438"/>
      <c r="D33" s="633" t="str">
        <f>IF(ISBLANK(Programatico!L21),"",(Programatico!L21))</f>
        <v>Los datos reportados en este indicador son datos preliminares, ya que actualmente no se ha realizado el barrido administrativo para recuperar la información en el SUMEVE, anteriormente las post consejerías se reportaban en el SEPS el cual no era de forma nominal. De igual manera aún no se cuenta con los datos de PEPFAR.
Lo que si se logra observar es que en comparación con el número de post consejerías brindadas  durante el año 2016  (3,957 post consejerías anuales) se evidencia un aumento de las mismas a pesar de que solo se esta reportando un semestre y que aún no se cuenta con la información completa. 
Si tomamos la meta completa al momento se tiene un logro del 28% de post consejerías registradas y si solo tomamos la meta de FM se tiene un logro de 32.3% en post consejerías y un alcance en pruebas de un 51% de la meta total y un 60% de la meta del FM.
Este logro se debe al esfuerzo realizado por PLAN internacional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v>
      </c>
      <c r="E33" s="633"/>
      <c r="F33" s="633"/>
      <c r="G33" s="633"/>
      <c r="H33" s="422"/>
      <c r="I33" s="630"/>
      <c r="J33" s="630"/>
      <c r="K33" s="630"/>
      <c r="L33" s="630"/>
      <c r="M33" s="630"/>
      <c r="N33" s="630"/>
      <c r="O33" s="425"/>
    </row>
    <row r="34" spans="1:15" ht="186" customHeight="1">
      <c r="A34" s="385"/>
      <c r="B34" s="439" t="s">
        <v>260</v>
      </c>
      <c r="C34" s="438"/>
      <c r="D34" s="633" t="str">
        <f>IF(ISBLANK(Programatico!L21),"",(Programatico!L21))</f>
        <v>Los datos reportados en este indicador son datos preliminares, ya que actualmente no se ha realizado el barrido administrativo para recuperar la información en el SUMEVE, anteriormente las post consejerías se reportaban en el SEPS el cual no era de forma nominal. De igual manera aún no se cuenta con los datos de PEPFAR.
Lo que si se logra observar es que en comparación con el número de post consejerías brindadas  durante el año 2016  (3,957 post consejerías anuales) se evidencia un aumento de las mismas a pesar de que solo se esta reportando un semestre y que aún no se cuenta con la información completa. 
Si tomamos la meta completa al momento se tiene un logro del 28% de post consejerías registradas y si solo tomamos la meta de FM se tiene un logro de 32.3% en post consejerías y un alcance en pruebas de un 51% de la meta total y un 60% de la meta del FM.
Este logro se debe al esfuerzo realizado por PLAN internacional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v>
      </c>
      <c r="E34" s="633"/>
      <c r="F34" s="633"/>
      <c r="G34" s="633"/>
      <c r="H34" s="422"/>
      <c r="I34" s="630"/>
      <c r="J34" s="630"/>
      <c r="K34" s="630"/>
      <c r="L34" s="630"/>
      <c r="M34" s="630"/>
      <c r="N34" s="630"/>
      <c r="O34" s="425"/>
    </row>
    <row r="35" spans="1:15" ht="217.5" customHeight="1">
      <c r="A35" s="385"/>
      <c r="B35" s="439" t="s">
        <v>261</v>
      </c>
      <c r="C35" s="440"/>
      <c r="D35" s="633" t="str">
        <f>IF(ISBLANK(Programatico!L22),"",(Programatico!L22))</f>
        <v>Los datos reportados en este indicador son datos preliminares, ya que actualmente no se ha realizado el barrido administrativo para recuperar la información en el SUMEVE, anteriormente las post consejerías se reportaban en el SEPS el cual no era de forma nominal. De igual manera aún no se cuenta con los datos de PEPFAR.
Lo que si se logra observar es que en comparación a la ejecución de este indicador con el año 2016 (4,713 post consejerías anual) se evidencia una mejora de las mismas a pesar de que solo se esta reportando un semestre y que aún no se cuenta con la información completa. 
Si tomamos la meta completa FM + PEPFAR al momento se tiene un logro del 45% de post consejerías registradas y si solo tomamos la meta de FM se tiene un logro de 48% en post consejerías y un alcance en pruebas de un 65%  del Total de la meta y 69% solo meta FM
Este logro se debe al esfuerzo realizado por PLAN internacional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v>
      </c>
      <c r="E35" s="633"/>
      <c r="F35" s="633"/>
      <c r="G35" s="633"/>
      <c r="H35" s="422"/>
      <c r="I35" s="630"/>
      <c r="J35" s="630"/>
      <c r="K35" s="630"/>
      <c r="L35" s="630"/>
      <c r="M35" s="630"/>
      <c r="N35" s="630"/>
      <c r="O35" s="425"/>
    </row>
    <row r="36" spans="1:15" ht="94.5" customHeight="1">
      <c r="A36" s="385"/>
      <c r="B36" s="439" t="s">
        <v>262</v>
      </c>
      <c r="C36" s="440"/>
      <c r="D36" s="633" t="str">
        <f>IF(ISBLANK(Programatico!L23),"",(Programatico!L23))</f>
        <v>Los datos reportados en este indicador son datos preliminares, ya que actualmente no se ha realizado el barrido administrativo para recuperar la información en el SUMEVE, anteriormente las post consejerías se reportaban en el SEPS el cual no era de forma nominal. 
Comparando el número de post consejerías brindadas en el año 2016 ( 213 post consejerías anual) se evidencia una mejora de las mismas durante este período a pesar de que solo se esta reportando un semestre y que aún no se cuenta con la información completa. 
Este logro se debe al esfuerzo realizado por PLAN internacional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v>
      </c>
      <c r="E36" s="633"/>
      <c r="F36" s="633"/>
      <c r="G36" s="633"/>
      <c r="H36" s="422"/>
      <c r="I36" s="630"/>
      <c r="J36" s="630"/>
      <c r="K36" s="630"/>
      <c r="L36" s="630"/>
      <c r="M36" s="630"/>
      <c r="N36" s="630"/>
      <c r="O36" s="425"/>
    </row>
    <row r="37" spans="1:15" ht="129.75" customHeight="1">
      <c r="A37" s="385"/>
      <c r="B37" s="439" t="s">
        <v>263</v>
      </c>
      <c r="C37" s="440"/>
      <c r="D37" s="633" t="str">
        <f>IF(ISBLANK(Programatico!L24),"",(Programatico!L24))</f>
        <v>Un 82% de los usuarios que iniciaron TAR y que cuentan aunque sea con una CV se les reporto CV indetectable</v>
      </c>
      <c r="E37" s="633"/>
      <c r="F37" s="633"/>
      <c r="G37" s="633"/>
      <c r="H37" s="422"/>
      <c r="I37" s="630"/>
      <c r="J37" s="630"/>
      <c r="K37" s="630"/>
      <c r="L37" s="630"/>
      <c r="M37" s="630"/>
      <c r="N37" s="630"/>
      <c r="O37" s="425"/>
    </row>
    <row r="38" spans="1:15" ht="254.25" customHeight="1">
      <c r="A38" s="385"/>
      <c r="B38" s="439" t="s">
        <v>264</v>
      </c>
      <c r="C38" s="440"/>
      <c r="D38" s="633" t="str">
        <f>IF(ISBLANK(Programatico!L25),"",(Programatico!L25))</f>
        <v>Dato pendiente aún no se tiene el consolidado debido a los cambios que ha tenido el SUMEVE en la incorporación de las post consejerías.</v>
      </c>
      <c r="E38" s="633"/>
      <c r="F38" s="633"/>
      <c r="G38" s="633"/>
      <c r="H38" s="422"/>
      <c r="I38" s="630"/>
      <c r="J38" s="630"/>
      <c r="K38" s="630"/>
      <c r="L38" s="630"/>
      <c r="M38" s="630"/>
      <c r="N38" s="630"/>
      <c r="O38" s="425"/>
    </row>
    <row r="39" spans="1:15" ht="87.75" customHeight="1">
      <c r="A39" s="385"/>
      <c r="B39" s="439" t="s">
        <v>265</v>
      </c>
      <c r="C39" s="440"/>
      <c r="D39" s="633" t="str">
        <f>IF(ISBLANK(Programatico!L27),"",(Programatico!L27))</f>
        <v>Este dato se brindará en el próximo Tablero de Mando ya que al sistema SIAP de las VICITS se le esta realizando actualizaciones y depuración. Dato pendiente de ser enviado por el PNVIH</v>
      </c>
      <c r="E39" s="633"/>
      <c r="F39" s="633"/>
      <c r="G39" s="633"/>
      <c r="H39" s="422"/>
      <c r="I39" s="630"/>
      <c r="J39" s="630"/>
      <c r="K39" s="630"/>
      <c r="L39" s="630"/>
      <c r="M39" s="630"/>
      <c r="N39" s="630"/>
      <c r="O39" s="425"/>
    </row>
    <row r="40" spans="1:15" ht="54" customHeight="1">
      <c r="A40" s="385"/>
      <c r="B40" s="439" t="s">
        <v>266</v>
      </c>
      <c r="C40" s="440"/>
      <c r="D40" s="633">
        <f>IF(ISBLANK(Programatico!L28),"",(Programatico!L28))</f>
      </c>
      <c r="E40" s="633"/>
      <c r="F40" s="633"/>
      <c r="G40" s="633"/>
      <c r="H40" s="422"/>
      <c r="I40" s="630"/>
      <c r="J40" s="630"/>
      <c r="K40" s="630"/>
      <c r="L40" s="630"/>
      <c r="M40" s="630"/>
      <c r="N40" s="630"/>
      <c r="O40" s="425"/>
    </row>
    <row r="41" spans="1:15" ht="81" customHeight="1">
      <c r="A41" s="385"/>
      <c r="B41" s="439" t="s">
        <v>267</v>
      </c>
      <c r="C41" s="441"/>
      <c r="D41" s="633" t="e">
        <f>IF(ISBLANK(Programatico!#REF!),"",(Programatico!#REF!))</f>
        <v>#REF!</v>
      </c>
      <c r="E41" s="633"/>
      <c r="F41" s="633"/>
      <c r="G41" s="633"/>
      <c r="H41" s="422"/>
      <c r="I41" s="634"/>
      <c r="J41" s="634"/>
      <c r="K41" s="634"/>
      <c r="L41" s="634"/>
      <c r="M41" s="634"/>
      <c r="N41" s="634"/>
      <c r="O41" s="425"/>
    </row>
  </sheetData>
  <sheetProtection selectLockedCells="1" selectUnlockedCells="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4:G14"/>
    <mergeCell ref="I14:N14"/>
    <mergeCell ref="D11:G11"/>
    <mergeCell ref="I11:N11"/>
    <mergeCell ref="D12:G12"/>
    <mergeCell ref="I12:N12"/>
    <mergeCell ref="E6:K6"/>
    <mergeCell ref="B8:N8"/>
    <mergeCell ref="B10:C10"/>
    <mergeCell ref="D10:G10"/>
    <mergeCell ref="I10:N10"/>
    <mergeCell ref="D13:G13"/>
    <mergeCell ref="I13:N13"/>
    <mergeCell ref="B2:N2"/>
    <mergeCell ref="C3:D3"/>
    <mergeCell ref="E3:K3"/>
    <mergeCell ref="C4:D4"/>
    <mergeCell ref="E4:K4"/>
    <mergeCell ref="E5:K5"/>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20" zoomScaleNormal="120" zoomScaleSheetLayoutView="100" zoomScalePageLayoutView="0" workbookViewId="0" topLeftCell="A1">
      <selection activeCell="B18" sqref="B18"/>
    </sheetView>
  </sheetViews>
  <sheetFormatPr defaultColWidth="9.140625" defaultRowHeight="15"/>
  <cols>
    <col min="1" max="1" width="23.8515625" style="0" customWidth="1"/>
    <col min="2" max="2" width="46.00390625" style="0" customWidth="1"/>
    <col min="3" max="4" width="8.8515625" style="0" customWidth="1"/>
    <col min="5" max="5" width="19.00390625" style="0" customWidth="1"/>
    <col min="6" max="6" width="1.421875" style="0" customWidth="1"/>
    <col min="7" max="7" width="9.140625" style="0" customWidth="1"/>
    <col min="8" max="8" width="9.57421875" style="0" customWidth="1"/>
    <col min="9" max="9" width="8.8515625" style="0" customWidth="1"/>
    <col min="10" max="10" width="98.28125" style="0" customWidth="1"/>
    <col min="11" max="11" width="44.421875" style="0" customWidth="1"/>
    <col min="12" max="12" width="59.7109375" style="0" customWidth="1"/>
  </cols>
  <sheetData>
    <row r="1" ht="30.75" customHeight="1"/>
    <row r="2" spans="2:12" ht="27.75" customHeight="1">
      <c r="B2" s="576" t="str">
        <f>+"Cuadro de mando:  "&amp;"  "&amp;+'Introducción de datos'!C4&amp;" - "&amp;'Introducción de datos'!G6</f>
        <v>Cuadro de mando:    El Salvador - VIH / SIDA</v>
      </c>
      <c r="C2" s="576"/>
      <c r="D2" s="576"/>
      <c r="E2" s="576"/>
      <c r="F2" s="576"/>
      <c r="G2" s="576"/>
      <c r="H2" s="576"/>
      <c r="I2" s="576"/>
      <c r="J2" s="576"/>
      <c r="K2" s="576"/>
      <c r="L2" s="576"/>
    </row>
    <row r="3" spans="2:13" ht="14.25">
      <c r="B3" s="333" t="str">
        <f>+'Introducción de datos'!G8</f>
        <v>SSF/NMF</v>
      </c>
      <c r="C3" s="577" t="str">
        <f>+'Introducción de datos'!I8</f>
        <v>Fase 2</v>
      </c>
      <c r="D3" s="577"/>
      <c r="E3" s="578"/>
      <c r="F3" s="578"/>
      <c r="G3" s="578"/>
      <c r="H3" s="578"/>
      <c r="I3" s="578"/>
      <c r="J3" s="579" t="str">
        <f>+'Introducción de datos'!B16</f>
        <v>Periodo:</v>
      </c>
      <c r="K3" s="579"/>
      <c r="L3" s="358" t="str">
        <f>+'Introducción de datos'!C16</f>
        <v>P1</v>
      </c>
      <c r="M3" s="442"/>
    </row>
    <row r="4" spans="2:12" ht="14.25">
      <c r="B4" s="333" t="str">
        <f>+'Introducción de datos'!B12</f>
        <v>Ultima calificación:</v>
      </c>
      <c r="C4" s="635" t="str">
        <f>+'Introducción de datos'!C12</f>
        <v>B2</v>
      </c>
      <c r="D4" s="635"/>
      <c r="E4" s="578" t="str">
        <f>+'Introducción de datos'!C8</f>
        <v>Ministerio de Salud </v>
      </c>
      <c r="F4" s="578"/>
      <c r="G4" s="578"/>
      <c r="H4" s="578"/>
      <c r="I4" s="578"/>
      <c r="J4" s="579" t="str">
        <f>+'Introducción de datos'!D16</f>
        <v>Desde:</v>
      </c>
      <c r="K4" s="579"/>
      <c r="L4" s="305">
        <f>+'Introducción de datos'!E16</f>
        <v>42736</v>
      </c>
    </row>
    <row r="5" spans="2:12" ht="18.75" customHeight="1">
      <c r="B5" s="333"/>
      <c r="C5" s="333"/>
      <c r="D5" s="578" t="str">
        <f>+'Introducción de datos'!G4</f>
        <v>INNOVANDO SERVICIOS, REDUCIENDO RIESGOS, RENOVANDO VIDAS EN EL SALVADOR</v>
      </c>
      <c r="E5" s="578"/>
      <c r="F5" s="578"/>
      <c r="G5" s="578"/>
      <c r="H5" s="578"/>
      <c r="I5" s="578"/>
      <c r="J5" s="578"/>
      <c r="K5" s="333" t="str">
        <f>+'Introducción de datos'!F16</f>
        <v>Hasta:</v>
      </c>
      <c r="L5" s="305">
        <f>+'Introducción de datos'!G16</f>
        <v>42916</v>
      </c>
    </row>
    <row r="6" spans="2:9" ht="18">
      <c r="B6" s="334"/>
      <c r="C6" s="333"/>
      <c r="D6" s="307"/>
      <c r="E6" s="580" t="s">
        <v>54</v>
      </c>
      <c r="F6" s="580"/>
      <c r="G6" s="580"/>
      <c r="H6" s="580"/>
      <c r="I6" s="580"/>
    </row>
    <row r="7" spans="5:9" ht="18">
      <c r="E7" s="443"/>
      <c r="F7" s="443"/>
      <c r="G7" s="443"/>
      <c r="H7" s="443"/>
      <c r="I7" s="443"/>
    </row>
    <row r="8" spans="2:12" s="392" customFormat="1" ht="21" customHeight="1">
      <c r="B8" s="444" t="s">
        <v>55</v>
      </c>
      <c r="C8" s="445"/>
      <c r="D8" s="445"/>
      <c r="E8" s="445"/>
      <c r="F8" s="445"/>
      <c r="G8" s="445"/>
      <c r="H8" s="445"/>
      <c r="I8" s="445"/>
      <c r="J8" s="445"/>
      <c r="K8" s="445"/>
      <c r="L8" s="445"/>
    </row>
    <row r="9" ht="6" customHeight="1">
      <c r="B9" s="446"/>
    </row>
    <row r="10" spans="2:12" ht="14.25">
      <c r="B10" s="640"/>
      <c r="C10" s="640"/>
      <c r="D10" s="640"/>
      <c r="E10" s="640"/>
      <c r="F10" s="640"/>
      <c r="G10" s="640"/>
      <c r="H10" s="640"/>
      <c r="I10" s="640"/>
      <c r="J10" s="640"/>
      <c r="K10" s="640"/>
      <c r="L10" s="640"/>
    </row>
    <row r="11" spans="2:12" ht="14.25">
      <c r="B11" s="640"/>
      <c r="C11" s="640"/>
      <c r="D11" s="640"/>
      <c r="E11" s="640"/>
      <c r="F11" s="640"/>
      <c r="G11" s="640"/>
      <c r="H11" s="640"/>
      <c r="I11" s="640"/>
      <c r="J11" s="640"/>
      <c r="K11" s="640"/>
      <c r="L11" s="640"/>
    </row>
    <row r="13" spans="1:12" ht="42" customHeight="1">
      <c r="A13" s="447"/>
      <c r="B13" s="641" t="s">
        <v>56</v>
      </c>
      <c r="C13" s="641"/>
      <c r="D13" s="641"/>
      <c r="E13" s="641"/>
      <c r="F13" s="448"/>
      <c r="G13" s="642" t="s">
        <v>57</v>
      </c>
      <c r="H13" s="642"/>
      <c r="I13" s="642"/>
      <c r="J13" s="449" t="s">
        <v>58</v>
      </c>
      <c r="K13" s="643" t="s">
        <v>59</v>
      </c>
      <c r="L13" s="643"/>
    </row>
    <row r="14" spans="1:12" ht="33.75" customHeight="1">
      <c r="A14" s="648" t="s">
        <v>276</v>
      </c>
      <c r="B14" s="638" t="s">
        <v>60</v>
      </c>
      <c r="C14" s="638"/>
      <c r="D14" s="638"/>
      <c r="E14" s="638"/>
      <c r="F14" s="94"/>
      <c r="G14" s="649"/>
      <c r="H14" s="649"/>
      <c r="I14" s="649"/>
      <c r="J14" s="650"/>
      <c r="K14" s="644"/>
      <c r="L14" s="644"/>
    </row>
    <row r="15" spans="1:12" ht="15.75" customHeight="1">
      <c r="A15" s="648"/>
      <c r="B15" s="638"/>
      <c r="C15" s="638"/>
      <c r="D15" s="638"/>
      <c r="E15" s="638"/>
      <c r="F15" s="94"/>
      <c r="G15" s="649"/>
      <c r="H15" s="649"/>
      <c r="I15" s="649"/>
      <c r="J15" s="650"/>
      <c r="K15" s="644"/>
      <c r="L15" s="644"/>
    </row>
    <row r="16" spans="1:12" ht="25.5" customHeight="1">
      <c r="A16" s="648"/>
      <c r="B16" s="638" t="s">
        <v>61</v>
      </c>
      <c r="C16" s="638"/>
      <c r="D16" s="638"/>
      <c r="E16" s="638"/>
      <c r="F16" s="94"/>
      <c r="G16" s="645"/>
      <c r="H16" s="645"/>
      <c r="I16" s="645"/>
      <c r="J16" s="646"/>
      <c r="K16" s="647"/>
      <c r="L16" s="647"/>
    </row>
    <row r="17" spans="1:12" ht="24" customHeight="1">
      <c r="A17" s="648"/>
      <c r="B17" s="638"/>
      <c r="C17" s="638"/>
      <c r="D17" s="638"/>
      <c r="E17" s="638"/>
      <c r="F17" s="94"/>
      <c r="G17" s="645"/>
      <c r="H17" s="645"/>
      <c r="I17" s="645"/>
      <c r="J17" s="646"/>
      <c r="K17" s="647"/>
      <c r="L17" s="647"/>
    </row>
    <row r="18" spans="1:12" ht="14.25" customHeight="1">
      <c r="A18" s="648"/>
      <c r="B18" s="638" t="s">
        <v>62</v>
      </c>
      <c r="C18" s="638"/>
      <c r="D18" s="638"/>
      <c r="E18" s="638"/>
      <c r="F18" s="94"/>
      <c r="G18" s="636"/>
      <c r="H18" s="636"/>
      <c r="I18" s="636"/>
      <c r="J18" s="637"/>
      <c r="K18" s="647"/>
      <c r="L18" s="647"/>
    </row>
    <row r="19" spans="1:12" ht="39" customHeight="1">
      <c r="A19" s="648"/>
      <c r="B19" s="638"/>
      <c r="C19" s="638"/>
      <c r="D19" s="638"/>
      <c r="E19" s="638"/>
      <c r="F19" s="94"/>
      <c r="G19" s="636"/>
      <c r="H19" s="636"/>
      <c r="I19" s="636"/>
      <c r="J19" s="637"/>
      <c r="K19" s="637"/>
      <c r="L19" s="647"/>
    </row>
    <row r="20" spans="1:12" ht="14.25">
      <c r="A20" s="648"/>
      <c r="B20" s="638"/>
      <c r="C20" s="638"/>
      <c r="D20" s="638"/>
      <c r="E20" s="638"/>
      <c r="F20" s="94"/>
      <c r="G20" s="639"/>
      <c r="H20" s="639"/>
      <c r="I20" s="639"/>
      <c r="J20" s="637"/>
      <c r="K20" s="647"/>
      <c r="L20" s="647"/>
    </row>
    <row r="21" spans="1:12" ht="14.25">
      <c r="A21" s="648"/>
      <c r="B21" s="638"/>
      <c r="C21" s="638"/>
      <c r="D21" s="638"/>
      <c r="E21" s="638"/>
      <c r="F21" s="94"/>
      <c r="G21" s="639"/>
      <c r="H21" s="639"/>
      <c r="I21" s="639"/>
      <c r="J21" s="637"/>
      <c r="K21" s="637"/>
      <c r="L21" s="647"/>
    </row>
    <row r="22" spans="1:12" ht="14.25">
      <c r="A22" s="648"/>
      <c r="B22" s="638"/>
      <c r="C22" s="638"/>
      <c r="D22" s="638"/>
      <c r="E22" s="638"/>
      <c r="F22" s="94"/>
      <c r="G22" s="639"/>
      <c r="H22" s="639"/>
      <c r="I22" s="639"/>
      <c r="J22" s="637"/>
      <c r="K22" s="647"/>
      <c r="L22" s="647"/>
    </row>
    <row r="23" spans="1:12" ht="14.25">
      <c r="A23" s="648"/>
      <c r="B23" s="638"/>
      <c r="C23" s="638"/>
      <c r="D23" s="638"/>
      <c r="E23" s="638"/>
      <c r="F23" s="94"/>
      <c r="G23" s="639"/>
      <c r="H23" s="639"/>
      <c r="I23" s="639"/>
      <c r="J23" s="637"/>
      <c r="K23" s="637"/>
      <c r="L23" s="647"/>
    </row>
    <row r="24" spans="1:12" ht="14.25">
      <c r="A24" s="648"/>
      <c r="B24" s="651"/>
      <c r="C24" s="651"/>
      <c r="D24" s="651"/>
      <c r="E24" s="651"/>
      <c r="F24" s="94"/>
      <c r="G24" s="652"/>
      <c r="H24" s="652"/>
      <c r="I24" s="652"/>
      <c r="J24" s="653"/>
      <c r="K24" s="654"/>
      <c r="L24" s="654"/>
    </row>
    <row r="25" spans="1:12" ht="14.25">
      <c r="A25" s="648"/>
      <c r="B25" s="651"/>
      <c r="C25" s="651"/>
      <c r="D25" s="651"/>
      <c r="E25" s="651"/>
      <c r="F25" s="94"/>
      <c r="G25" s="652"/>
      <c r="H25" s="652"/>
      <c r="I25" s="652"/>
      <c r="J25" s="653"/>
      <c r="K25" s="653"/>
      <c r="L25" s="654"/>
    </row>
    <row r="26" spans="1:12" ht="14.25">
      <c r="A26" s="447"/>
      <c r="B26" s="447"/>
      <c r="C26" s="447"/>
      <c r="D26" s="447"/>
      <c r="E26" s="447"/>
      <c r="F26" s="447"/>
      <c r="G26" s="447"/>
      <c r="H26" s="447"/>
      <c r="I26" s="447"/>
      <c r="J26" s="447"/>
      <c r="K26" s="447"/>
      <c r="L26" s="447"/>
    </row>
    <row r="27" spans="1:12" ht="18">
      <c r="A27" s="447"/>
      <c r="B27" s="447"/>
      <c r="C27" s="447"/>
      <c r="D27" s="447"/>
      <c r="E27" s="450" t="s">
        <v>63</v>
      </c>
      <c r="F27" s="451"/>
      <c r="G27" s="451"/>
      <c r="H27" s="451"/>
      <c r="I27" s="451"/>
      <c r="J27" s="447"/>
      <c r="K27" s="447"/>
      <c r="L27" s="447"/>
    </row>
    <row r="28" spans="1:12" ht="6" customHeight="1">
      <c r="A28" s="447"/>
      <c r="B28" s="447"/>
      <c r="C28" s="447"/>
      <c r="D28" s="447"/>
      <c r="E28" s="452"/>
      <c r="F28" s="452"/>
      <c r="G28" s="452"/>
      <c r="H28" s="452"/>
      <c r="I28" s="452"/>
      <c r="J28" s="447"/>
      <c r="K28" s="447"/>
      <c r="L28" s="447"/>
    </row>
    <row r="29" spans="1:12" s="392" customFormat="1" ht="21" customHeight="1">
      <c r="A29" s="453"/>
      <c r="B29" s="444" t="s">
        <v>64</v>
      </c>
      <c r="C29" s="454"/>
      <c r="D29" s="454"/>
      <c r="E29" s="454"/>
      <c r="F29" s="454"/>
      <c r="G29" s="454"/>
      <c r="H29" s="454"/>
      <c r="I29" s="454"/>
      <c r="J29" s="454"/>
      <c r="K29" s="454"/>
      <c r="L29" s="454"/>
    </row>
    <row r="30" spans="1:12" ht="6" customHeight="1">
      <c r="A30" s="447"/>
      <c r="B30" s="455"/>
      <c r="C30" s="447"/>
      <c r="D30" s="447"/>
      <c r="E30" s="447"/>
      <c r="F30" s="447"/>
      <c r="G30" s="447"/>
      <c r="H30" s="447"/>
      <c r="I30" s="447"/>
      <c r="J30" s="447"/>
      <c r="K30" s="447"/>
      <c r="L30" s="447"/>
    </row>
    <row r="31" spans="1:12" ht="45" customHeight="1">
      <c r="A31" s="447"/>
      <c r="B31" s="641" t="s">
        <v>57</v>
      </c>
      <c r="C31" s="641"/>
      <c r="D31" s="641"/>
      <c r="E31" s="641"/>
      <c r="F31" s="448"/>
      <c r="G31" s="642" t="s">
        <v>65</v>
      </c>
      <c r="H31" s="642"/>
      <c r="I31" s="642"/>
      <c r="J31" s="449" t="s">
        <v>58</v>
      </c>
      <c r="K31" s="643" t="s">
        <v>59</v>
      </c>
      <c r="L31" s="643"/>
    </row>
    <row r="32" spans="1:12" ht="18.75" customHeight="1">
      <c r="A32" s="648" t="s">
        <v>66</v>
      </c>
      <c r="B32" s="655"/>
      <c r="C32" s="655"/>
      <c r="D32" s="655"/>
      <c r="E32" s="655"/>
      <c r="F32" s="94"/>
      <c r="G32" s="656"/>
      <c r="H32" s="656"/>
      <c r="I32" s="656"/>
      <c r="J32" s="657"/>
      <c r="K32" s="658"/>
      <c r="L32" s="658"/>
    </row>
    <row r="33" spans="1:12" ht="18.75" customHeight="1">
      <c r="A33" s="648"/>
      <c r="B33" s="655"/>
      <c r="C33" s="655"/>
      <c r="D33" s="655"/>
      <c r="E33" s="655"/>
      <c r="F33" s="94"/>
      <c r="G33" s="656"/>
      <c r="H33" s="656"/>
      <c r="I33" s="656"/>
      <c r="J33" s="657"/>
      <c r="K33" s="657"/>
      <c r="L33" s="658"/>
    </row>
    <row r="34" spans="1:12" ht="18.75" customHeight="1">
      <c r="A34" s="648"/>
      <c r="B34" s="659">
        <f>IF(Recomendaciones!I43="","",Recomendaciones!I43)</f>
      </c>
      <c r="C34" s="659"/>
      <c r="D34" s="659"/>
      <c r="E34" s="659"/>
      <c r="F34" s="94"/>
      <c r="G34" s="660"/>
      <c r="H34" s="660"/>
      <c r="I34" s="660"/>
      <c r="J34" s="661"/>
      <c r="K34" s="662"/>
      <c r="L34" s="662"/>
    </row>
    <row r="35" spans="1:12" ht="18.75" customHeight="1">
      <c r="A35" s="648"/>
      <c r="B35" s="659"/>
      <c r="C35" s="659"/>
      <c r="D35" s="659"/>
      <c r="E35" s="659"/>
      <c r="F35" s="94"/>
      <c r="G35" s="660"/>
      <c r="H35" s="660"/>
      <c r="I35" s="660"/>
      <c r="J35" s="661"/>
      <c r="K35" s="661"/>
      <c r="L35" s="662"/>
    </row>
    <row r="36" spans="1:12" ht="18.75" customHeight="1">
      <c r="A36" s="648"/>
      <c r="B36" s="659">
        <f>+IF(Recomendaciones!I53="","",Recomendaciones!I53)</f>
      </c>
      <c r="C36" s="659"/>
      <c r="D36" s="659"/>
      <c r="E36" s="659"/>
      <c r="F36" s="94"/>
      <c r="G36" s="660"/>
      <c r="H36" s="660"/>
      <c r="I36" s="660"/>
      <c r="J36" s="661"/>
      <c r="K36" s="662"/>
      <c r="L36" s="662"/>
    </row>
    <row r="37" spans="1:12" ht="18.75" customHeight="1">
      <c r="A37" s="648"/>
      <c r="B37" s="659"/>
      <c r="C37" s="659"/>
      <c r="D37" s="659"/>
      <c r="E37" s="659"/>
      <c r="F37" s="94"/>
      <c r="G37" s="660"/>
      <c r="H37" s="660"/>
      <c r="I37" s="660"/>
      <c r="J37" s="661"/>
      <c r="K37" s="661"/>
      <c r="L37" s="662"/>
    </row>
    <row r="38" spans="1:12" ht="18.75" customHeight="1">
      <c r="A38" s="648"/>
      <c r="B38" s="659"/>
      <c r="C38" s="659"/>
      <c r="D38" s="659"/>
      <c r="E38" s="659"/>
      <c r="F38" s="94"/>
      <c r="G38" s="660"/>
      <c r="H38" s="660"/>
      <c r="I38" s="660"/>
      <c r="J38" s="661"/>
      <c r="K38" s="662"/>
      <c r="L38" s="662"/>
    </row>
    <row r="39" spans="1:12" ht="18.75" customHeight="1">
      <c r="A39" s="648"/>
      <c r="B39" s="659"/>
      <c r="C39" s="659"/>
      <c r="D39" s="659"/>
      <c r="E39" s="659"/>
      <c r="F39" s="94"/>
      <c r="G39" s="660"/>
      <c r="H39" s="660"/>
      <c r="I39" s="660"/>
      <c r="J39" s="661"/>
      <c r="K39" s="661"/>
      <c r="L39" s="662"/>
    </row>
    <row r="40" spans="1:12" ht="18.75" customHeight="1">
      <c r="A40" s="648"/>
      <c r="B40" s="659"/>
      <c r="C40" s="659"/>
      <c r="D40" s="659"/>
      <c r="E40" s="659"/>
      <c r="F40" s="94"/>
      <c r="G40" s="660"/>
      <c r="H40" s="660"/>
      <c r="I40" s="660"/>
      <c r="J40" s="661"/>
      <c r="K40" s="662"/>
      <c r="L40" s="662"/>
    </row>
    <row r="41" spans="1:12" ht="18.75" customHeight="1">
      <c r="A41" s="648"/>
      <c r="B41" s="659"/>
      <c r="C41" s="659"/>
      <c r="D41" s="659"/>
      <c r="E41" s="659"/>
      <c r="F41" s="94"/>
      <c r="G41" s="660"/>
      <c r="H41" s="660"/>
      <c r="I41" s="660"/>
      <c r="J41" s="661"/>
      <c r="K41" s="661"/>
      <c r="L41" s="662"/>
    </row>
    <row r="42" spans="1:12" ht="18.75" customHeight="1">
      <c r="A42" s="648"/>
      <c r="B42" s="663"/>
      <c r="C42" s="663"/>
      <c r="D42" s="663"/>
      <c r="E42" s="663"/>
      <c r="F42" s="94"/>
      <c r="G42" s="664"/>
      <c r="H42" s="664"/>
      <c r="I42" s="664"/>
      <c r="J42" s="665"/>
      <c r="K42" s="666"/>
      <c r="L42" s="666"/>
    </row>
    <row r="43" spans="1:12" ht="18.75" customHeight="1">
      <c r="A43" s="648"/>
      <c r="B43" s="663"/>
      <c r="C43" s="663"/>
      <c r="D43" s="663"/>
      <c r="E43" s="663"/>
      <c r="F43" s="94"/>
      <c r="G43" s="664"/>
      <c r="H43" s="664"/>
      <c r="I43" s="664"/>
      <c r="J43" s="665"/>
      <c r="K43" s="665"/>
      <c r="L43" s="666"/>
    </row>
  </sheetData>
  <sheetProtection selectLockedCells="1" selectUnlockedCells="1"/>
  <mergeCells count="66">
    <mergeCell ref="B42:E43"/>
    <mergeCell ref="G42:I43"/>
    <mergeCell ref="J42:J43"/>
    <mergeCell ref="K42:L43"/>
    <mergeCell ref="B40:E41"/>
    <mergeCell ref="G40:I41"/>
    <mergeCell ref="J40:J41"/>
    <mergeCell ref="K40:L41"/>
    <mergeCell ref="B38:E39"/>
    <mergeCell ref="G38:I39"/>
    <mergeCell ref="J38:J39"/>
    <mergeCell ref="K38:L39"/>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K22:L23"/>
    <mergeCell ref="B24:E25"/>
    <mergeCell ref="G24:I25"/>
    <mergeCell ref="J24:J25"/>
    <mergeCell ref="K24:L25"/>
    <mergeCell ref="K18:L19"/>
    <mergeCell ref="B20:E21"/>
    <mergeCell ref="G20:I21"/>
    <mergeCell ref="J20:J21"/>
    <mergeCell ref="K20:L21"/>
    <mergeCell ref="K14:L15"/>
    <mergeCell ref="B16:E17"/>
    <mergeCell ref="G16:I17"/>
    <mergeCell ref="J16:J17"/>
    <mergeCell ref="K16:L17"/>
    <mergeCell ref="A14:A25"/>
    <mergeCell ref="B14:E15"/>
    <mergeCell ref="G14:I15"/>
    <mergeCell ref="J14:J15"/>
    <mergeCell ref="B18:E19"/>
    <mergeCell ref="G18:I19"/>
    <mergeCell ref="J18:J19"/>
    <mergeCell ref="B22:E23"/>
    <mergeCell ref="G22:I23"/>
    <mergeCell ref="J22:J23"/>
    <mergeCell ref="E6:I6"/>
    <mergeCell ref="B10:L11"/>
    <mergeCell ref="B13:E13"/>
    <mergeCell ref="G13:I13"/>
    <mergeCell ref="K13:L13"/>
    <mergeCell ref="C4:D4"/>
    <mergeCell ref="E4:I4"/>
    <mergeCell ref="J4:K4"/>
    <mergeCell ref="D5:J5"/>
    <mergeCell ref="B2:L2"/>
    <mergeCell ref="C3:D3"/>
    <mergeCell ref="E3:I3"/>
    <mergeCell ref="J3:K3"/>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16840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Administrador</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María Leydies Portillo Díaz</cp:lastModifiedBy>
  <cp:lastPrinted>2016-02-23T13:43:37Z</cp:lastPrinted>
  <dcterms:created xsi:type="dcterms:W3CDTF">2017-04-18T21:46:44Z</dcterms:created>
  <dcterms:modified xsi:type="dcterms:W3CDTF">2017-09-27T23:04:20Z</dcterms:modified>
  <cp:category/>
  <cp:version/>
  <cp:contentType/>
  <cp:contentStatus/>
  <cp:revision>54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