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20" activeTab="6"/>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'Gestión'!$A$1:$L$34</definedName>
    <definedName name="_xlnm.Print_Area" localSheetId="3">'Información de la subvención'!$A$1:$K$15</definedName>
    <definedName name="_xlnm.Print_Area" localSheetId="2">'Introducción de datos'!$A$1:$T$139</definedName>
    <definedName name="_xlnm.Print_Area" localSheetId="6">'Programatico'!$A$1:$Q$34</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datos'!$B$25:$J$65</definedName>
    <definedName name="PrintDataM">'Introducción de datos'!$B$67:$H$111</definedName>
    <definedName name="PrintF">'Financiamiento'!$A$2:$K$31</definedName>
    <definedName name="PrintGD">'Información de la subvención'!$A$2:$J$13</definedName>
    <definedName name="PrintM" localSheetId="8">'Acciones'!$A$2:$L$6</definedName>
    <definedName name="PrintM">'Gestión'!$A$2:$L$36</definedName>
    <definedName name="PrintP">'Programatico'!$A$2:$P$35</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2" authorId="0">
      <text>
        <r>
          <rPr>
            <b/>
            <sz val="8"/>
            <color indexed="32"/>
            <rFont val="Tahoma"/>
            <family val="2"/>
          </rPr>
          <t xml:space="preserve">Si los datos no están disponibles, no introduzca ceros; deje las celdas de la tabla en blanco. </t>
        </r>
      </text>
    </comment>
    <comment ref="B73"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<sst xmlns="http://schemas.openxmlformats.org/spreadsheetml/2006/main" count="590" uniqueCount="396">
  <si>
    <t>TABLERO DE MANDO: VIH</t>
  </si>
  <si>
    <t>VIH - SSF - El Salvador.</t>
  </si>
  <si>
    <t xml:space="preserve">Subvención N°: SLV - H - MINSAL </t>
  </si>
  <si>
    <t>Cuadro de mando: VIH - SSF - El Salvador.</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</si>
  <si>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</si>
  <si>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</si>
  <si>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</si>
  <si>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</si>
  <si>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</si>
  <si>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</si>
  <si>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</si>
  <si>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</si>
  <si>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</si>
  <si>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</si>
  <si>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</si>
  <si>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</si>
  <si>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</si>
  <si>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</si>
  <si>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</si>
  <si>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</si>
  <si>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</si>
  <si>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</si>
  <si>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</si>
  <si>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</si>
  <si>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</si>
  <si>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</si>
  <si>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</si>
  <si>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</si>
  <si>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</si>
  <si>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</si>
  <si>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</si>
  <si>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</si>
  <si>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</si>
  <si>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</si>
  <si>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</si>
  <si>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</si>
  <si>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</si>
  <si>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</si>
  <si>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</si>
  <si>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</si>
  <si>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</si>
  <si>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</si>
  <si>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</si>
  <si>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</si>
  <si>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</si>
  <si>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</si>
  <si>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</si>
  <si>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</si>
  <si>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</si>
  <si>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</si>
  <si>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INNOVANDO SERVICIOS, REDUCIENDO RIESGOS, RENOVANDO VIDAS EN EL SALVADOR</t>
  </si>
  <si>
    <t>Subvención nº:</t>
  </si>
  <si>
    <t>SLV - H - MINSAL</t>
  </si>
  <si>
    <t>Componente:</t>
  </si>
  <si>
    <t>VIH / SIDA</t>
  </si>
  <si>
    <t>Financiación total:</t>
  </si>
  <si>
    <t>Receptor Principal:</t>
  </si>
  <si>
    <t xml:space="preserve">Ministerio de Salud </t>
  </si>
  <si>
    <t>Convocatoria:</t>
  </si>
  <si>
    <t>SSF/NMF</t>
  </si>
  <si>
    <t>Fase:</t>
  </si>
  <si>
    <t>Fase 1</t>
  </si>
  <si>
    <t>Fecha de inicio (dd/mm/aa):</t>
  </si>
  <si>
    <t>01 de enero del 2014</t>
  </si>
  <si>
    <t>Agente Local del Fondo:</t>
  </si>
  <si>
    <t>JACOBS</t>
  </si>
  <si>
    <t>Ultima calificación:</t>
  </si>
  <si>
    <t>B2</t>
  </si>
  <si>
    <t>Gerente de Cartera del Fondo:</t>
  </si>
  <si>
    <t>Giulia, Perrone</t>
  </si>
  <si>
    <t>Periodo de referencia del que se informa</t>
  </si>
  <si>
    <t>Periodo:</t>
  </si>
  <si>
    <t>P3</t>
  </si>
  <si>
    <t>Desde:</t>
  </si>
  <si>
    <t>Hasta:</t>
  </si>
  <si>
    <t>Fecha de introducción de la información:</t>
  </si>
  <si>
    <t>Elaborado por:</t>
  </si>
  <si>
    <t>UCP/FE/MINSAL.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</si>
  <si>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</si>
  <si>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</si>
  <si>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</si>
  <si>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</si>
  <si>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</si>
  <si>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</si>
  <si>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</si>
  <si>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</si>
  <si>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</si>
  <si>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</si>
  <si>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</si>
  <si>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</si>
  <si>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P2</t>
  </si>
  <si>
    <t>P4</t>
  </si>
  <si>
    <t>P5</t>
  </si>
  <si>
    <t>P6</t>
  </si>
  <si>
    <t>P7</t>
  </si>
  <si>
    <t>P8</t>
  </si>
  <si>
    <t>P9</t>
  </si>
  <si>
    <t>P10</t>
  </si>
  <si>
    <t>P11</t>
  </si>
  <si>
    <t>P12</t>
  </si>
  <si>
    <t>% del presupuesto desembolsado</t>
  </si>
  <si>
    <t>Presupuesto acumulado</t>
  </si>
  <si>
    <t>Desembolsos  acumulados</t>
  </si>
  <si>
    <t>F2: Presupuesto y gastos reales por objetivo de la subvención</t>
  </si>
  <si>
    <t>Objetivo de la subvención</t>
  </si>
  <si>
    <t>Objetivo 1</t>
  </si>
  <si>
    <t>Objetivo 2</t>
  </si>
  <si>
    <t>Objetivo 3</t>
  </si>
  <si>
    <t>Objetivo 4</t>
  </si>
  <si>
    <t>Objetivo 5</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</si>
  <si>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</si>
  <si>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</si>
  <si>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</si>
  <si>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</si>
  <si>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</si>
  <si>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</si>
  <si>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</si>
  <si>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</si>
  <si>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</si>
  <si>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</si>
  <si>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</si>
  <si>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</si>
  <si>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</si>
  <si>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</si>
  <si>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</si>
  <si>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</si>
  <si>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</si>
  <si>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</si>
  <si>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</si>
  <si>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</si>
  <si>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</si>
  <si>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</si>
  <si>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</si>
  <si>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</si>
  <si>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</si>
  <si>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</si>
  <si>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</si>
  <si>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</si>
  <si>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</si>
  <si>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</si>
  <si>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</si>
  <si>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</si>
  <si>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</si>
  <si>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</si>
  <si>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</si>
  <si>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</si>
  <si>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</si>
  <si>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</si>
  <si>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</si>
  <si>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</si>
  <si>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</si>
  <si>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</si>
  <si>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</si>
  <si>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</si>
  <si>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</si>
  <si>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</si>
  <si>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</si>
  <si>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</si>
  <si>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</si>
  <si>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</si>
  <si>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</si>
  <si>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</si>
  <si>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</si>
  <si>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</si>
  <si>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</si>
  <si>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</si>
  <si>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</si>
  <si>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</si>
  <si>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</si>
  <si>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</si>
  <si>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</si>
  <si>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VIH/SIDA</t>
  </si>
  <si>
    <t>DDI 400 mg</t>
  </si>
  <si>
    <t>AZT 300 mg</t>
  </si>
  <si>
    <t>Zidovudina 300 mg + Laminvuidna</t>
  </si>
  <si>
    <t>Lopinavir 200 mg Ritonavir 50 mg</t>
  </si>
  <si>
    <t>Información de programa:</t>
  </si>
  <si>
    <t xml:space="preserve">     Introduzca los datos de desempeño en todas las celdas amarillas.</t>
  </si>
  <si>
    <t>Indicadores de programa (Marco de Referencia)</t>
  </si>
  <si>
    <t>Código</t>
  </si>
  <si>
    <t>¿Directamente vinculados?</t>
  </si>
  <si>
    <t>Comentarios</t>
  </si>
  <si>
    <t>3 PRIMEROS</t>
  </si>
  <si>
    <t>Número y porcentaje de adultos y niños elegible que actualmente recibe terapia antirretroviral</t>
  </si>
  <si>
    <t>2.2 Top Ten</t>
  </si>
  <si>
    <t>Yes</t>
  </si>
  <si>
    <t>Meta</t>
  </si>
  <si>
    <t>Actualmente se esta realizando por parte de la red de hospitales la actualización del estado del paciente que reciben TAR hasta el 30 de junio 2014. Se estima tener los resultados depurados a finales de septiembre</t>
  </si>
  <si>
    <t>Logro</t>
  </si>
  <si>
    <t>Número y porcentaje de embarazadas con VIH que recibe medicamentos antirretrovirales, para reducir el riesgo de transmisión materno infantil</t>
  </si>
  <si>
    <t xml:space="preserve">2.7 Top Ten </t>
  </si>
  <si>
    <t>Ya se envio memorandum al Programa Nacional con el listado de las 13 pacientes que no recibieron TAR para iniciar la investigacion de las causas del porque no recibieron su TAR</t>
  </si>
  <si>
    <t>Número y porcentaje de hombres que tienen sexo con hombres que se sometieron a las pruebas y consejería del VIH y que recibieron sus resultados</t>
  </si>
  <si>
    <t>3.1 Top Ten</t>
  </si>
  <si>
    <t>Para estos tres ultimos indicadores se incluyeron en el denominador el cual se estimo a través de spectrum pacientes ya tamizados que conocen sus resultados y son positivos por lo que no deberian de entrar en el denominador, Ya que esto nos eleva la meta a cumplir. Se estan realizando multiples esfuerzos que incluyen visitas a centros donde acuden dichas poblaciones para captar mas usuarios y mejorar la meta. Se revisara con Dr. Sorto la metodologia del calculo del denominador y el numerador. Existe una promesa del Fondo Mundial de evaluar una nueva negociacion de estas metas.</t>
  </si>
  <si>
    <t>Número y porcentaje de trabajadores sexuales que se sometieron a las pruebas y consejería del VIH y que recibieron sus resultados</t>
  </si>
  <si>
    <t>3.2 Top Ten</t>
  </si>
  <si>
    <t>Número y porcentaje de personas transgénero que se sometieron a las pruebas y consejería del VIH y que recibieron sus resultados</t>
  </si>
  <si>
    <t>3.3 Top Ten</t>
  </si>
  <si>
    <t>Número y porcentaje de adultos y niños con diagnostico positivo de VIH que se sometieron a pruebas de la TB y se registró dicha información durante su última visita durante el periodo de reporte, de entre todos los adultos y niños con diagnostico positivo de VIH durante el periodo de notificación</t>
  </si>
  <si>
    <t>Esta diferencia se debe a que la línea de base establecida es inferior a los logros alcanzados</t>
  </si>
  <si>
    <t>"Número de todos los adultos y niños seropositivos que reciben un recuento de células CD4 cada 6 meses"</t>
  </si>
  <si>
    <t>Pendiente de reportar según indicaciones de Marta Urrutxi</t>
  </si>
  <si>
    <t>Número y porcentaje de centros de salud que dispensan tratamiento antirretroviral que tuvieron ruptura de stock de por lo menos uno de los medicamentos antirretrovirales requeridos</t>
  </si>
  <si>
    <t>Este indicador incluye todos los ARV incluyendo los comprados con GOES, se esta creando la fuente primaria de medicion para este indicador. Este caso ya se dicutio con el ALF.</t>
  </si>
  <si>
    <t>Número y porcentaje de mujeres embarazadas que se sometieron a las pruebas y consejería del VIH y que recibieron sus resultados</t>
  </si>
  <si>
    <t>Para el reporte de este indicador influyen diferentes circunstancias entre ellas: los periodos en el que se toma la prueba y el reporte de la misma, otra es la dificultad para el registro de las post consejerias debido a la sobrecarga laboral, actitudinal  y en ocasiones el paciente no asiste a sus resultados, al tratar de localizarlos se encuntra con las dificultad de que los usuarios no brindan los datos de direccion o numeros de telefonos correctos.</t>
  </si>
  <si>
    <t>Número de personas privadas de libertad que se sometieron a las pruebas y consejería del VIH y que recibieron sus resultados</t>
  </si>
  <si>
    <t>Se logro tamizar a todos los centros penitenciarios</t>
  </si>
  <si>
    <t>INDICADORES DE IMPACTO</t>
  </si>
  <si>
    <t xml:space="preserve">% de Hombres que tienen relaciones sexuales con hombres infectados por el VIH </t>
  </si>
  <si>
    <t>Impacto</t>
  </si>
  <si>
    <t>Estos indicadores se reportaran en e primer semestre del año 2015</t>
  </si>
  <si>
    <t>% de Trabajadoras sexuales  femeninas y masculinos infectados por el VIH</t>
  </si>
  <si>
    <t>3,1</t>
  </si>
  <si>
    <t>1,6</t>
  </si>
  <si>
    <t>% de Poblacion Transgenero infectada por el VIH</t>
  </si>
  <si>
    <t>Número de lactantes que nacio con el VIH de madres infectadas</t>
  </si>
  <si>
    <t>% de adultos y niños con el VIH que se saben que continuan con el tratamiento 12 meses despues de empezar la Terapia antirretroviral.</t>
  </si>
  <si>
    <t>% de adultos y niños con el VIH que se saben que continuan con el tratamiento 24 meses despues de empezar la Terapia antirretroviral.</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</si>
  <si>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</si>
  <si>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</si>
  <si>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</si>
  <si>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</si>
  <si>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</si>
  <si>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</si>
  <si>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</si>
  <si>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</si>
  <si>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</si>
  <si>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</si>
  <si>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</si>
  <si>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</si>
  <si>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</si>
  <si>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</si>
  <si>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El RP MINSAL al momento no cuenta con plazas vacantes.</t>
  </si>
  <si>
    <t>El RP MINSAL no cuenta con subreceptores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</si>
  <si>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</si>
  <si>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</si>
  <si>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</si>
  <si>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</si>
  <si>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</si>
  <si>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</si>
  <si>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</si>
  <si>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</si>
  <si>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</si>
  <si>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</si>
  <si>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</si>
  <si>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</si>
  <si>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¿Cumplen lo acordado la adquisición y la contratación?</t>
  </si>
  <si>
    <t>Gestión</t>
  </si>
  <si>
    <t>Comentarios resumidos</t>
  </si>
  <si>
    <t>Recomendaciones</t>
  </si>
  <si>
    <t>M1</t>
  </si>
  <si>
    <t>M2</t>
  </si>
  <si>
    <t xml:space="preserve">El resultado alcanzado refleja el trabajo  realizado en conjunto  por la integración intersectorial,   desde hace 7 años, entre el Programa Nacional de VIH, personal de centros penales, personal de salud y grupos de apoyo que a traves de la metodología de pares se han capacitado a facilitadores de la población privada de libertad quienes posteriormente son los encargados de realizar las  intervenciones  de prevención, adherencia, estigma y discriminación, pre y pos consejerías; con las unidades móviles institucionales ( personal de laboratorio)  se les brinda tamizaje con la prueba del VIH a  esta población privada de libertad. Meta alcanzada y superada con un logro de cobertura del 107%. </t>
  </si>
  <si>
    <t>Según registros del SUMEVE se reporta el 81% de los usuarios  12 meses despues de iniciar  TAR aun se encontraban con vida, pero a pesar de este resultado el PNVIH a iniciado un pilotaje para implementar la estrategia de adherencia y tratar de poder obtener disminuir las tasas de abandonos. Los datos han sido obtenido de la cohorte de enero a diciembre del año 2,013 para ser cerrada en diciembre del año 2,014.</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</si>
  <si>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</si>
  <si>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</si>
  <si>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</si>
  <si>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</si>
  <si>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</si>
  <si>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</si>
  <si>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</si>
  <si>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</si>
  <si>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</si>
  <si>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</si>
  <si>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</si>
  <si>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</si>
  <si>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</si>
  <si>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</si>
  <si>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</si>
  <si>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</si>
  <si>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</si>
  <si>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</si>
  <si>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</si>
  <si>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</si>
  <si>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</si>
  <si>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</si>
  <si>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</si>
  <si>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</si>
  <si>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</si>
  <si>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</si>
  <si>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</si>
  <si>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</si>
  <si>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</si>
  <si>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</si>
  <si>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</si>
  <si>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</si>
  <si>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</si>
  <si>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</si>
  <si>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</si>
  <si>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</si>
  <si>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</si>
  <si>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Ronda 1</t>
  </si>
  <si>
    <t>A1</t>
  </si>
  <si>
    <t>CA (Crown Agents)</t>
  </si>
  <si>
    <t>PASER</t>
  </si>
  <si>
    <t>Antigua y Barbuda</t>
  </si>
  <si>
    <t>MALARIA</t>
  </si>
  <si>
    <t>€</t>
  </si>
  <si>
    <t>Ronda 2</t>
  </si>
  <si>
    <t>Fase 2</t>
  </si>
  <si>
    <t>A2</t>
  </si>
  <si>
    <t>DEL (Deloitte)</t>
  </si>
  <si>
    <t>Cicloserina 250mg</t>
  </si>
  <si>
    <t>Antillas Holandesas</t>
  </si>
  <si>
    <t>TB</t>
  </si>
  <si>
    <t>Ronda 3</t>
  </si>
  <si>
    <t>RCC</t>
  </si>
  <si>
    <t>B1</t>
  </si>
  <si>
    <t>DTT (DTT Emerging Markets)</t>
  </si>
  <si>
    <t>Kanamicina 1gr</t>
  </si>
  <si>
    <t>Argentina</t>
  </si>
  <si>
    <t>VIHSIDA / TB</t>
  </si>
  <si>
    <t>Ronda 4</t>
  </si>
  <si>
    <t>FIN (Finconsult)</t>
  </si>
  <si>
    <t>Etionamida 250mg</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</si>
  <si>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</si>
  <si>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</si>
  <si>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</si>
  <si>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</si>
  <si>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</si>
  <si>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</si>
  <si>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</si>
  <si>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</si>
  <si>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</si>
  <si>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</si>
  <si>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</si>
  <si>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</si>
  <si>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</si>
  <si>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</si>
  <si>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</si>
  <si>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</si>
  <si>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</si>
  <si>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</si>
  <si>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</si>
  <si>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</si>
  <si>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</si>
  <si>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</si>
  <si>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</si>
  <si>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</si>
  <si>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</si>
  <si>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</si>
  <si>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</si>
  <si>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</si>
  <si>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</si>
  <si>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</si>
  <si>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</si>
  <si>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</si>
  <si>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</si>
  <si>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</si>
  <si>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</si>
  <si>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</si>
  <si>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</si>
  <si>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</si>
  <si>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</si>
  <si>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</si>
  <si>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</si>
  <si>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</si>
  <si>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</si>
  <si>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</si>
  <si>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</si>
  <si>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</si>
  <si>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</si>
  <si>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</si>
  <si>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</si>
  <si>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</si>
  <si>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</si>
  <si>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</si>
  <si>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</si>
  <si>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</si>
  <si>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</si>
  <si>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</si>
  <si>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</si>
  <si>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</si>
  <si>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</si>
  <si>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</si>
  <si>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</si>
  <si>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</si>
  <si>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</si>
  <si>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</si>
  <si>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</si>
  <si>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El presupuesto es Mayor a los desembolso debido a que a la fecha hace falta que nos realice un ultimo desembolso.</t>
  </si>
  <si>
    <t>La diferencia entre el desembolso y gasto se debe a que se tiene compromisos con proveedores, que se pagaran en el siguiente semestre. Y economias del periodo.</t>
  </si>
  <si>
    <t>La diferencias entre el presupuesto y gastos de debe a que se tienen compromisos con proveedores y que seran pagados en el siguiente semestre y economias generadas.</t>
  </si>
  <si>
    <t xml:space="preserve">Actualmente el 100% de los usuarios que consultan a los Hospitales con TAR y que cumplen criterios para iniciar la misma se encuentran recibiendo tratamiento. </t>
  </si>
  <si>
    <t>De las 55 mujeres con VIH (+) solo dos no recibieron TAR debido a que no llevaron control prenatal y fueron DX hasta el momento del parto</t>
  </si>
  <si>
    <t>El resultado de este indicador proviene de todaslas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t>
  </si>
  <si>
    <t>Este indicador aun se encuentra en construcción ya que se esta realizando la depuración de la base del SUMEVE y esta pendiente de clasificar el número de usuarios que consultan a los Hospitales con TAR, pero que todavia no tienen criterios para iniciar tratamiento.</t>
  </si>
  <si>
    <t>de los 1191 nievos diagnósticos del año 2015 a 650 se les realizo al menos un recuento de CD4 cada 6 meses, lo que represento un 55% del total de los nuevos diagnósticos y un 105% del logro de cobertura de la meta establecida en el Marco del desempeño, esto por parte se debe a la ampliación de la cobertura de estas pruebas hacia la zona oriente.</t>
  </si>
  <si>
    <t>Este indicador se encuentra en construcción debido a que el SINAB ha sufrido cambios para mejoras del reporte y por lo tanto al momento no se pueden obtener la información final, pero se van a tener los resultados antes del 15 de marzo del presente año.</t>
  </si>
  <si>
    <t>Con el indicador de las post consejerías en mujeres embarazadas se a alcanzado el 71% de cobertura, pero se debe continuar trabajando para disminuir el subregistro de las mismas en el SEPS.</t>
  </si>
  <si>
    <t>El trabajo con Centros Penales durante el año 2015 fue complicado debido a los frecuentes amotinamientos y resquizas que se han dado en los centros penales, a pesar de estas dificultades las actividades se continuaron realizando y se ha logrado tamizar a las PPL. El resultado es mayor del 100% debido a que el denominador del indicador aumento durante el año 2015.</t>
  </si>
  <si>
    <t>Este indicador se encuentra en construcción debido a las nuevas actualizaciones que se le han realizado al SIAPS.</t>
  </si>
  <si>
    <t>De las 56 mujeres con VIH (+) solo tres no recibieron TAR debido a que no llevaron control prenatal y fueron DX hasta el momento del parto</t>
  </si>
  <si>
    <t>El resultado de este indicador proviene de todaslas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 No obstante los resultados del año 2014 fueron 6%, 21% y 7.4%.</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</si>
</sst>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_);_(@_)"/>
    <numFmt numFmtId="181" formatCode="_(* #,##0.00_);_(* \(#,##0.00\);_(* \-??_);_(@_)"/>
    <numFmt numFmtId="182" formatCode="_(\Q* #,##0.00_);_(\Q* \(#,##0.00\);_(\Q* \-??_);_(@_)"/>
    <numFmt numFmtId="183" formatCode="d&quot; de &quot;mmm&quot; de &quot;yy"/>
    <numFmt numFmtId="184" formatCode="\Q#,##0_);[Red]&quot;(Q&quot;#,##0\)"/>
    <numFmt numFmtId="185" formatCode="_(* #,##0_);_(* \(#,##0\);_(* \-??_);_(@_)"/>
    <numFmt numFmtId="186" formatCode="\$#,##0"/>
    <numFmt numFmtId="187" formatCode="\$#,##0.00"/>
    <numFmt numFmtId="188" formatCode="#.##0"/>
    <numFmt numFmtId="189" formatCode="[$$-409]#,##0"/>
    <numFmt numFmtId="190" formatCode="\$#,##0.00000"/>
    <numFmt numFmtId="191" formatCode="#.##000"/>
    <numFmt numFmtId="192" formatCode="\$#,##0.000"/>
    <numFmt numFmtId="193" formatCode="000%"/>
    <numFmt numFmtId="194" formatCode="0.0"/>
    <numFmt numFmtId="195" formatCode="#,##0.0"/>
    <numFmt numFmtId="196" formatCode="dd/mm/yyyy"/>
    <numFmt numFmtId="197" formatCode="[$$-409]#,##0_);\([$$-409]#,##0\)"/>
    <numFmt numFmtId="198" formatCode="d/mmm/yyyy;@"/>
    <numFmt numFmtId="199" formatCode="dd/mm/yy\ hh:mm"/>
    <numFmt numFmtId="200" formatCode="000"/>
    <numFmt numFmtId="201" formatCode="_ * #,##0_ ;_ * \-#,##0_ ;_ * \-_ ;_ @_ "/>
    <numFmt numFmtId="202" formatCode=";;;"/>
    <numFmt numFmtId="203" formatCode=";;;&quot;Financial Variance in %&quot;"/>
    <numFmt numFmtId="204" formatCode="#,##0.000"/>
    <numFmt numFmtId="205" formatCode="_-[$$-240A]* #,##0.00000_-;\-[$$-240A]* #,##0.00000_-;_-[$$-240A]* &quot;-&quot;?????_-;_-@_-"/>
  </numFmts>
  <fonts count="136">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sz val="11"/>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0"/>
      <name val="Calibri"/>
      <family val="2"/>
    </font>
    <font>
      <b/>
      <sz val="14"/>
      <color indexed="40"/>
      <name val="Calibri"/>
      <family val="2"/>
    </font>
    <font>
      <b/>
      <sz val="14"/>
      <color indexed="44"/>
      <name val="Calibri"/>
      <family val="2"/>
    </font>
    <font>
      <sz val="11"/>
      <color indexed="40"/>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sz val="14"/>
      <name val="Arial"/>
      <family val="2"/>
    </font>
    <font>
      <sz val="48"/>
      <color indexed="8"/>
      <name val="Calibri"/>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18"/>
      <color indexed="8"/>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2"/>
      <color indexed="8"/>
      <name val="Arial"/>
      <family val="0"/>
    </font>
    <font>
      <sz val="9"/>
      <color indexed="8"/>
      <name val="Calibri"/>
      <family val="0"/>
    </font>
    <font>
      <sz val="6"/>
      <color indexed="8"/>
      <name val="Arial"/>
      <family val="0"/>
    </font>
    <font>
      <b/>
      <sz val="5.75"/>
      <color indexed="8"/>
      <name val="Arial"/>
      <family val="0"/>
    </font>
    <font>
      <sz val="4"/>
      <color indexed="8"/>
      <name val="Arial"/>
      <family val="0"/>
    </font>
    <font>
      <sz val="7"/>
      <color indexed="8"/>
      <name val="Arial"/>
      <family val="0"/>
    </font>
    <font>
      <sz val="5"/>
      <color indexed="8"/>
      <name val="Arial"/>
      <family val="0"/>
    </font>
    <font>
      <b/>
      <sz val="10.5"/>
      <color indexed="8"/>
      <name val="Calibri"/>
      <family val="0"/>
    </font>
    <font>
      <sz val="8.45"/>
      <color indexed="8"/>
      <name val="Calibri"/>
      <family val="0"/>
    </font>
    <font>
      <sz val="8"/>
      <color indexed="8"/>
      <name val="Arial"/>
      <family val="0"/>
    </font>
    <font>
      <b/>
      <sz val="9"/>
      <color indexed="8"/>
      <name val="Arial"/>
      <family val="0"/>
    </font>
    <font>
      <sz val="9.6"/>
      <color indexed="8"/>
      <name val="Arial"/>
      <family val="0"/>
    </font>
    <font>
      <sz val="5.7"/>
      <color indexed="8"/>
      <name val="Arial"/>
      <family val="0"/>
    </font>
    <font>
      <b/>
      <sz val="8"/>
      <color indexed="8"/>
      <name val="Arial"/>
      <family val="0"/>
    </font>
    <font>
      <sz val="6.75"/>
      <color indexed="8"/>
      <name val="Arial"/>
      <family val="0"/>
    </font>
    <font>
      <sz val="4.25"/>
      <color indexed="8"/>
      <name val="Arial"/>
      <family val="0"/>
    </font>
    <font>
      <sz val="5.85"/>
      <color indexed="8"/>
      <name val="Arial"/>
      <family val="0"/>
    </font>
    <font>
      <b/>
      <sz val="5.5"/>
      <color indexed="8"/>
      <name val="Arial"/>
      <family val="0"/>
    </font>
    <font>
      <sz val="4.75"/>
      <color indexed="8"/>
      <name val="Arial"/>
      <family val="0"/>
    </font>
    <font>
      <b/>
      <sz val="8"/>
      <name val="Calibri"/>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34"/>
        <bgColor indexed="64"/>
      </patternFill>
    </fill>
    <fill>
      <patternFill patternType="solid">
        <fgColor indexed="41"/>
        <bgColor indexed="64"/>
      </patternFill>
    </fill>
    <fill>
      <patternFill patternType="solid">
        <fgColor indexed="25"/>
        <bgColor indexed="64"/>
      </patternFill>
    </fill>
    <fill>
      <patternFill patternType="solid">
        <fgColor indexed="43"/>
        <bgColor indexed="64"/>
      </patternFill>
    </fill>
    <fill>
      <patternFill patternType="gray0625">
        <fgColor indexed="52"/>
        <bgColor indexed="43"/>
      </patternFill>
    </fill>
    <fill>
      <patternFill patternType="solid">
        <fgColor indexed="43"/>
        <bgColor indexed="64"/>
      </patternFill>
    </fill>
    <fill>
      <patternFill patternType="solid">
        <fgColor indexed="18"/>
        <bgColor indexed="64"/>
      </patternFill>
    </fill>
    <fill>
      <patternFill patternType="solid">
        <fgColor indexed="13"/>
        <bgColor indexed="64"/>
      </patternFill>
    </fill>
  </fills>
  <borders count="1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32"/>
      </left>
      <right style="medium">
        <color indexed="60"/>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58"/>
      </left>
      <right style="thin">
        <color indexed="58"/>
      </right>
      <top style="thin">
        <color indexed="58"/>
      </top>
      <bottom style="thin">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thin">
        <color indexed="16"/>
      </left>
      <right style="medium">
        <color indexed="51"/>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style="thin">
        <color indexed="32"/>
      </bottom>
    </border>
    <border>
      <left style="thin">
        <color indexed="32"/>
      </left>
      <right style="medium">
        <color indexed="51"/>
      </right>
      <top style="thin">
        <color indexed="32"/>
      </top>
      <bottom style="thin">
        <color indexed="32"/>
      </bottom>
    </border>
    <border>
      <left style="thin">
        <color indexed="32"/>
      </left>
      <right style="thin">
        <color indexed="32"/>
      </right>
      <top style="thin">
        <color indexed="32"/>
      </top>
      <bottom style="medium">
        <color indexed="51"/>
      </bottom>
    </border>
    <border>
      <left style="thin">
        <color indexed="32"/>
      </left>
      <right style="medium">
        <color indexed="51"/>
      </right>
      <top style="thin">
        <color indexed="32"/>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style="thin">
        <color indexed="9"/>
      </left>
      <right style="thin">
        <color indexed="9"/>
      </right>
      <top style="thin">
        <color indexed="9"/>
      </top>
      <bottom style="thin">
        <color indexed="9"/>
      </bottom>
    </border>
    <border>
      <left>
        <color indexed="63"/>
      </left>
      <right style="thick">
        <color indexed="9"/>
      </right>
      <top>
        <color indexed="63"/>
      </top>
      <bottom>
        <color indexed="63"/>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60"/>
      </left>
      <right style="thin">
        <color indexed="60"/>
      </right>
      <top style="thin">
        <color indexed="60"/>
      </top>
      <bottom style="medium">
        <color indexed="60"/>
      </bottom>
    </border>
    <border>
      <left style="thin"/>
      <right style="thin"/>
      <top style="thin"/>
      <bottom style="thin"/>
    </border>
    <border>
      <left style="thin"/>
      <right style="thin"/>
      <top style="thin"/>
      <bottom style="medium">
        <color indexed="51"/>
      </bottom>
    </border>
    <border>
      <left>
        <color indexed="63"/>
      </left>
      <right>
        <color indexed="63"/>
      </right>
      <top style="thin">
        <color indexed="32"/>
      </top>
      <bottom>
        <color indexed="63"/>
      </bottom>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16"/>
      </left>
      <right style="medium">
        <color indexed="16"/>
      </right>
      <top style="thin">
        <color indexed="16"/>
      </top>
      <bottom style="medium">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color indexed="63"/>
      </left>
      <right style="medium">
        <color indexed="51"/>
      </right>
      <top>
        <color indexed="63"/>
      </top>
      <bottom>
        <color indexed="63"/>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color indexed="63"/>
      </bottom>
    </border>
    <border>
      <left style="medium">
        <color indexed="51"/>
      </left>
      <right style="thin">
        <color indexed="32"/>
      </right>
      <top style="thin">
        <color indexed="32"/>
      </top>
      <bottom>
        <color indexed="63"/>
      </bottom>
    </border>
    <border>
      <left style="medium">
        <color indexed="51"/>
      </left>
      <right style="medium">
        <color indexed="51"/>
      </right>
      <top style="thin">
        <color indexed="32"/>
      </top>
      <bottom style="medium">
        <color indexed="51"/>
      </bottom>
    </border>
    <border>
      <left style="medium">
        <color indexed="32"/>
      </left>
      <right style="medium">
        <color indexed="32"/>
      </right>
      <top style="medium">
        <color indexed="32"/>
      </top>
      <bottom style="thin">
        <color indexed="32"/>
      </bottom>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color indexed="63"/>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80"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81" fontId="0" fillId="0" borderId="0" applyFill="0" applyBorder="0" applyAlignment="0" applyProtection="0"/>
    <xf numFmtId="177" fontId="1" fillId="0" borderId="0" applyFill="0" applyBorder="0" applyAlignment="0" applyProtection="0"/>
    <xf numFmtId="181" fontId="1" fillId="0" borderId="0" applyFill="0" applyBorder="0" applyAlignment="0" applyProtection="0"/>
    <xf numFmtId="182" fontId="0" fillId="0" borderId="0" applyFill="0" applyBorder="0" applyAlignment="0" applyProtection="0"/>
    <xf numFmtId="176" fontId="1" fillId="0" borderId="0" applyFill="0" applyBorder="0" applyAlignment="0" applyProtection="0"/>
    <xf numFmtId="0" fontId="14" fillId="12"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4" borderId="7" applyNumberFormat="0" applyAlignment="0" applyProtection="0"/>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5" fillId="10" borderId="8"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5"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667">
    <xf numFmtId="0" fontId="0" fillId="0" borderId="0" xfId="0" applyAlignment="1">
      <alignment/>
    </xf>
    <xf numFmtId="181" fontId="24" fillId="0" borderId="0" xfId="97" applyFont="1" applyFill="1" applyAlignment="1">
      <alignment vertical="center"/>
      <protection/>
    </xf>
    <xf numFmtId="0" fontId="26" fillId="0" borderId="0" xfId="0" applyFont="1" applyAlignment="1">
      <alignment/>
    </xf>
    <xf numFmtId="181" fontId="26" fillId="0" borderId="0" xfId="0" applyNumberFormat="1" applyFont="1" applyAlignment="1">
      <alignment/>
    </xf>
    <xf numFmtId="181"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3" fillId="0" borderId="0" xfId="96" applyFont="1" applyFill="1" applyAlignment="1" applyProtection="1">
      <alignment horizontal="center" vertical="center"/>
      <protection/>
    </xf>
    <xf numFmtId="181" fontId="24" fillId="0" borderId="0" xfId="96"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81" fontId="43" fillId="0" borderId="0" xfId="88" applyFont="1" applyFill="1" applyAlignment="1" applyProtection="1">
      <alignment vertical="center"/>
      <protection/>
    </xf>
    <xf numFmtId="181" fontId="44" fillId="0" borderId="0" xfId="0" applyNumberFormat="1" applyFont="1" applyAlignment="1" applyProtection="1">
      <alignment horizontal="right"/>
      <protection/>
    </xf>
    <xf numFmtId="181" fontId="0" fillId="0" borderId="15" xfId="0" applyNumberFormat="1" applyFont="1" applyBorder="1" applyAlignment="1" applyProtection="1">
      <alignment horizontal="center"/>
      <protection locked="0"/>
    </xf>
    <xf numFmtId="181"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83" fontId="0" fillId="0" borderId="0" xfId="0" applyNumberFormat="1" applyAlignment="1" applyProtection="1">
      <alignment/>
      <protection/>
    </xf>
    <xf numFmtId="183" fontId="0" fillId="0" borderId="15" xfId="126" applyNumberFormat="1" applyFont="1" applyFill="1" applyBorder="1" applyAlignment="1" applyProtection="1">
      <alignment horizontal="center"/>
      <protection locked="0"/>
    </xf>
    <xf numFmtId="181" fontId="44" fillId="0" borderId="16" xfId="0" applyNumberFormat="1" applyFont="1" applyBorder="1" applyAlignment="1" applyProtection="1">
      <alignment horizontal="right"/>
      <protection/>
    </xf>
    <xf numFmtId="0" fontId="0" fillId="0" borderId="0" xfId="0" applyBorder="1" applyAlignment="1" applyProtection="1">
      <alignment/>
      <protection/>
    </xf>
    <xf numFmtId="181"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81" fontId="46" fillId="0" borderId="17" xfId="132" applyNumberFormat="1" applyFont="1" applyFill="1" applyBorder="1" applyAlignment="1" applyProtection="1">
      <alignment/>
      <protection/>
    </xf>
    <xf numFmtId="181" fontId="0" fillId="0" borderId="17" xfId="132" applyNumberFormat="1" applyFill="1" applyBorder="1" applyAlignment="1" applyProtection="1">
      <alignment vertical="center"/>
      <protection/>
    </xf>
    <xf numFmtId="181" fontId="47" fillId="0" borderId="17" xfId="132" applyNumberFormat="1" applyFont="1" applyFill="1" applyBorder="1" applyAlignment="1" applyProtection="1">
      <alignment horizontal="left" vertical="center"/>
      <protection/>
    </xf>
    <xf numFmtId="181" fontId="0" fillId="3" borderId="18" xfId="132" applyNumberFormat="1" applyFill="1" applyBorder="1" applyAlignment="1" applyProtection="1">
      <alignment vertical="center"/>
      <protection/>
    </xf>
    <xf numFmtId="181" fontId="0" fillId="0" borderId="0" xfId="132" applyNumberFormat="1" applyFill="1" applyBorder="1" applyAlignment="1" applyProtection="1">
      <alignment vertical="center"/>
      <protection locked="0"/>
    </xf>
    <xf numFmtId="181" fontId="48" fillId="0" borderId="0" xfId="132" applyNumberFormat="1" applyFont="1" applyFill="1" applyBorder="1" applyAlignment="1" applyProtection="1">
      <alignment vertical="center"/>
      <protection locked="0"/>
    </xf>
    <xf numFmtId="181" fontId="28" fillId="0" borderId="15" xfId="0" applyNumberFormat="1" applyFont="1" applyBorder="1" applyAlignment="1" applyProtection="1">
      <alignment horizontal="center"/>
      <protection locked="0"/>
    </xf>
    <xf numFmtId="181" fontId="0" fillId="0" borderId="0" xfId="132" applyNumberFormat="1" applyFill="1" applyBorder="1" applyAlignment="1" applyProtection="1">
      <alignment vertical="center"/>
      <protection/>
    </xf>
    <xf numFmtId="181" fontId="0" fillId="0" borderId="0" xfId="132" applyNumberFormat="1" applyFont="1" applyFill="1" applyBorder="1" applyAlignment="1" applyProtection="1">
      <alignment vertical="center"/>
      <protection/>
    </xf>
    <xf numFmtId="181" fontId="46" fillId="0" borderId="0" xfId="132" applyNumberFormat="1" applyFont="1" applyFill="1" applyBorder="1" applyAlignment="1" applyProtection="1">
      <alignment/>
      <protection/>
    </xf>
    <xf numFmtId="0" fontId="2" fillId="2" borderId="0" xfId="0" applyFont="1" applyFill="1" applyAlignment="1">
      <alignment/>
    </xf>
    <xf numFmtId="184" fontId="2" fillId="2" borderId="0" xfId="0" applyNumberFormat="1" applyFont="1" applyFill="1" applyAlignment="1">
      <alignment/>
    </xf>
    <xf numFmtId="185" fontId="2" fillId="2" borderId="0" xfId="0" applyNumberFormat="1" applyFont="1" applyFill="1" applyAlignment="1">
      <alignment/>
    </xf>
    <xf numFmtId="181" fontId="49" fillId="0" borderId="19" xfId="0" applyNumberFormat="1" applyFont="1" applyBorder="1" applyAlignment="1" applyProtection="1">
      <alignment horizontal="left"/>
      <protection/>
    </xf>
    <xf numFmtId="184" fontId="49" fillId="10" borderId="20" xfId="0" applyNumberFormat="1" applyFont="1" applyFill="1" applyBorder="1" applyAlignment="1" applyProtection="1">
      <alignment horizontal="center"/>
      <protection locked="0"/>
    </xf>
    <xf numFmtId="184" fontId="49" fillId="10" borderId="21" xfId="0" applyNumberFormat="1" applyFont="1" applyFill="1" applyBorder="1" applyAlignment="1" applyProtection="1">
      <alignment horizontal="center"/>
      <protection locked="0"/>
    </xf>
    <xf numFmtId="184" fontId="49" fillId="10" borderId="22" xfId="0" applyNumberFormat="1" applyFont="1" applyFill="1" applyBorder="1" applyAlignment="1" applyProtection="1">
      <alignment horizontal="center" wrapText="1"/>
      <protection locked="0"/>
    </xf>
    <xf numFmtId="183" fontId="41" fillId="0" borderId="23" xfId="0" applyNumberFormat="1" applyFont="1" applyBorder="1" applyAlignment="1" applyProtection="1">
      <alignment horizontal="left"/>
      <protection/>
    </xf>
    <xf numFmtId="186" fontId="41" fillId="3" borderId="24" xfId="0" applyNumberFormat="1" applyFont="1" applyFill="1" applyBorder="1" applyAlignment="1" applyProtection="1">
      <alignment/>
      <protection locked="0"/>
    </xf>
    <xf numFmtId="187" fontId="41" fillId="3" borderId="20" xfId="85" applyNumberFormat="1" applyFont="1" applyFill="1" applyBorder="1" applyAlignment="1" applyProtection="1">
      <alignment/>
      <protection locked="0"/>
    </xf>
    <xf numFmtId="188"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87" fontId="41" fillId="3" borderId="24" xfId="85" applyNumberFormat="1" applyFont="1" applyFill="1" applyBorder="1" applyAlignment="1" applyProtection="1">
      <alignment/>
      <protection locked="0"/>
    </xf>
    <xf numFmtId="188" fontId="41" fillId="3" borderId="24" xfId="0" applyNumberFormat="1" applyFont="1" applyFill="1" applyBorder="1" applyAlignment="1" applyProtection="1">
      <alignment/>
      <protection locked="0"/>
    </xf>
    <xf numFmtId="183" fontId="41" fillId="0" borderId="25" xfId="0" applyNumberFormat="1" applyFont="1" applyBorder="1" applyAlignment="1" applyProtection="1">
      <alignment horizontal="left"/>
      <protection/>
    </xf>
    <xf numFmtId="186" fontId="41" fillId="0" borderId="15" xfId="0" applyNumberFormat="1" applyFont="1" applyFill="1" applyBorder="1" applyAlignment="1" applyProtection="1">
      <alignment/>
      <protection/>
    </xf>
    <xf numFmtId="187" fontId="41" fillId="0" borderId="15" xfId="85" applyNumberFormat="1" applyFont="1" applyFill="1" applyBorder="1" applyAlignment="1" applyProtection="1">
      <alignment/>
      <protection/>
    </xf>
    <xf numFmtId="188" fontId="41" fillId="0" borderId="15" xfId="0" applyNumberFormat="1" applyFont="1" applyFill="1" applyBorder="1" applyAlignment="1" applyProtection="1">
      <alignment/>
      <protection/>
    </xf>
    <xf numFmtId="189" fontId="50" fillId="2" borderId="0" xfId="0" applyNumberFormat="1" applyFont="1" applyFill="1" applyAlignment="1">
      <alignment/>
    </xf>
    <xf numFmtId="183" fontId="41" fillId="0" borderId="26" xfId="0" applyNumberFormat="1" applyFont="1" applyBorder="1" applyAlignment="1" applyProtection="1">
      <alignment horizontal="left"/>
      <protection/>
    </xf>
    <xf numFmtId="186" fontId="41" fillId="0" borderId="27" xfId="0" applyNumberFormat="1" applyFont="1" applyFill="1" applyBorder="1" applyAlignment="1" applyProtection="1">
      <alignment/>
      <protection/>
    </xf>
    <xf numFmtId="187" fontId="41" fillId="0" borderId="27" xfId="0" applyNumberFormat="1" applyFont="1" applyFill="1" applyBorder="1" applyAlignment="1" applyProtection="1">
      <alignment/>
      <protection/>
    </xf>
    <xf numFmtId="188" fontId="41" fillId="0" borderId="27" xfId="0" applyNumberFormat="1" applyFont="1" applyFill="1" applyBorder="1" applyAlignment="1" applyProtection="1">
      <alignment/>
      <protection/>
    </xf>
    <xf numFmtId="9" fontId="2" fillId="0" borderId="0" xfId="109" applyFont="1" applyFill="1" applyBorder="1" applyAlignment="1" applyProtection="1">
      <alignment/>
      <protection/>
    </xf>
    <xf numFmtId="188" fontId="0" fillId="0" borderId="0" xfId="0" applyNumberFormat="1" applyFill="1" applyAlignment="1" applyProtection="1">
      <alignment/>
      <protection/>
    </xf>
    <xf numFmtId="188" fontId="2" fillId="2" borderId="0" xfId="0" applyNumberFormat="1" applyFont="1" applyFill="1" applyAlignment="1" applyProtection="1">
      <alignment/>
      <protection/>
    </xf>
    <xf numFmtId="184" fontId="2" fillId="2"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49" fillId="0" borderId="0" xfId="0" applyNumberFormat="1" applyFont="1" applyFill="1" applyBorder="1" applyAlignment="1">
      <alignment horizontal="center"/>
    </xf>
    <xf numFmtId="181" fontId="41" fillId="0" borderId="0" xfId="0" applyNumberFormat="1" applyFont="1" applyFill="1" applyBorder="1" applyAlignment="1">
      <alignment/>
    </xf>
    <xf numFmtId="181" fontId="51" fillId="0" borderId="28" xfId="0" applyNumberFormat="1" applyFont="1" applyFill="1" applyBorder="1" applyAlignment="1" applyProtection="1">
      <alignment vertical="center" wrapText="1"/>
      <protection/>
    </xf>
    <xf numFmtId="0" fontId="51" fillId="0" borderId="29" xfId="0" applyNumberFormat="1" applyFont="1" applyFill="1" applyBorder="1" applyAlignment="1" applyProtection="1">
      <alignment horizontal="center" vertical="center" wrapText="1"/>
      <protection/>
    </xf>
    <xf numFmtId="0" fontId="51" fillId="0" borderId="30"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protection/>
    </xf>
    <xf numFmtId="0" fontId="52" fillId="0" borderId="0" xfId="0" applyFont="1" applyFill="1" applyBorder="1" applyAlignment="1">
      <alignment horizontal="center"/>
    </xf>
    <xf numFmtId="181" fontId="52" fillId="0" borderId="31" xfId="0" applyNumberFormat="1" applyFont="1" applyFill="1" applyBorder="1" applyAlignment="1" applyProtection="1">
      <alignment wrapText="1"/>
      <protection locked="0"/>
    </xf>
    <xf numFmtId="190" fontId="0" fillId="3" borderId="32" xfId="82" applyNumberFormat="1" applyFont="1" applyFill="1" applyBorder="1" applyAlignment="1" applyProtection="1">
      <alignment/>
      <protection locked="0"/>
    </xf>
    <xf numFmtId="190" fontId="0" fillId="3" borderId="33" xfId="85" applyNumberFormat="1" applyFont="1" applyFill="1" applyBorder="1" applyAlignment="1" applyProtection="1">
      <alignment/>
      <protection locked="0"/>
    </xf>
    <xf numFmtId="183" fontId="44" fillId="0" borderId="0" xfId="0" applyNumberFormat="1" applyFont="1" applyFill="1" applyBorder="1" applyAlignment="1" applyProtection="1">
      <alignment horizontal="center"/>
      <protection/>
    </xf>
    <xf numFmtId="191" fontId="0" fillId="0" borderId="0" xfId="0" applyNumberFormat="1" applyFill="1" applyBorder="1" applyAlignment="1" applyProtection="1">
      <alignment/>
      <protection locked="0"/>
    </xf>
    <xf numFmtId="19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81" fontId="52" fillId="0" borderId="31"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91" fontId="0" fillId="3" borderId="32" xfId="82" applyNumberFormat="1" applyFont="1" applyFill="1" applyBorder="1" applyAlignment="1" applyProtection="1">
      <alignment/>
      <protection locked="0"/>
    </xf>
    <xf numFmtId="191" fontId="0" fillId="3" borderId="33" xfId="82" applyNumberFormat="1" applyFont="1" applyFill="1" applyBorder="1" applyAlignment="1" applyProtection="1">
      <alignment/>
      <protection locked="0"/>
    </xf>
    <xf numFmtId="189"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8" fontId="0" fillId="0" borderId="0" xfId="0" applyNumberFormat="1" applyFill="1" applyBorder="1" applyAlignment="1" applyProtection="1">
      <alignment/>
      <protection locked="0"/>
    </xf>
    <xf numFmtId="49" fontId="52" fillId="0" borderId="31" xfId="0" applyNumberFormat="1" applyFont="1" applyFill="1" applyBorder="1" applyAlignment="1" applyProtection="1">
      <alignment/>
      <protection locked="0"/>
    </xf>
    <xf numFmtId="0" fontId="52" fillId="0" borderId="31" xfId="0" applyFont="1" applyFill="1" applyBorder="1" applyAlignment="1" applyProtection="1">
      <alignment wrapText="1"/>
      <protection locked="0"/>
    </xf>
    <xf numFmtId="181" fontId="0" fillId="0" borderId="34" xfId="0" applyNumberFormat="1" applyFont="1" applyBorder="1" applyAlignment="1" applyProtection="1">
      <alignment/>
      <protection/>
    </xf>
    <xf numFmtId="188" fontId="0" fillId="0" borderId="0" xfId="0" applyNumberFormat="1" applyAlignment="1" applyProtection="1">
      <alignment/>
      <protection/>
    </xf>
    <xf numFmtId="188" fontId="14" fillId="0" borderId="0" xfId="0" applyNumberFormat="1" applyFont="1" applyAlignment="1" applyProtection="1">
      <alignment horizontal="right"/>
      <protection/>
    </xf>
    <xf numFmtId="0" fontId="51" fillId="0" borderId="35" xfId="0" applyFont="1" applyBorder="1" applyAlignment="1" applyProtection="1">
      <alignment vertical="distributed" wrapText="1"/>
      <protection/>
    </xf>
    <xf numFmtId="181" fontId="53" fillId="0" borderId="36" xfId="0" applyNumberFormat="1" applyFont="1" applyFill="1" applyBorder="1" applyAlignment="1" applyProtection="1">
      <alignment horizontal="center" vertical="center" wrapText="1"/>
      <protection/>
    </xf>
    <xf numFmtId="183" fontId="53" fillId="0" borderId="37"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protection/>
    </xf>
    <xf numFmtId="183" fontId="55" fillId="0" borderId="0" xfId="0" applyNumberFormat="1" applyFont="1" applyFill="1" applyBorder="1" applyAlignment="1" applyProtection="1">
      <alignment horizontal="center" vertical="center" wrapText="1"/>
      <protection/>
    </xf>
    <xf numFmtId="183" fontId="55" fillId="0" borderId="0" xfId="0" applyNumberFormat="1" applyFont="1" applyFill="1" applyBorder="1" applyAlignment="1" applyProtection="1">
      <alignment horizontal="center" vertical="center" wrapText="1"/>
      <protection locked="0"/>
    </xf>
    <xf numFmtId="181" fontId="14" fillId="0" borderId="38" xfId="0" applyNumberFormat="1" applyFont="1" applyBorder="1" applyAlignment="1" applyProtection="1">
      <alignment/>
      <protection/>
    </xf>
    <xf numFmtId="192" fontId="50" fillId="3" borderId="15" xfId="82" applyNumberFormat="1" applyFont="1" applyFill="1" applyBorder="1" applyAlignment="1" applyProtection="1">
      <alignment/>
      <protection locked="0"/>
    </xf>
    <xf numFmtId="192" fontId="14" fillId="0" borderId="39" xfId="82" applyNumberFormat="1"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85" fontId="2" fillId="0" borderId="0" xfId="0" applyNumberFormat="1" applyFont="1" applyFill="1" applyBorder="1" applyAlignment="1" applyProtection="1">
      <alignment/>
      <protection/>
    </xf>
    <xf numFmtId="185" fontId="14" fillId="0" borderId="0" xfId="82" applyNumberFormat="1" applyFont="1" applyFill="1" applyBorder="1" applyAlignment="1" applyProtection="1">
      <alignment/>
      <protection locked="0"/>
    </xf>
    <xf numFmtId="193" fontId="14" fillId="0" borderId="0" xfId="109" applyNumberFormat="1" applyFont="1" applyFill="1" applyBorder="1" applyAlignment="1" applyProtection="1">
      <alignment horizontal="center"/>
      <protection/>
    </xf>
    <xf numFmtId="183" fontId="14" fillId="0" borderId="0" xfId="0" applyNumberFormat="1" applyFont="1" applyFill="1" applyBorder="1" applyAlignment="1" applyProtection="1">
      <alignment horizontal="center"/>
      <protection/>
    </xf>
    <xf numFmtId="193" fontId="14" fillId="0" borderId="0" xfId="109" applyNumberFormat="1" applyFont="1" applyFill="1" applyBorder="1" applyAlignment="1" applyProtection="1">
      <alignment horizontal="center"/>
      <protection locked="0"/>
    </xf>
    <xf numFmtId="188" fontId="50" fillId="3" borderId="15" xfId="82" applyNumberFormat="1" applyFont="1" applyFill="1" applyBorder="1" applyAlignment="1" applyProtection="1">
      <alignment/>
      <protection locked="0"/>
    </xf>
    <xf numFmtId="188" fontId="14" fillId="0" borderId="39" xfId="82" applyNumberFormat="1" applyFont="1" applyFill="1" applyBorder="1" applyAlignment="1" applyProtection="1">
      <alignment/>
      <protection/>
    </xf>
    <xf numFmtId="181" fontId="14" fillId="0" borderId="40" xfId="0" applyNumberFormat="1" applyFont="1" applyBorder="1" applyAlignment="1" applyProtection="1">
      <alignment/>
      <protection/>
    </xf>
    <xf numFmtId="188" fontId="50" fillId="3" borderId="41" xfId="82" applyNumberFormat="1" applyFont="1" applyFill="1" applyBorder="1" applyAlignment="1" applyProtection="1">
      <alignment/>
      <protection locked="0"/>
    </xf>
    <xf numFmtId="188" fontId="14" fillId="0" borderId="42" xfId="82" applyNumberFormat="1" applyFont="1" applyFill="1" applyBorder="1" applyAlignment="1" applyProtection="1">
      <alignment/>
      <protection/>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83" fontId="52" fillId="0" borderId="43" xfId="0" applyNumberFormat="1" applyFont="1" applyFill="1" applyBorder="1" applyAlignment="1" applyProtection="1">
      <alignment/>
      <protection/>
    </xf>
    <xf numFmtId="181" fontId="52" fillId="0" borderId="15" xfId="0" applyNumberFormat="1" applyFont="1" applyFill="1" applyBorder="1" applyAlignment="1" applyProtection="1">
      <alignment horizontal="center"/>
      <protection/>
    </xf>
    <xf numFmtId="181" fontId="52" fillId="0" borderId="44" xfId="0" applyNumberFormat="1" applyFont="1" applyFill="1" applyBorder="1" applyAlignment="1" applyProtection="1">
      <alignment horizontal="center"/>
      <protection/>
    </xf>
    <xf numFmtId="181" fontId="52" fillId="0" borderId="43"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44" xfId="0" applyNumberFormat="1" applyFill="1" applyBorder="1" applyAlignment="1" applyProtection="1">
      <alignment horizontal="center"/>
      <protection locked="0"/>
    </xf>
    <xf numFmtId="181" fontId="52" fillId="0" borderId="45" xfId="0" applyNumberFormat="1" applyFont="1" applyFill="1" applyBorder="1" applyAlignment="1" applyProtection="1">
      <alignment/>
      <protection/>
    </xf>
    <xf numFmtId="181" fontId="52" fillId="0" borderId="46" xfId="0" applyNumberFormat="1" applyFont="1" applyFill="1" applyBorder="1" applyAlignment="1" applyProtection="1">
      <alignment/>
      <protection/>
    </xf>
    <xf numFmtId="1" fontId="0" fillId="3" borderId="27" xfId="0" applyNumberFormat="1" applyFill="1" applyBorder="1" applyAlignment="1" applyProtection="1">
      <alignment horizontal="center"/>
      <protection locked="0"/>
    </xf>
    <xf numFmtId="1" fontId="0" fillId="3" borderId="47" xfId="0" applyNumberFormat="1" applyFill="1" applyBorder="1" applyAlignment="1" applyProtection="1">
      <alignment horizontal="center"/>
      <protection locked="0"/>
    </xf>
    <xf numFmtId="0" fontId="0" fillId="0" borderId="48" xfId="0" applyBorder="1" applyAlignment="1" applyProtection="1">
      <alignment/>
      <protection/>
    </xf>
    <xf numFmtId="181" fontId="57" fillId="0" borderId="48" xfId="132" applyNumberFormat="1" applyFont="1" applyFill="1" applyBorder="1" applyAlignment="1" applyProtection="1">
      <alignment/>
      <protection/>
    </xf>
    <xf numFmtId="181" fontId="48" fillId="0" borderId="48" xfId="132" applyNumberFormat="1" applyFont="1" applyFill="1" applyBorder="1" applyAlignment="1" applyProtection="1">
      <alignment vertical="center"/>
      <protection/>
    </xf>
    <xf numFmtId="181" fontId="58" fillId="0" borderId="48" xfId="132" applyNumberFormat="1" applyFont="1" applyFill="1" applyBorder="1" applyAlignment="1" applyProtection="1">
      <alignment vertical="center"/>
      <protection/>
    </xf>
    <xf numFmtId="181" fontId="48" fillId="0" borderId="48" xfId="132" applyNumberFormat="1" applyFont="1" applyFill="1" applyBorder="1" applyAlignment="1" applyProtection="1">
      <alignment horizontal="center" vertical="center"/>
      <protection/>
    </xf>
    <xf numFmtId="181" fontId="48" fillId="13" borderId="49" xfId="132" applyNumberFormat="1" applyFont="1" applyFill="1" applyBorder="1" applyAlignment="1" applyProtection="1">
      <alignment horizontal="center" vertical="center"/>
      <protection/>
    </xf>
    <xf numFmtId="181" fontId="48" fillId="0" borderId="50" xfId="132" applyNumberFormat="1" applyFont="1" applyFill="1" applyBorder="1" applyAlignment="1" applyProtection="1">
      <alignment vertical="center"/>
      <protection/>
    </xf>
    <xf numFmtId="181" fontId="48" fillId="0" borderId="0" xfId="132" applyNumberFormat="1" applyFont="1" applyFill="1" applyBorder="1" applyAlignment="1" applyProtection="1">
      <alignment horizontal="center" vertical="center"/>
      <protection locked="0"/>
    </xf>
    <xf numFmtId="181" fontId="57" fillId="0" borderId="0" xfId="132" applyNumberFormat="1" applyFont="1" applyFill="1" applyBorder="1" applyAlignment="1" applyProtection="1">
      <alignment/>
      <protection/>
    </xf>
    <xf numFmtId="181" fontId="48" fillId="0" borderId="0" xfId="132" applyNumberFormat="1" applyFont="1" applyFill="1" applyBorder="1" applyAlignment="1" applyProtection="1">
      <alignment vertical="center"/>
      <protection/>
    </xf>
    <xf numFmtId="181"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81" fontId="18" fillId="0" borderId="51" xfId="0" applyNumberFormat="1" applyFont="1" applyBorder="1" applyAlignment="1" applyProtection="1">
      <alignment horizontal="center"/>
      <protection/>
    </xf>
    <xf numFmtId="181" fontId="18" fillId="0" borderId="51" xfId="0" applyNumberFormat="1" applyFont="1" applyBorder="1" applyAlignment="1" applyProtection="1">
      <alignment horizontal="center" wrapText="1"/>
      <protection/>
    </xf>
    <xf numFmtId="181" fontId="18" fillId="0" borderId="52"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81" fontId="0" fillId="0" borderId="53" xfId="0" applyNumberFormat="1" applyFont="1" applyBorder="1" applyAlignment="1" applyProtection="1">
      <alignment horizontal="left"/>
      <protection/>
    </xf>
    <xf numFmtId="1" fontId="50" fillId="13" borderId="15" xfId="0" applyNumberFormat="1" applyFont="1" applyFill="1" applyBorder="1" applyAlignment="1" applyProtection="1">
      <alignment horizontal="center"/>
      <protection locked="0"/>
    </xf>
    <xf numFmtId="1" fontId="50" fillId="2" borderId="54"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55" xfId="0" applyNumberFormat="1" applyFont="1" applyBorder="1" applyAlignment="1" applyProtection="1">
      <alignment horizontal="left"/>
      <protection/>
    </xf>
    <xf numFmtId="1" fontId="50" fillId="13" borderId="56" xfId="0" applyNumberFormat="1" applyFont="1" applyFill="1" applyBorder="1" applyAlignment="1" applyProtection="1">
      <alignment horizontal="center"/>
      <protection locked="0"/>
    </xf>
    <xf numFmtId="1" fontId="50" fillId="2" borderId="57" xfId="0" applyNumberFormat="1" applyFont="1" applyFill="1" applyBorder="1" applyAlignment="1" applyProtection="1">
      <alignment horizontal="center"/>
      <protection/>
    </xf>
    <xf numFmtId="0" fontId="0" fillId="0" borderId="58" xfId="0" applyBorder="1" applyAlignment="1" applyProtection="1">
      <alignment/>
      <protection/>
    </xf>
    <xf numFmtId="181" fontId="0" fillId="0" borderId="51" xfId="0" applyNumberFormat="1" applyFont="1" applyBorder="1" applyAlignment="1" applyProtection="1">
      <alignment horizontal="center"/>
      <protection/>
    </xf>
    <xf numFmtId="181" fontId="0" fillId="0" borderId="52" xfId="0" applyNumberFormat="1" applyFont="1" applyBorder="1" applyAlignment="1" applyProtection="1">
      <alignment horizontal="center"/>
      <protection/>
    </xf>
    <xf numFmtId="0" fontId="0" fillId="13" borderId="56" xfId="0" applyNumberFormat="1" applyFill="1" applyBorder="1" applyAlignment="1" applyProtection="1">
      <alignment horizontal="center"/>
      <protection locked="0"/>
    </xf>
    <xf numFmtId="0" fontId="0" fillId="0" borderId="57"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181" fontId="0" fillId="0" borderId="52" xfId="0" applyNumberFormat="1" applyFont="1" applyBorder="1" applyAlignment="1" applyProtection="1">
      <alignment horizontal="center" wrapText="1"/>
      <protection/>
    </xf>
    <xf numFmtId="0" fontId="60" fillId="0" borderId="0" xfId="0" applyFont="1" applyFill="1" applyBorder="1" applyAlignment="1" applyProtection="1">
      <alignment horizontal="center" wrapText="1"/>
      <protection/>
    </xf>
    <xf numFmtId="0" fontId="0" fillId="13" borderId="57"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181" fontId="49" fillId="0" borderId="51" xfId="0" applyNumberFormat="1" applyFont="1" applyBorder="1" applyAlignment="1" applyProtection="1">
      <alignment horizontal="center"/>
      <protection/>
    </xf>
    <xf numFmtId="181" fontId="49" fillId="0" borderId="52" xfId="0" applyNumberFormat="1" applyFont="1" applyBorder="1" applyAlignment="1" applyProtection="1">
      <alignment horizontal="center"/>
      <protection/>
    </xf>
    <xf numFmtId="1" fontId="0" fillId="13" borderId="15" xfId="0" applyNumberFormat="1" applyFont="1" applyFill="1" applyBorder="1" applyAlignment="1" applyProtection="1">
      <alignment horizontal="center"/>
      <protection locked="0"/>
    </xf>
    <xf numFmtId="1" fontId="0" fillId="0" borderId="54" xfId="0" applyNumberFormat="1" applyFont="1" applyFill="1" applyBorder="1" applyAlignment="1" applyProtection="1">
      <alignment horizontal="center"/>
      <protection/>
    </xf>
    <xf numFmtId="1" fontId="0" fillId="13" borderId="56" xfId="0" applyNumberFormat="1" applyFont="1" applyFill="1" applyBorder="1" applyAlignment="1" applyProtection="1">
      <alignment horizontal="center"/>
      <protection locked="0"/>
    </xf>
    <xf numFmtId="0" fontId="0" fillId="0" borderId="59" xfId="0" applyBorder="1" applyAlignment="1" applyProtection="1">
      <alignment/>
      <protection/>
    </xf>
    <xf numFmtId="184" fontId="49" fillId="10" borderId="60" xfId="0" applyNumberFormat="1" applyFont="1" applyFill="1" applyBorder="1" applyAlignment="1" applyProtection="1">
      <alignment horizontal="center"/>
      <protection locked="0"/>
    </xf>
    <xf numFmtId="184" fontId="49" fillId="10" borderId="61" xfId="0" applyNumberFormat="1" applyFont="1" applyFill="1" applyBorder="1" applyAlignment="1" applyProtection="1">
      <alignment horizontal="center"/>
      <protection locked="0"/>
    </xf>
    <xf numFmtId="184" fontId="0" fillId="0" borderId="62" xfId="0" applyNumberFormat="1" applyFont="1" applyFill="1" applyBorder="1" applyAlignment="1" applyProtection="1">
      <alignment horizontal="left"/>
      <protection/>
    </xf>
    <xf numFmtId="192" fontId="0" fillId="13" borderId="15" xfId="85" applyNumberFormat="1" applyFont="1" applyFill="1" applyBorder="1" applyAlignment="1" applyProtection="1">
      <alignment horizontal="right" wrapText="1"/>
      <protection locked="0"/>
    </xf>
    <xf numFmtId="188" fontId="0" fillId="13" borderId="15" xfId="0" applyNumberFormat="1" applyFill="1" applyBorder="1" applyAlignment="1" applyProtection="1">
      <alignment horizontal="right" wrapText="1"/>
      <protection locked="0"/>
    </xf>
    <xf numFmtId="192" fontId="0" fillId="13" borderId="15" xfId="0" applyNumberFormat="1" applyFill="1" applyBorder="1" applyAlignment="1" applyProtection="1">
      <alignment horizontal="right" wrapText="1"/>
      <protection locked="0"/>
    </xf>
    <xf numFmtId="184" fontId="0" fillId="0" borderId="63" xfId="0" applyNumberFormat="1" applyFont="1" applyBorder="1" applyAlignment="1" applyProtection="1">
      <alignment horizontal="left"/>
      <protection/>
    </xf>
    <xf numFmtId="192" fontId="0" fillId="2" borderId="15" xfId="85" applyNumberFormat="1" applyFont="1" applyFill="1" applyBorder="1" applyAlignment="1" applyProtection="1">
      <alignment horizontal="right" wrapText="1"/>
      <protection locked="0"/>
    </xf>
    <xf numFmtId="192" fontId="0" fillId="0" borderId="15" xfId="0" applyNumberFormat="1" applyBorder="1" applyAlignment="1" applyProtection="1">
      <alignment horizontal="right" wrapText="1"/>
      <protection/>
    </xf>
    <xf numFmtId="192" fontId="0" fillId="0" borderId="15" xfId="85" applyNumberFormat="1" applyFont="1" applyFill="1" applyBorder="1" applyAlignment="1" applyProtection="1">
      <alignment horizontal="right" wrapText="1"/>
      <protection/>
    </xf>
    <xf numFmtId="188" fontId="0" fillId="0" borderId="15" xfId="0" applyNumberFormat="1" applyBorder="1" applyAlignment="1" applyProtection="1">
      <alignment horizontal="right" wrapText="1"/>
      <protection/>
    </xf>
    <xf numFmtId="184" fontId="0" fillId="0" borderId="45"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81" fontId="0" fillId="0" borderId="0" xfId="82"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181" fontId="0" fillId="0" borderId="59" xfId="0" applyNumberFormat="1" applyFont="1" applyFill="1" applyBorder="1" applyAlignment="1" applyProtection="1">
      <alignment horizontal="left"/>
      <protection/>
    </xf>
    <xf numFmtId="181" fontId="0" fillId="0" borderId="64" xfId="0" applyNumberFormat="1" applyFont="1" applyFill="1" applyBorder="1" applyAlignment="1" applyProtection="1">
      <alignment horizontal="center" wrapText="1"/>
      <protection/>
    </xf>
    <xf numFmtId="181" fontId="41" fillId="0" borderId="64" xfId="0" applyNumberFormat="1" applyFont="1" applyBorder="1" applyAlignment="1">
      <alignment horizontal="center" wrapText="1"/>
    </xf>
    <xf numFmtId="181" fontId="0" fillId="0" borderId="64" xfId="0" applyNumberFormat="1" applyFont="1" applyBorder="1" applyAlignment="1">
      <alignment horizontal="center" wrapText="1"/>
    </xf>
    <xf numFmtId="181" fontId="0" fillId="0" borderId="65" xfId="0" applyNumberFormat="1" applyFont="1" applyFill="1" applyBorder="1" applyAlignment="1" applyProtection="1">
      <alignment horizontal="center" wrapText="1"/>
      <protection/>
    </xf>
    <xf numFmtId="181" fontId="0" fillId="13" borderId="66" xfId="0" applyNumberFormat="1" applyFont="1" applyFill="1" applyBorder="1" applyAlignment="1" applyProtection="1">
      <alignment/>
      <protection locked="0"/>
    </xf>
    <xf numFmtId="0" fontId="0" fillId="13" borderId="66" xfId="0" applyNumberFormat="1" applyFill="1" applyBorder="1" applyAlignment="1" applyProtection="1">
      <alignment/>
      <protection locked="0"/>
    </xf>
    <xf numFmtId="0" fontId="0" fillId="0" borderId="66" xfId="0" applyNumberFormat="1" applyFill="1" applyBorder="1" applyAlignment="1" applyProtection="1">
      <alignment/>
      <protection/>
    </xf>
    <xf numFmtId="188" fontId="0" fillId="13" borderId="66" xfId="0" applyNumberFormat="1" applyFill="1" applyBorder="1" applyAlignment="1" applyProtection="1">
      <alignment/>
      <protection locked="0"/>
    </xf>
    <xf numFmtId="188" fontId="0" fillId="0" borderId="66" xfId="0" applyNumberFormat="1" applyFill="1" applyBorder="1" applyAlignment="1" applyProtection="1">
      <alignment/>
      <protection/>
    </xf>
    <xf numFmtId="194" fontId="0" fillId="0" borderId="66" xfId="0" applyNumberFormat="1" applyFill="1" applyBorder="1" applyAlignment="1" applyProtection="1">
      <alignment horizontal="center"/>
      <protection/>
    </xf>
    <xf numFmtId="0" fontId="0" fillId="13" borderId="66" xfId="0" applyNumberFormat="1" applyFill="1" applyBorder="1" applyAlignment="1" applyProtection="1">
      <alignment horizontal="center"/>
      <protection locked="0"/>
    </xf>
    <xf numFmtId="194" fontId="0" fillId="0" borderId="66" xfId="0" applyNumberFormat="1" applyFill="1" applyBorder="1" applyAlignment="1" applyProtection="1">
      <alignment/>
      <protection/>
    </xf>
    <xf numFmtId="181" fontId="0" fillId="13" borderId="66" xfId="0" applyNumberFormat="1" applyFont="1" applyFill="1" applyBorder="1" applyAlignment="1" applyProtection="1">
      <alignment horizontal="left"/>
      <protection locked="0"/>
    </xf>
    <xf numFmtId="49" fontId="0" fillId="13" borderId="66" xfId="0" applyNumberFormat="1" applyFont="1" applyFill="1" applyBorder="1" applyAlignment="1" applyProtection="1">
      <alignment horizontal="left"/>
      <protection locked="0"/>
    </xf>
    <xf numFmtId="181" fontId="61" fillId="0" borderId="67" xfId="132" applyNumberFormat="1" applyFont="1" applyFill="1" applyBorder="1" applyAlignment="1" applyProtection="1">
      <alignment/>
      <protection/>
    </xf>
    <xf numFmtId="181" fontId="62" fillId="0" borderId="67" xfId="132" applyNumberFormat="1" applyFont="1" applyFill="1" applyBorder="1" applyAlignment="1" applyProtection="1">
      <alignment/>
      <protection/>
    </xf>
    <xf numFmtId="181" fontId="48" fillId="0" borderId="67" xfId="132" applyNumberFormat="1" applyFont="1" applyFill="1" applyBorder="1" applyAlignment="1" applyProtection="1">
      <alignment vertical="center"/>
      <protection/>
    </xf>
    <xf numFmtId="181" fontId="63" fillId="0" borderId="67" xfId="132" applyNumberFormat="1" applyFont="1" applyFill="1" applyBorder="1" applyAlignment="1" applyProtection="1">
      <alignment vertical="center"/>
      <protection/>
    </xf>
    <xf numFmtId="181" fontId="5" fillId="0" borderId="67" xfId="132" applyNumberFormat="1" applyFont="1" applyFill="1" applyBorder="1" applyAlignment="1" applyProtection="1">
      <alignment vertical="center"/>
      <protection/>
    </xf>
    <xf numFmtId="0" fontId="0" fillId="0" borderId="67" xfId="0" applyFill="1" applyBorder="1" applyAlignment="1" applyProtection="1">
      <alignment/>
      <protection/>
    </xf>
    <xf numFmtId="181" fontId="62" fillId="0" borderId="67" xfId="132" applyNumberFormat="1" applyFont="1" applyFill="1" applyBorder="1" applyAlignment="1" applyProtection="1">
      <alignment vertical="center"/>
      <protection/>
    </xf>
    <xf numFmtId="0" fontId="0" fillId="0" borderId="67" xfId="0" applyBorder="1" applyAlignment="1" applyProtection="1">
      <alignment/>
      <protection/>
    </xf>
    <xf numFmtId="0" fontId="0" fillId="0" borderId="67" xfId="0" applyBorder="1" applyAlignment="1">
      <alignment/>
    </xf>
    <xf numFmtId="0" fontId="0" fillId="12" borderId="68" xfId="0" applyFill="1" applyBorder="1" applyAlignment="1">
      <alignment/>
    </xf>
    <xf numFmtId="181" fontId="64" fillId="0" borderId="69" xfId="0" applyNumberFormat="1" applyFont="1" applyFill="1" applyBorder="1" applyAlignment="1" applyProtection="1">
      <alignment horizontal="center" vertical="center"/>
      <protection/>
    </xf>
    <xf numFmtId="181" fontId="64" fillId="0" borderId="70" xfId="0" applyNumberFormat="1" applyFont="1" applyFill="1" applyBorder="1" applyAlignment="1" applyProtection="1">
      <alignment horizontal="center" vertical="center" wrapText="1"/>
      <protection/>
    </xf>
    <xf numFmtId="0" fontId="1" fillId="0" borderId="71" xfId="0" applyFont="1" applyFill="1" applyBorder="1" applyAlignment="1" applyProtection="1">
      <alignment horizontal="center"/>
      <protection/>
    </xf>
    <xf numFmtId="184" fontId="18" fillId="10" borderId="72" xfId="0" applyNumberFormat="1" applyFont="1" applyFill="1" applyBorder="1" applyAlignment="1" applyProtection="1">
      <alignment horizontal="center"/>
      <protection locked="0"/>
    </xf>
    <xf numFmtId="184" fontId="18" fillId="10" borderId="73" xfId="0" applyNumberFormat="1" applyFont="1" applyFill="1" applyBorder="1" applyAlignment="1" applyProtection="1">
      <alignment horizontal="center"/>
      <protection locked="0"/>
    </xf>
    <xf numFmtId="181" fontId="64" fillId="0" borderId="74" xfId="0" applyNumberFormat="1" applyFont="1" applyFill="1" applyBorder="1" applyAlignment="1" applyProtection="1">
      <alignment horizontal="center" vertical="center"/>
      <protection/>
    </xf>
    <xf numFmtId="0" fontId="64" fillId="0" borderId="75" xfId="0" applyFont="1" applyFill="1" applyBorder="1" applyAlignment="1" applyProtection="1">
      <alignment horizontal="center" vertical="center"/>
      <protection/>
    </xf>
    <xf numFmtId="181" fontId="64" fillId="0" borderId="76" xfId="0" applyNumberFormat="1" applyFont="1" applyFill="1" applyBorder="1" applyAlignment="1" applyProtection="1">
      <alignment horizontal="center" vertical="center"/>
      <protection/>
    </xf>
    <xf numFmtId="181" fontId="64" fillId="0" borderId="77" xfId="0" applyNumberFormat="1" applyFont="1" applyFill="1" applyBorder="1" applyAlignment="1" applyProtection="1">
      <alignment horizontal="center" vertical="center" wrapText="1"/>
      <protection/>
    </xf>
    <xf numFmtId="0" fontId="1" fillId="0" borderId="78" xfId="0" applyFont="1" applyFill="1" applyBorder="1" applyAlignment="1" applyProtection="1">
      <alignment horizontal="center"/>
      <protection/>
    </xf>
    <xf numFmtId="184" fontId="18" fillId="10" borderId="75" xfId="0" applyNumberFormat="1" applyFont="1" applyFill="1" applyBorder="1" applyAlignment="1" applyProtection="1">
      <alignment horizontal="center"/>
      <protection locked="0"/>
    </xf>
    <xf numFmtId="184" fontId="18" fillId="10" borderId="79" xfId="0" applyNumberFormat="1" applyFont="1" applyFill="1" applyBorder="1" applyAlignment="1" applyProtection="1">
      <alignment horizontal="center"/>
      <protection locked="0"/>
    </xf>
    <xf numFmtId="49" fontId="1" fillId="0" borderId="15" xfId="0" applyNumberFormat="1" applyFont="1" applyFill="1" applyBorder="1" applyAlignment="1" applyProtection="1">
      <alignment horizontal="left"/>
      <protection/>
    </xf>
    <xf numFmtId="0" fontId="65" fillId="27" borderId="15" xfId="0" applyNumberFormat="1" applyFont="1" applyFill="1" applyBorder="1" applyAlignment="1" applyProtection="1">
      <alignment horizontal="center" vertical="center"/>
      <protection locked="0"/>
    </xf>
    <xf numFmtId="0" fontId="65" fillId="12" borderId="15" xfId="109" applyNumberFormat="1" applyFont="1" applyFill="1" applyBorder="1" applyAlignment="1" applyProtection="1">
      <alignment horizontal="center" vertical="center"/>
      <protection locked="0"/>
    </xf>
    <xf numFmtId="188" fontId="65" fillId="12" borderId="15" xfId="0" applyNumberFormat="1" applyFont="1" applyFill="1" applyBorder="1" applyAlignment="1" applyProtection="1">
      <alignment horizontal="center" vertical="center"/>
      <protection locked="0"/>
    </xf>
    <xf numFmtId="188" fontId="65" fillId="12" borderId="80" xfId="0" applyNumberFormat="1" applyFont="1" applyFill="1" applyBorder="1" applyAlignment="1" applyProtection="1">
      <alignment horizontal="center" vertical="center"/>
      <protection locked="0"/>
    </xf>
    <xf numFmtId="49" fontId="1" fillId="28" borderId="15" xfId="0" applyNumberFormat="1" applyFont="1" applyFill="1" applyBorder="1" applyAlignment="1" applyProtection="1">
      <alignment horizontal="left"/>
      <protection/>
    </xf>
    <xf numFmtId="188" fontId="65" fillId="27" borderId="15" xfId="0" applyNumberFormat="1" applyFont="1" applyFill="1" applyBorder="1" applyAlignment="1" applyProtection="1">
      <alignment horizontal="center" vertical="center"/>
      <protection locked="0"/>
    </xf>
    <xf numFmtId="188" fontId="65" fillId="27" borderId="80" xfId="0" applyNumberFormat="1" applyFont="1" applyFill="1" applyBorder="1" applyAlignment="1" applyProtection="1">
      <alignment horizontal="center" vertical="center"/>
      <protection locked="0"/>
    </xf>
    <xf numFmtId="0" fontId="65" fillId="12" borderId="15" xfId="0" applyNumberFormat="1" applyFont="1" applyFill="1" applyBorder="1" applyAlignment="1" applyProtection="1">
      <alignment horizontal="center" vertical="center"/>
      <protection locked="0"/>
    </xf>
    <xf numFmtId="195" fontId="65" fillId="27" borderId="15" xfId="0" applyNumberFormat="1" applyFont="1" applyFill="1" applyBorder="1" applyAlignment="1" applyProtection="1">
      <alignment horizontal="center" vertical="center"/>
      <protection locked="0"/>
    </xf>
    <xf numFmtId="188" fontId="65" fillId="27" borderId="81" xfId="0" applyNumberFormat="1" applyFont="1" applyFill="1" applyBorder="1" applyAlignment="1" applyProtection="1">
      <alignment horizontal="center" vertical="center"/>
      <protection locked="0"/>
    </xf>
    <xf numFmtId="188" fontId="65" fillId="27" borderId="82" xfId="0" applyNumberFormat="1" applyFont="1" applyFill="1" applyBorder="1" applyAlignment="1" applyProtection="1">
      <alignment horizontal="center" vertical="center"/>
      <protection locked="0"/>
    </xf>
    <xf numFmtId="49" fontId="1" fillId="28" borderId="81" xfId="0" applyNumberFormat="1" applyFont="1" applyFill="1" applyBorder="1" applyAlignment="1" applyProtection="1">
      <alignment horizontal="left"/>
      <protection/>
    </xf>
    <xf numFmtId="191" fontId="65" fillId="27" borderId="15" xfId="0" applyNumberFormat="1" applyFont="1" applyFill="1" applyBorder="1" applyAlignment="1" applyProtection="1">
      <alignment horizontal="center" vertical="center"/>
      <protection locked="0"/>
    </xf>
    <xf numFmtId="191" fontId="65" fillId="12" borderId="15" xfId="0" applyNumberFormat="1" applyFont="1" applyFill="1" applyBorder="1" applyAlignment="1" applyProtection="1">
      <alignment horizontal="center" vertical="center"/>
      <protection locked="0"/>
    </xf>
    <xf numFmtId="181" fontId="68" fillId="0" borderId="0" xfId="88" applyFont="1" applyFill="1" applyAlignment="1" applyProtection="1">
      <alignment vertical="center"/>
      <protection/>
    </xf>
    <xf numFmtId="0" fontId="50" fillId="0" borderId="0" xfId="0" applyFont="1" applyAlignment="1" applyProtection="1">
      <alignment/>
      <protection/>
    </xf>
    <xf numFmtId="181" fontId="69" fillId="0" borderId="0" xfId="100"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70" fillId="0" borderId="0" xfId="0" applyFont="1" applyFill="1" applyBorder="1" applyAlignment="1" applyProtection="1">
      <alignment horizontal="left"/>
      <protection/>
    </xf>
    <xf numFmtId="0" fontId="71" fillId="0" borderId="0" xfId="0" applyFont="1" applyFill="1" applyAlignment="1" applyProtection="1">
      <alignment/>
      <protection/>
    </xf>
    <xf numFmtId="0" fontId="2" fillId="0" borderId="0" xfId="0" applyFont="1" applyAlignment="1" applyProtection="1">
      <alignment/>
      <protection/>
    </xf>
    <xf numFmtId="181" fontId="72" fillId="0" borderId="0" xfId="100" applyFont="1" applyFill="1" applyAlignment="1" applyProtection="1">
      <alignment/>
      <protection/>
    </xf>
    <xf numFmtId="181" fontId="72" fillId="0" borderId="0" xfId="100" applyFont="1" applyFill="1" applyAlignment="1" applyProtection="1">
      <alignment horizontal="center"/>
      <protection/>
    </xf>
    <xf numFmtId="181" fontId="72" fillId="0" borderId="0" xfId="100" applyFont="1" applyFill="1" applyAlignment="1" applyProtection="1">
      <alignment horizontal="right"/>
      <protection/>
    </xf>
    <xf numFmtId="181" fontId="72" fillId="0" borderId="0" xfId="100" applyFont="1" applyFill="1" applyBorder="1" applyAlignment="1" applyProtection="1">
      <alignment horizontal="center"/>
      <protection/>
    </xf>
    <xf numFmtId="181" fontId="0" fillId="0" borderId="0" xfId="99"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81" fontId="0" fillId="0" borderId="83" xfId="126" applyNumberFormat="1" applyFont="1" applyFill="1" applyBorder="1" applyAlignment="1" applyProtection="1">
      <alignment horizontal="right"/>
      <protection/>
    </xf>
    <xf numFmtId="196" fontId="39" fillId="13" borderId="83" xfId="126" applyNumberFormat="1" applyFont="1" applyFill="1" applyBorder="1" applyAlignment="1" applyProtection="1">
      <alignment horizontal="center" vertical="center"/>
      <protection/>
    </xf>
    <xf numFmtId="181" fontId="69" fillId="0" borderId="83" xfId="126" applyNumberFormat="1" applyFont="1" applyFill="1" applyBorder="1" applyAlignment="1" applyProtection="1">
      <alignment horizontal="right"/>
      <protection/>
    </xf>
    <xf numFmtId="181" fontId="39" fillId="13" borderId="83" xfId="126" applyNumberFormat="1" applyFont="1" applyFill="1" applyBorder="1" applyAlignment="1" applyProtection="1">
      <alignment horizontal="center" vertical="center"/>
      <protection/>
    </xf>
    <xf numFmtId="183" fontId="39" fillId="13" borderId="83" xfId="126" applyNumberFormat="1" applyFont="1" applyFill="1" applyBorder="1" applyAlignment="1" applyProtection="1">
      <alignment horizontal="center" vertical="center"/>
      <protection/>
    </xf>
    <xf numFmtId="181" fontId="2" fillId="0" borderId="0" xfId="99" applyFont="1" applyProtection="1">
      <alignment/>
      <protection/>
    </xf>
    <xf numFmtId="198" fontId="39" fillId="13" borderId="83" xfId="126" applyNumberFormat="1" applyFont="1" applyFill="1" applyBorder="1" applyAlignment="1" applyProtection="1">
      <alignment horizontal="center"/>
      <protection/>
    </xf>
    <xf numFmtId="188" fontId="39" fillId="13" borderId="83" xfId="126" applyNumberFormat="1" applyFont="1" applyFill="1" applyBorder="1" applyAlignment="1" applyProtection="1">
      <alignment horizontal="center"/>
      <protection/>
    </xf>
    <xf numFmtId="181" fontId="39" fillId="13" borderId="83"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83" fontId="39" fillId="13" borderId="83" xfId="126" applyNumberFormat="1" applyFont="1" applyFill="1" applyBorder="1" applyAlignment="1" applyProtection="1">
      <alignment horizontal="center"/>
      <protection/>
    </xf>
    <xf numFmtId="0" fontId="74" fillId="0" borderId="0" xfId="0" applyFont="1" applyFill="1" applyBorder="1" applyAlignment="1" applyProtection="1">
      <alignment/>
      <protection/>
    </xf>
    <xf numFmtId="0" fontId="27" fillId="0" borderId="0" xfId="99" applyNumberFormat="1" applyFont="1" applyBorder="1" applyProtection="1">
      <alignment/>
      <protection/>
    </xf>
    <xf numFmtId="181" fontId="75" fillId="0" borderId="0" xfId="99" applyFont="1" applyProtection="1">
      <alignment/>
      <protection/>
    </xf>
    <xf numFmtId="181" fontId="2" fillId="0" borderId="0" xfId="101" applyFont="1" applyProtection="1">
      <alignment/>
      <protection/>
    </xf>
    <xf numFmtId="181" fontId="75" fillId="0" borderId="0" xfId="101" applyFont="1" applyProtection="1">
      <alignment/>
      <protection/>
    </xf>
    <xf numFmtId="181" fontId="24" fillId="0" borderId="0" xfId="88" applyFont="1" applyFill="1" applyAlignment="1">
      <alignment vertical="center"/>
      <protection/>
    </xf>
    <xf numFmtId="181" fontId="41" fillId="0" borderId="0" xfId="0" applyNumberFormat="1" applyFont="1" applyAlignment="1" applyProtection="1">
      <alignment horizontal="right"/>
      <protection/>
    </xf>
    <xf numFmtId="181"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4" fillId="0" borderId="0" xfId="0" applyFont="1" applyAlignment="1">
      <alignment/>
    </xf>
    <xf numFmtId="183" fontId="41" fillId="0" borderId="0" xfId="0" applyNumberFormat="1" applyFont="1" applyAlignment="1" applyProtection="1">
      <alignment horizontal="center"/>
      <protection/>
    </xf>
    <xf numFmtId="181" fontId="41" fillId="0" borderId="0" xfId="0" applyNumberFormat="1" applyFont="1" applyAlignment="1" applyProtection="1">
      <alignment/>
      <protection/>
    </xf>
    <xf numFmtId="185" fontId="41" fillId="0" borderId="0" xfId="82" applyNumberFormat="1" applyFont="1" applyFill="1" applyBorder="1" applyAlignment="1" applyProtection="1">
      <alignment horizontal="left"/>
      <protection/>
    </xf>
    <xf numFmtId="181" fontId="41" fillId="0" borderId="0" xfId="0" applyNumberFormat="1" applyFont="1" applyBorder="1" applyAlignment="1" applyProtection="1">
      <alignment/>
      <protection/>
    </xf>
    <xf numFmtId="0" fontId="72" fillId="0" borderId="0" xfId="0" applyFont="1" applyBorder="1" applyAlignment="1" applyProtection="1">
      <alignment horizontal="center"/>
      <protection/>
    </xf>
    <xf numFmtId="0" fontId="72" fillId="0" borderId="0" xfId="0" applyFont="1" applyAlignment="1" applyProtection="1">
      <alignment horizontal="center"/>
      <protection/>
    </xf>
    <xf numFmtId="183" fontId="41" fillId="0" borderId="0" xfId="0" applyNumberFormat="1" applyFont="1" applyAlignment="1" applyProtection="1">
      <alignment horizontal="right"/>
      <protection/>
    </xf>
    <xf numFmtId="183" fontId="41" fillId="0" borderId="0" xfId="0" applyNumberFormat="1" applyFont="1" applyAlignment="1" applyProtection="1">
      <alignment horizontal="left"/>
      <protection/>
    </xf>
    <xf numFmtId="181" fontId="77" fillId="0" borderId="0" xfId="0" applyNumberFormat="1" applyFont="1" applyBorder="1" applyAlignment="1" applyProtection="1">
      <alignment/>
      <protection/>
    </xf>
    <xf numFmtId="0" fontId="78" fillId="0" borderId="0" xfId="0" applyFont="1" applyBorder="1" applyAlignment="1" applyProtection="1">
      <alignment/>
      <protection/>
    </xf>
    <xf numFmtId="0" fontId="79" fillId="12" borderId="0" xfId="0" applyNumberFormat="1" applyFont="1" applyFill="1" applyBorder="1" applyAlignment="1" applyProtection="1">
      <alignment horizontal="left"/>
      <protection locked="0"/>
    </xf>
    <xf numFmtId="0" fontId="78" fillId="12" borderId="0" xfId="0" applyNumberFormat="1" applyFont="1" applyFill="1" applyBorder="1" applyAlignment="1" applyProtection="1">
      <alignment horizontal="left"/>
      <protection locked="0"/>
    </xf>
    <xf numFmtId="0" fontId="2" fillId="0" borderId="0" xfId="0" applyFont="1" applyAlignment="1">
      <alignment/>
    </xf>
    <xf numFmtId="181" fontId="80" fillId="0" borderId="0" xfId="0" applyNumberFormat="1" applyFont="1" applyAlignment="1" applyProtection="1">
      <alignment/>
      <protection/>
    </xf>
    <xf numFmtId="0" fontId="0" fillId="0" borderId="0" xfId="0" applyBorder="1" applyAlignment="1">
      <alignment horizontal="left" wrapText="1"/>
    </xf>
    <xf numFmtId="0" fontId="78" fillId="0" borderId="0" xfId="0" applyFont="1" applyFill="1" applyAlignment="1" applyProtection="1">
      <alignment horizontal="left"/>
      <protection locked="0"/>
    </xf>
    <xf numFmtId="0" fontId="78" fillId="0" borderId="0" xfId="0" applyFont="1" applyFill="1" applyBorder="1" applyAlignment="1" applyProtection="1">
      <alignment horizontal="left"/>
      <protection locked="0"/>
    </xf>
    <xf numFmtId="181" fontId="81" fillId="0" borderId="0" xfId="0" applyNumberFormat="1" applyFont="1" applyBorder="1" applyAlignment="1" applyProtection="1">
      <alignment vertical="center" wrapText="1"/>
      <protection/>
    </xf>
    <xf numFmtId="181" fontId="81" fillId="0" borderId="59" xfId="0" applyNumberFormat="1" applyFont="1" applyFill="1" applyBorder="1" applyAlignment="1" applyProtection="1">
      <alignment horizontal="center" wrapText="1"/>
      <protection/>
    </xf>
    <xf numFmtId="181" fontId="81" fillId="0" borderId="65" xfId="0" applyNumberFormat="1" applyFont="1" applyFill="1" applyBorder="1" applyAlignment="1" applyProtection="1">
      <alignment horizontal="center" wrapText="1"/>
      <protection/>
    </xf>
    <xf numFmtId="0" fontId="81" fillId="0" borderId="0" xfId="0" applyFont="1" applyFill="1" applyBorder="1" applyAlignment="1" applyProtection="1">
      <alignment wrapText="1"/>
      <protection/>
    </xf>
    <xf numFmtId="0" fontId="77" fillId="0" borderId="45" xfId="0" applyFont="1" applyFill="1" applyBorder="1" applyAlignment="1" applyProtection="1">
      <alignment horizontal="center"/>
      <protection/>
    </xf>
    <xf numFmtId="0" fontId="49" fillId="3" borderId="84" xfId="0" applyFont="1" applyFill="1" applyBorder="1" applyAlignment="1" applyProtection="1">
      <alignment horizontal="center"/>
      <protection/>
    </xf>
    <xf numFmtId="0" fontId="77" fillId="0" borderId="85" xfId="0" applyFont="1" applyFill="1" applyBorder="1" applyAlignment="1" applyProtection="1">
      <alignment horizontal="center"/>
      <protection/>
    </xf>
    <xf numFmtId="0" fontId="49" fillId="3" borderId="86" xfId="0" applyFont="1" applyFill="1" applyBorder="1" applyAlignment="1" applyProtection="1">
      <alignment horizontal="center"/>
      <protection/>
    </xf>
    <xf numFmtId="0" fontId="78" fillId="0" borderId="0" xfId="0" applyFont="1" applyAlignment="1" applyProtection="1">
      <alignment/>
      <protection/>
    </xf>
    <xf numFmtId="181" fontId="0" fillId="0" borderId="0" xfId="0" applyNumberFormat="1" applyAlignment="1">
      <alignment/>
    </xf>
    <xf numFmtId="181" fontId="24" fillId="0" borderId="0" xfId="98" applyFont="1" applyFill="1" applyAlignment="1">
      <alignment vertical="center"/>
      <protection/>
    </xf>
    <xf numFmtId="181" fontId="41" fillId="0" borderId="0" xfId="0" applyNumberFormat="1" applyFont="1" applyAlignment="1">
      <alignment horizontal="right"/>
    </xf>
    <xf numFmtId="181" fontId="41" fillId="0" borderId="0" xfId="0" applyNumberFormat="1" applyFont="1" applyAlignment="1">
      <alignment/>
    </xf>
    <xf numFmtId="181" fontId="80" fillId="0" borderId="0" xfId="0" applyNumberFormat="1" applyFont="1" applyAlignment="1">
      <alignment/>
    </xf>
    <xf numFmtId="0" fontId="78" fillId="0" borderId="0" xfId="0" applyFont="1" applyAlignment="1">
      <alignment/>
    </xf>
    <xf numFmtId="0" fontId="78" fillId="12" borderId="0" xfId="0" applyNumberFormat="1" applyFont="1" applyFill="1" applyAlignment="1" applyProtection="1">
      <alignment horizontal="left"/>
      <protection locked="0"/>
    </xf>
    <xf numFmtId="0" fontId="0" fillId="0" borderId="0" xfId="0" applyBorder="1" applyAlignment="1">
      <alignment horizontal="left"/>
    </xf>
    <xf numFmtId="199" fontId="0" fillId="0" borderId="0" xfId="0" applyNumberFormat="1" applyAlignment="1">
      <alignment/>
    </xf>
    <xf numFmtId="0" fontId="18" fillId="0" borderId="0" xfId="0" applyFont="1" applyBorder="1" applyAlignment="1">
      <alignment horizontal="center"/>
    </xf>
    <xf numFmtId="200" fontId="0" fillId="0" borderId="0" xfId="126" applyNumberFormat="1" applyFill="1" applyBorder="1" applyAlignment="1" applyProtection="1">
      <alignment horizontal="center"/>
      <protection locked="0"/>
    </xf>
    <xf numFmtId="200" fontId="0" fillId="0" borderId="0" xfId="0" applyNumberFormat="1" applyFill="1" applyAlignment="1">
      <alignment/>
    </xf>
    <xf numFmtId="183" fontId="0"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1" fontId="70"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41" fillId="0" borderId="59" xfId="0" applyFont="1" applyFill="1" applyBorder="1" applyAlignment="1" applyProtection="1">
      <alignment horizontal="center" wrapText="1"/>
      <protection/>
    </xf>
    <xf numFmtId="0" fontId="41" fillId="0" borderId="87" xfId="0" applyFont="1" applyFill="1" applyBorder="1" applyAlignment="1" applyProtection="1">
      <alignment wrapText="1"/>
      <protection/>
    </xf>
    <xf numFmtId="0" fontId="78" fillId="0" borderId="64" xfId="0" applyFont="1" applyFill="1" applyBorder="1" applyAlignment="1" applyProtection="1">
      <alignment horizontal="center" wrapText="1"/>
      <protection/>
    </xf>
    <xf numFmtId="0" fontId="41" fillId="0" borderId="64" xfId="0" applyNumberFormat="1" applyFont="1" applyFill="1" applyBorder="1" applyAlignment="1" applyProtection="1">
      <alignment horizontal="center" wrapText="1"/>
      <protection/>
    </xf>
    <xf numFmtId="0" fontId="78" fillId="0" borderId="88" xfId="0" applyNumberFormat="1" applyFont="1" applyFill="1" applyBorder="1" applyAlignment="1" applyProtection="1">
      <alignment horizontal="center" wrapText="1"/>
      <protection/>
    </xf>
    <xf numFmtId="0" fontId="50" fillId="2" borderId="12" xfId="0" applyFont="1" applyFill="1" applyBorder="1" applyAlignment="1" applyProtection="1">
      <alignment/>
      <protection/>
    </xf>
    <xf numFmtId="194" fontId="0" fillId="2" borderId="15" xfId="0" applyNumberFormat="1" applyFill="1" applyBorder="1" applyAlignment="1" applyProtection="1">
      <alignment horizontal="center"/>
      <protection/>
    </xf>
    <xf numFmtId="194" fontId="0" fillId="0" borderId="15" xfId="0" applyNumberFormat="1" applyBorder="1" applyAlignment="1" applyProtection="1">
      <alignment horizontal="center"/>
      <protection/>
    </xf>
    <xf numFmtId="194" fontId="2" fillId="29" borderId="89" xfId="0" applyNumberFormat="1" applyFont="1" applyFill="1" applyBorder="1" applyAlignment="1" applyProtection="1">
      <alignment horizontal="center"/>
      <protection/>
    </xf>
    <xf numFmtId="0" fontId="41" fillId="0" borderId="0" xfId="0" applyFont="1" applyFill="1" applyBorder="1" applyAlignment="1">
      <alignment vertical="center" wrapText="1"/>
    </xf>
    <xf numFmtId="0" fontId="41" fillId="0" borderId="0" xfId="0" applyFont="1" applyFill="1" applyBorder="1" applyAlignment="1">
      <alignment horizontal="center"/>
    </xf>
    <xf numFmtId="0" fontId="0" fillId="2" borderId="0" xfId="0" applyFill="1" applyBorder="1" applyAlignment="1">
      <alignment horizontal="center"/>
    </xf>
    <xf numFmtId="0" fontId="41" fillId="0" borderId="0" xfId="0" applyFont="1" applyAlignment="1" applyProtection="1">
      <alignment horizontal="center"/>
      <protection/>
    </xf>
    <xf numFmtId="181" fontId="41" fillId="0" borderId="0" xfId="0" applyNumberFormat="1" applyFont="1" applyAlignment="1" applyProtection="1">
      <alignment/>
      <protection/>
    </xf>
    <xf numFmtId="183"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81" fontId="18"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49" fillId="0" borderId="0" xfId="0" applyNumberFormat="1" applyFont="1" applyAlignment="1" applyProtection="1">
      <alignment horizontal="center"/>
      <protection/>
    </xf>
    <xf numFmtId="181" fontId="78" fillId="12" borderId="0" xfId="0" applyNumberFormat="1" applyFont="1" applyFill="1" applyAlignment="1" applyProtection="1">
      <alignment horizontal="left" vertical="top"/>
      <protection locked="0"/>
    </xf>
    <xf numFmtId="0" fontId="78" fillId="0" borderId="15" xfId="0" applyFont="1" applyBorder="1" applyAlignment="1" applyProtection="1">
      <alignment horizontal="center" vertical="center" wrapText="1"/>
      <protection/>
    </xf>
    <xf numFmtId="9" fontId="84" fillId="14" borderId="15" xfId="109" applyFont="1" applyFill="1" applyBorder="1" applyAlignment="1" applyProtection="1">
      <alignment horizontal="center" vertical="center" wrapText="1"/>
      <protection/>
    </xf>
    <xf numFmtId="188" fontId="2" fillId="2" borderId="90" xfId="0" applyNumberFormat="1" applyFont="1" applyFill="1" applyBorder="1" applyAlignment="1">
      <alignment horizontal="right"/>
    </xf>
    <xf numFmtId="188" fontId="2" fillId="2" borderId="90" xfId="82" applyNumberFormat="1" applyFont="1" applyFill="1" applyBorder="1" applyAlignment="1" applyProtection="1">
      <alignment/>
      <protection/>
    </xf>
    <xf numFmtId="9" fontId="2" fillId="2" borderId="90" xfId="109" applyFont="1" applyFill="1" applyBorder="1" applyAlignment="1" applyProtection="1">
      <alignment/>
      <protection/>
    </xf>
    <xf numFmtId="188" fontId="69" fillId="0" borderId="15" xfId="0" applyNumberFormat="1" applyFont="1" applyBorder="1" applyAlignment="1" applyProtection="1">
      <alignment horizontal="center" vertical="center" wrapText="1"/>
      <protection/>
    </xf>
    <xf numFmtId="9" fontId="2" fillId="2" borderId="90" xfId="109" applyNumberFormat="1" applyFont="1" applyFill="1" applyBorder="1" applyAlignment="1" applyProtection="1">
      <alignment/>
      <protection/>
    </xf>
    <xf numFmtId="0" fontId="2" fillId="2" borderId="90" xfId="0" applyFont="1" applyFill="1" applyBorder="1" applyAlignment="1">
      <alignment/>
    </xf>
    <xf numFmtId="9" fontId="2" fillId="2" borderId="90" xfId="109" applyFont="1" applyFill="1" applyBorder="1" applyAlignment="1" applyProtection="1">
      <alignment horizontal="center"/>
      <protection/>
    </xf>
    <xf numFmtId="188" fontId="2" fillId="0" borderId="0" xfId="0" applyNumberFormat="1" applyFont="1" applyAlignment="1">
      <alignment/>
    </xf>
    <xf numFmtId="188" fontId="2" fillId="2" borderId="90" xfId="0" applyNumberFormat="1" applyFont="1" applyFill="1" applyBorder="1" applyAlignment="1">
      <alignment/>
    </xf>
    <xf numFmtId="181" fontId="2" fillId="0" borderId="0" xfId="0" applyNumberFormat="1" applyFont="1" applyAlignment="1">
      <alignment/>
    </xf>
    <xf numFmtId="191" fontId="69" fillId="0" borderId="15" xfId="0" applyNumberFormat="1" applyFont="1" applyBorder="1" applyAlignment="1" applyProtection="1">
      <alignment horizontal="center" vertical="center" wrapText="1"/>
      <protection/>
    </xf>
    <xf numFmtId="188" fontId="41" fillId="0" borderId="15" xfId="0" applyNumberFormat="1" applyFont="1" applyBorder="1" applyAlignment="1" applyProtection="1">
      <alignment horizontal="center" vertical="center" wrapText="1"/>
      <protection/>
    </xf>
    <xf numFmtId="0" fontId="0" fillId="2" borderId="0" xfId="0" applyFill="1" applyAlignment="1" applyProtection="1">
      <alignment/>
      <protection/>
    </xf>
    <xf numFmtId="0" fontId="0" fillId="2" borderId="91" xfId="0" applyFill="1" applyBorder="1" applyAlignment="1" applyProtection="1">
      <alignment/>
      <protection/>
    </xf>
    <xf numFmtId="0" fontId="86" fillId="0" borderId="0" xfId="0" applyFont="1" applyAlignment="1">
      <alignment/>
    </xf>
    <xf numFmtId="0" fontId="86" fillId="0" borderId="0" xfId="0" applyFont="1" applyAlignment="1">
      <alignment horizontal="right"/>
    </xf>
    <xf numFmtId="0" fontId="86" fillId="0" borderId="0" xfId="0" applyFont="1" applyAlignment="1" applyProtection="1">
      <alignment/>
      <protection/>
    </xf>
    <xf numFmtId="0" fontId="86" fillId="0" borderId="0" xfId="0" applyFont="1" applyAlignment="1" applyProtection="1">
      <alignment horizontal="right"/>
      <protection/>
    </xf>
    <xf numFmtId="181" fontId="42" fillId="0" borderId="0" xfId="98" applyFont="1" applyFill="1" applyAlignment="1">
      <alignment vertical="center"/>
      <protection/>
    </xf>
    <xf numFmtId="0" fontId="86" fillId="0" borderId="0" xfId="0" applyFont="1" applyBorder="1" applyAlignment="1" applyProtection="1">
      <alignment/>
      <protection/>
    </xf>
    <xf numFmtId="0" fontId="87" fillId="0" borderId="0" xfId="0" applyFont="1" applyBorder="1" applyAlignment="1" applyProtection="1">
      <alignment horizontal="left" vertical="center"/>
      <protection/>
    </xf>
    <xf numFmtId="0" fontId="87" fillId="0" borderId="0" xfId="0" applyFont="1" applyBorder="1" applyAlignment="1" applyProtection="1">
      <alignment horizontal="left"/>
      <protection/>
    </xf>
    <xf numFmtId="202" fontId="87" fillId="0" borderId="0" xfId="0" applyNumberFormat="1" applyFont="1" applyBorder="1" applyAlignment="1" applyProtection="1">
      <alignment horizontal="left"/>
      <protection/>
    </xf>
    <xf numFmtId="0" fontId="86" fillId="0" borderId="0" xfId="0" applyFont="1" applyBorder="1" applyAlignment="1">
      <alignment/>
    </xf>
    <xf numFmtId="0" fontId="89" fillId="0" borderId="0" xfId="0" applyFont="1" applyAlignment="1" applyProtection="1">
      <alignment/>
      <protection/>
    </xf>
    <xf numFmtId="0" fontId="92" fillId="0" borderId="0" xfId="0" applyFont="1" applyFill="1" applyBorder="1" applyAlignment="1" applyProtection="1">
      <alignment horizontal="right"/>
      <protection/>
    </xf>
    <xf numFmtId="0" fontId="89" fillId="0" borderId="0" xfId="0" applyFont="1" applyAlignment="1">
      <alignment/>
    </xf>
    <xf numFmtId="0" fontId="64" fillId="0" borderId="92" xfId="0" applyFont="1" applyFill="1" applyBorder="1" applyAlignment="1" applyProtection="1">
      <alignment horizontal="center" vertical="center" wrapText="1"/>
      <protection/>
    </xf>
    <xf numFmtId="0" fontId="93" fillId="0" borderId="93" xfId="0" applyNumberFormat="1" applyFont="1" applyFill="1" applyBorder="1" applyAlignment="1" applyProtection="1">
      <alignment horizontal="right"/>
      <protection/>
    </xf>
    <xf numFmtId="9" fontId="94" fillId="0" borderId="0" xfId="0" applyNumberFormat="1" applyFont="1" applyFill="1" applyBorder="1" applyAlignment="1" applyProtection="1">
      <alignment/>
      <protection/>
    </xf>
    <xf numFmtId="0" fontId="64" fillId="0" borderId="94" xfId="0" applyFont="1" applyFill="1" applyBorder="1" applyAlignment="1" applyProtection="1">
      <alignment horizontal="center"/>
      <protection/>
    </xf>
    <xf numFmtId="0" fontId="93" fillId="0" borderId="95" xfId="0" applyNumberFormat="1" applyFont="1" applyFill="1" applyBorder="1" applyAlignment="1" applyProtection="1">
      <alignment horizontal="right"/>
      <protection/>
    </xf>
    <xf numFmtId="0" fontId="64" fillId="0" borderId="96" xfId="0" applyFont="1" applyFill="1" applyBorder="1" applyAlignment="1" applyProtection="1">
      <alignment horizontal="center"/>
      <protection/>
    </xf>
    <xf numFmtId="0" fontId="93" fillId="0" borderId="97" xfId="0" applyNumberFormat="1" applyFont="1" applyFill="1" applyBorder="1" applyAlignment="1" applyProtection="1">
      <alignment horizontal="right"/>
      <protection/>
    </xf>
    <xf numFmtId="0" fontId="95" fillId="0" borderId="0" xfId="0" applyFont="1" applyFill="1" applyBorder="1" applyAlignment="1" applyProtection="1">
      <alignment horizontal="center"/>
      <protection/>
    </xf>
    <xf numFmtId="0" fontId="93"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4" fillId="0" borderId="0" xfId="0" applyNumberFormat="1" applyFont="1" applyFill="1" applyBorder="1" applyAlignment="1" applyProtection="1">
      <alignment horizontal="center"/>
      <protection/>
    </xf>
    <xf numFmtId="0" fontId="89" fillId="0" borderId="0" xfId="0" applyFont="1" applyFill="1" applyAlignment="1">
      <alignment/>
    </xf>
    <xf numFmtId="203" fontId="96" fillId="2" borderId="0" xfId="0" applyNumberFormat="1" applyFont="1" applyFill="1" applyBorder="1" applyAlignment="1" applyProtection="1">
      <alignment vertical="center"/>
      <protection/>
    </xf>
    <xf numFmtId="0" fontId="93"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7" fillId="2" borderId="0" xfId="0" applyFont="1" applyFill="1" applyBorder="1" applyAlignment="1" applyProtection="1">
      <alignment horizontal="center" vertical="center"/>
      <protection/>
    </xf>
    <xf numFmtId="194" fontId="96" fillId="2" borderId="0" xfId="109" applyNumberFormat="1" applyFont="1" applyFill="1" applyBorder="1" applyAlignment="1" applyProtection="1">
      <alignment horizontal="right"/>
      <protection/>
    </xf>
    <xf numFmtId="9" fontId="98" fillId="2" borderId="0" xfId="0" applyNumberFormat="1" applyFont="1" applyFill="1" applyBorder="1" applyAlignment="1" applyProtection="1">
      <alignment/>
      <protection/>
    </xf>
    <xf numFmtId="0" fontId="99" fillId="2" borderId="0" xfId="0" applyFont="1" applyFill="1" applyBorder="1" applyAlignment="1" applyProtection="1">
      <alignment horizontal="center" vertical="center"/>
      <protection/>
    </xf>
    <xf numFmtId="9" fontId="98" fillId="2" borderId="0" xfId="0" applyNumberFormat="1" applyFont="1" applyFill="1" applyBorder="1" applyAlignment="1" applyProtection="1">
      <alignment horizontal="left"/>
      <protection/>
    </xf>
    <xf numFmtId="0" fontId="78" fillId="0" borderId="0" xfId="0" applyFont="1" applyBorder="1" applyAlignment="1" applyProtection="1">
      <alignment horizontal="center" vertical="center"/>
      <protection/>
    </xf>
    <xf numFmtId="0" fontId="96" fillId="2" borderId="0" xfId="0" applyFont="1" applyFill="1" applyBorder="1" applyAlignment="1" applyProtection="1">
      <alignment horizontal="left" vertical="center"/>
      <protection/>
    </xf>
    <xf numFmtId="188" fontId="100" fillId="0" borderId="0" xfId="0" applyNumberFormat="1" applyFont="1" applyFill="1" applyBorder="1" applyAlignment="1" applyProtection="1">
      <alignment horizontal="right" vertical="center"/>
      <protection/>
    </xf>
    <xf numFmtId="0" fontId="101" fillId="2" borderId="0" xfId="0" applyFont="1" applyFill="1" applyBorder="1" applyAlignment="1" applyProtection="1">
      <alignment horizontal="left" vertical="center"/>
      <protection/>
    </xf>
    <xf numFmtId="0" fontId="64" fillId="0" borderId="98" xfId="0" applyNumberFormat="1" applyFont="1" applyFill="1" applyBorder="1" applyAlignment="1" applyProtection="1">
      <alignment horizontal="center"/>
      <protection/>
    </xf>
    <xf numFmtId="0" fontId="93" fillId="0" borderId="99" xfId="0" applyNumberFormat="1" applyFont="1" applyFill="1" applyBorder="1" applyAlignment="1" applyProtection="1">
      <alignment horizontal="right"/>
      <protection/>
    </xf>
    <xf numFmtId="9" fontId="98" fillId="0" borderId="0" xfId="0" applyNumberFormat="1" applyFont="1" applyFill="1" applyBorder="1" applyAlignment="1" applyProtection="1">
      <alignment/>
      <protection/>
    </xf>
    <xf numFmtId="0" fontId="64" fillId="0" borderId="100" xfId="0" applyNumberFormat="1" applyFont="1" applyFill="1" applyBorder="1" applyAlignment="1" applyProtection="1">
      <alignment horizontal="center"/>
      <protection/>
    </xf>
    <xf numFmtId="0" fontId="93" fillId="0" borderId="101" xfId="0" applyNumberFormat="1" applyFont="1" applyFill="1" applyBorder="1" applyAlignment="1" applyProtection="1">
      <alignment horizontal="right"/>
      <protection/>
    </xf>
    <xf numFmtId="0" fontId="86" fillId="0" borderId="0" xfId="0" applyNumberFormat="1" applyFont="1" applyBorder="1" applyAlignment="1">
      <alignment/>
    </xf>
    <xf numFmtId="0" fontId="64" fillId="0" borderId="100" xfId="0" applyNumberFormat="1" applyFont="1" applyFill="1" applyBorder="1" applyAlignment="1" applyProtection="1">
      <alignment horizontal="center" vertical="center"/>
      <protection/>
    </xf>
    <xf numFmtId="0" fontId="64" fillId="0" borderId="102" xfId="0" applyNumberFormat="1" applyFont="1" applyFill="1" applyBorder="1" applyAlignment="1" applyProtection="1">
      <alignment horizontal="center" vertical="center"/>
      <protection/>
    </xf>
    <xf numFmtId="0" fontId="93" fillId="0" borderId="103" xfId="0" applyNumberFormat="1" applyFont="1" applyFill="1" applyBorder="1" applyAlignment="1" applyProtection="1">
      <alignment horizontal="right"/>
      <protection/>
    </xf>
    <xf numFmtId="0" fontId="103" fillId="0" borderId="0" xfId="0" applyFont="1" applyFill="1" applyBorder="1" applyAlignment="1" applyProtection="1">
      <alignment/>
      <protection/>
    </xf>
    <xf numFmtId="0" fontId="104" fillId="0" borderId="0" xfId="0" applyFont="1" applyFill="1" applyBorder="1" applyAlignment="1" applyProtection="1">
      <alignment/>
      <protection/>
    </xf>
    <xf numFmtId="0" fontId="105" fillId="0" borderId="0" xfId="0" applyFont="1" applyFill="1" applyBorder="1" applyAlignment="1" applyProtection="1">
      <alignment horizontal="center" vertical="center"/>
      <protection/>
    </xf>
    <xf numFmtId="0" fontId="106" fillId="0" borderId="0" xfId="0" applyFont="1" applyFill="1" applyBorder="1" applyAlignment="1" applyProtection="1">
      <alignment horizontal="center" vertical="center"/>
      <protection/>
    </xf>
    <xf numFmtId="0" fontId="106" fillId="0" borderId="0" xfId="0" applyFont="1" applyFill="1" applyBorder="1" applyAlignment="1" applyProtection="1">
      <alignment horizontal="right" vertical="center" indent="1"/>
      <protection/>
    </xf>
    <xf numFmtId="0" fontId="107" fillId="0" borderId="0" xfId="0" applyFont="1" applyFill="1" applyBorder="1" applyAlignment="1" applyProtection="1">
      <alignment horizontal="center"/>
      <protection/>
    </xf>
    <xf numFmtId="0" fontId="108" fillId="0" borderId="104" xfId="0" applyNumberFormat="1" applyFont="1" applyFill="1" applyBorder="1" applyAlignment="1" applyProtection="1">
      <alignment horizontal="center" vertical="center"/>
      <protection/>
    </xf>
    <xf numFmtId="0" fontId="78" fillId="0" borderId="105" xfId="0" applyNumberFormat="1" applyFont="1" applyFill="1" applyBorder="1" applyAlignment="1" applyProtection="1">
      <alignment vertical="center"/>
      <protection/>
    </xf>
    <xf numFmtId="0" fontId="108" fillId="0" borderId="106" xfId="0" applyNumberFormat="1" applyFont="1" applyFill="1" applyBorder="1" applyAlignment="1" applyProtection="1">
      <alignment horizontal="center" vertical="center"/>
      <protection/>
    </xf>
    <xf numFmtId="0" fontId="78" fillId="0" borderId="107" xfId="0" applyNumberFormat="1" applyFont="1" applyFill="1" applyBorder="1" applyAlignment="1" applyProtection="1">
      <alignment vertical="center"/>
      <protection/>
    </xf>
    <xf numFmtId="0" fontId="108" fillId="0" borderId="108" xfId="0" applyNumberFormat="1" applyFont="1" applyFill="1" applyBorder="1" applyAlignment="1" applyProtection="1">
      <alignment horizontal="center" vertical="center"/>
      <protection/>
    </xf>
    <xf numFmtId="0" fontId="78" fillId="0" borderId="109" xfId="0" applyNumberFormat="1" applyFont="1" applyFill="1" applyBorder="1" applyAlignment="1" applyProtection="1">
      <alignment vertical="center"/>
      <protection/>
    </xf>
    <xf numFmtId="0" fontId="78" fillId="0" borderId="110" xfId="0" applyNumberFormat="1" applyFont="1" applyFill="1" applyBorder="1" applyAlignment="1" applyProtection="1">
      <alignment vertical="center"/>
      <protection/>
    </xf>
    <xf numFmtId="183" fontId="0" fillId="0" borderId="0" xfId="0" applyNumberFormat="1" applyAlignment="1">
      <alignment/>
    </xf>
    <xf numFmtId="0" fontId="25" fillId="0" borderId="0" xfId="0" applyFont="1" applyAlignment="1">
      <alignment horizontal="center"/>
    </xf>
    <xf numFmtId="0" fontId="88" fillId="10" borderId="111" xfId="0" applyNumberFormat="1" applyFont="1" applyFill="1" applyBorder="1" applyAlignment="1">
      <alignment vertical="center"/>
    </xf>
    <xf numFmtId="0" fontId="88" fillId="10" borderId="111" xfId="0" applyFont="1" applyFill="1" applyBorder="1" applyAlignment="1">
      <alignment vertical="center"/>
    </xf>
    <xf numFmtId="0" fontId="18" fillId="0" borderId="0" xfId="0" applyFont="1" applyAlignment="1">
      <alignment/>
    </xf>
    <xf numFmtId="0" fontId="52" fillId="0" borderId="0" xfId="0" applyFont="1" applyAlignment="1">
      <alignment/>
    </xf>
    <xf numFmtId="0" fontId="109" fillId="0" borderId="0" xfId="105" applyNumberFormat="1" applyFont="1" applyFill="1" applyBorder="1" applyAlignment="1">
      <alignment horizontal="center" vertical="center" wrapText="1"/>
      <protection/>
    </xf>
    <xf numFmtId="0" fontId="109" fillId="8" borderId="112" xfId="105" applyNumberFormat="1" applyFont="1" applyFill="1" applyBorder="1" applyAlignment="1">
      <alignment horizontal="center" vertical="center" wrapText="1"/>
      <protection/>
    </xf>
    <xf numFmtId="0" fontId="111" fillId="0" borderId="0" xfId="0" applyNumberFormat="1" applyFont="1" applyAlignment="1">
      <alignment/>
    </xf>
    <xf numFmtId="0" fontId="111" fillId="0" borderId="0" xfId="0" applyFont="1" applyAlignment="1">
      <alignment/>
    </xf>
    <xf numFmtId="0" fontId="111" fillId="0" borderId="0" xfId="0" applyFont="1" applyAlignment="1">
      <alignment horizontal="center"/>
    </xf>
    <xf numFmtId="0" fontId="112" fillId="0" borderId="0" xfId="0" applyFont="1" applyBorder="1" applyAlignment="1">
      <alignment/>
    </xf>
    <xf numFmtId="0" fontId="113" fillId="10" borderId="111" xfId="0" applyFont="1" applyFill="1" applyBorder="1" applyAlignment="1">
      <alignment vertical="center"/>
    </xf>
    <xf numFmtId="0" fontId="51" fillId="0" borderId="0" xfId="0" applyFont="1" applyAlignment="1">
      <alignment/>
    </xf>
    <xf numFmtId="0" fontId="114" fillId="10" borderId="15" xfId="0" applyFont="1" applyFill="1" applyBorder="1" applyAlignment="1" applyProtection="1">
      <alignment horizontal="center"/>
      <protection/>
    </xf>
    <xf numFmtId="0" fontId="114"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5" fillId="0" borderId="15" xfId="0" applyFont="1" applyFill="1" applyBorder="1" applyAlignment="1" applyProtection="1">
      <alignment horizontal="center"/>
      <protection/>
    </xf>
    <xf numFmtId="0" fontId="75" fillId="0" borderId="15" xfId="0" applyFont="1" applyBorder="1" applyAlignment="1" applyProtection="1">
      <alignment horizontal="center"/>
      <protection/>
    </xf>
    <xf numFmtId="0" fontId="115" fillId="0" borderId="15" xfId="0" applyFont="1" applyBorder="1" applyAlignment="1" applyProtection="1">
      <alignment horizontal="left" indent="1"/>
      <protection/>
    </xf>
    <xf numFmtId="0" fontId="0" fillId="0" borderId="15" xfId="0" applyFont="1" applyBorder="1" applyAlignment="1">
      <alignment horizontal="center"/>
    </xf>
    <xf numFmtId="0" fontId="75" fillId="0" borderId="0" xfId="0" applyFont="1" applyFill="1" applyBorder="1" applyAlignment="1" applyProtection="1">
      <alignment/>
      <protection/>
    </xf>
    <xf numFmtId="0" fontId="75" fillId="0" borderId="15" xfId="0" applyFont="1" applyFill="1" applyBorder="1" applyAlignment="1" applyProtection="1">
      <alignment/>
      <protection/>
    </xf>
    <xf numFmtId="181" fontId="75" fillId="0" borderId="15" xfId="101" applyFont="1" applyBorder="1" applyProtection="1">
      <alignment/>
      <protection/>
    </xf>
    <xf numFmtId="0" fontId="0" fillId="0" borderId="15" xfId="0" applyFont="1" applyBorder="1" applyAlignment="1">
      <alignment/>
    </xf>
    <xf numFmtId="0" fontId="0" fillId="0" borderId="15" xfId="0" applyBorder="1" applyAlignment="1">
      <alignment/>
    </xf>
    <xf numFmtId="205" fontId="0" fillId="0" borderId="113" xfId="0" applyNumberFormat="1" applyBorder="1" applyAlignment="1" applyProtection="1">
      <alignment/>
      <protection/>
    </xf>
    <xf numFmtId="3" fontId="65" fillId="30" borderId="114" xfId="0" applyNumberFormat="1" applyFont="1" applyFill="1" applyBorder="1" applyAlignment="1" applyProtection="1">
      <alignment horizontal="center" vertical="center"/>
      <protection locked="0"/>
    </xf>
    <xf numFmtId="3" fontId="65" fillId="31" borderId="114" xfId="0" applyNumberFormat="1" applyFont="1" applyFill="1" applyBorder="1" applyAlignment="1" applyProtection="1">
      <alignment horizontal="center" vertical="center"/>
      <protection locked="0"/>
    </xf>
    <xf numFmtId="3" fontId="65" fillId="32" borderId="114" xfId="0" applyNumberFormat="1" applyFont="1" applyFill="1" applyBorder="1" applyAlignment="1" applyProtection="1">
      <alignment horizontal="center" vertical="center"/>
      <protection locked="0"/>
    </xf>
    <xf numFmtId="3" fontId="65" fillId="31" borderId="115" xfId="0" applyNumberFormat="1" applyFont="1" applyFill="1" applyBorder="1" applyAlignment="1" applyProtection="1">
      <alignment horizontal="center" vertical="center"/>
      <protection locked="0"/>
    </xf>
    <xf numFmtId="3" fontId="69" fillId="0" borderId="15" xfId="0" applyNumberFormat="1" applyFont="1" applyBorder="1" applyAlignment="1" applyProtection="1">
      <alignment horizontal="center" vertical="center" wrapText="1"/>
      <protection/>
    </xf>
    <xf numFmtId="181" fontId="23" fillId="33" borderId="0" xfId="97" applyFont="1" applyFill="1" applyBorder="1" applyAlignment="1">
      <alignment horizontal="center" vertical="center"/>
      <protection/>
    </xf>
    <xf numFmtId="181" fontId="25" fillId="0" borderId="0" xfId="0" applyNumberFormat="1" applyFont="1" applyBorder="1" applyAlignment="1">
      <alignment horizontal="center"/>
    </xf>
    <xf numFmtId="181" fontId="23" fillId="26" borderId="0" xfId="96" applyFont="1" applyFill="1" applyBorder="1" applyAlignment="1" applyProtection="1">
      <alignment horizontal="center" vertical="center"/>
      <protection/>
    </xf>
    <xf numFmtId="0" fontId="31" fillId="0" borderId="0" xfId="0" applyNumberFormat="1" applyFont="1" applyBorder="1" applyAlignment="1">
      <alignment horizontal="center"/>
    </xf>
    <xf numFmtId="0" fontId="32" fillId="3" borderId="15" xfId="0" applyNumberFormat="1" applyFont="1" applyFill="1" applyBorder="1" applyAlignment="1">
      <alignment horizontal="center"/>
    </xf>
    <xf numFmtId="181" fontId="33" fillId="0" borderId="15" xfId="0" applyNumberFormat="1" applyFont="1" applyBorder="1" applyAlignment="1">
      <alignment horizontal="justify" vertical="center" wrapText="1"/>
    </xf>
    <xf numFmtId="9" fontId="34" fillId="0" borderId="15" xfId="109"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0" fontId="34" fillId="0" borderId="15" xfId="0" applyFont="1" applyBorder="1" applyAlignment="1">
      <alignment horizontal="justify" vertical="center" wrapText="1"/>
    </xf>
    <xf numFmtId="0" fontId="30" fillId="0" borderId="15" xfId="0" applyNumberFormat="1" applyFont="1" applyBorder="1" applyAlignment="1">
      <alignment horizontal="left" vertical="center" wrapText="1"/>
    </xf>
    <xf numFmtId="181" fontId="33" fillId="0" borderId="15" xfId="0" applyNumberFormat="1" applyFont="1" applyBorder="1" applyAlignment="1">
      <alignment horizontal="left" vertical="center" wrapText="1"/>
    </xf>
    <xf numFmtId="0" fontId="30" fillId="0" borderId="15" xfId="0" applyFont="1" applyBorder="1" applyAlignment="1">
      <alignment horizontal="left" vertical="center" wrapText="1"/>
    </xf>
    <xf numFmtId="0" fontId="0" fillId="0" borderId="116" xfId="0" applyBorder="1" applyAlignment="1">
      <alignment horizontal="center"/>
    </xf>
    <xf numFmtId="0" fontId="0" fillId="0" borderId="116"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32" fillId="13" borderId="15" xfId="0" applyNumberFormat="1" applyFont="1" applyFill="1" applyBorder="1" applyAlignment="1">
      <alignment horizontal="center"/>
    </xf>
    <xf numFmtId="0" fontId="30" fillId="0" borderId="15" xfId="0" applyFont="1" applyBorder="1" applyAlignment="1">
      <alignment horizontal="justify" vertical="center" wrapText="1"/>
    </xf>
    <xf numFmtId="0" fontId="30" fillId="0" borderId="15" xfId="0" applyNumberFormat="1" applyFont="1" applyBorder="1" applyAlignment="1">
      <alignment horizontal="justify" vertical="center" wrapText="1"/>
    </xf>
    <xf numFmtId="0" fontId="30" fillId="0" borderId="117" xfId="0" applyFont="1" applyBorder="1" applyAlignment="1">
      <alignment horizontal="justify" wrapText="1"/>
    </xf>
    <xf numFmtId="0" fontId="34" fillId="0" borderId="78" xfId="0" applyFont="1" applyBorder="1" applyAlignment="1">
      <alignment horizontal="justify" vertical="center" wrapText="1"/>
    </xf>
    <xf numFmtId="0" fontId="37" fillId="0" borderId="78"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0" fontId="34" fillId="0" borderId="15" xfId="0" applyFont="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34" fillId="12" borderId="15" xfId="0" applyFont="1" applyFill="1" applyBorder="1" applyAlignment="1">
      <alignment vertical="center" wrapText="1"/>
    </xf>
    <xf numFmtId="0" fontId="34" fillId="2" borderId="15" xfId="0" applyFont="1" applyFill="1" applyBorder="1" applyAlignment="1" applyProtection="1">
      <alignment vertical="center" wrapText="1"/>
      <protection locked="0"/>
    </xf>
    <xf numFmtId="0" fontId="40"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3" fillId="0" borderId="15" xfId="0" applyFont="1" applyBorder="1" applyAlignment="1" applyProtection="1">
      <alignment vertical="center" wrapText="1"/>
      <protection locked="0"/>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181" fontId="42" fillId="26" borderId="0" xfId="88" applyFont="1" applyFill="1" applyBorder="1" applyAlignment="1" applyProtection="1">
      <alignment horizontal="center" vertical="center"/>
      <protection/>
    </xf>
    <xf numFmtId="181" fontId="0" fillId="0" borderId="15" xfId="0" applyNumberFormat="1" applyFont="1" applyBorder="1" applyAlignment="1" applyProtection="1">
      <alignment horizontal="center"/>
      <protection locked="0"/>
    </xf>
    <xf numFmtId="181" fontId="44" fillId="0" borderId="0" xfId="0" applyNumberFormat="1" applyFont="1" applyBorder="1" applyAlignment="1" applyProtection="1">
      <alignment horizontal="right"/>
      <protection/>
    </xf>
    <xf numFmtId="49" fontId="0" fillId="0" borderId="15" xfId="0" applyNumberFormat="1" applyFont="1" applyBorder="1" applyAlignment="1" applyProtection="1">
      <alignment horizontal="center"/>
      <protection locked="0"/>
    </xf>
    <xf numFmtId="39" fontId="0" fillId="0" borderId="15" xfId="85" applyNumberFormat="1" applyFont="1" applyFill="1" applyBorder="1" applyAlignment="1" applyProtection="1">
      <alignment horizontal="center"/>
      <protection locked="0"/>
    </xf>
    <xf numFmtId="183" fontId="0" fillId="0" borderId="15" xfId="126" applyNumberFormat="1" applyFont="1" applyFill="1" applyBorder="1" applyAlignment="1" applyProtection="1">
      <alignment horizontal="center"/>
      <protection locked="0"/>
    </xf>
    <xf numFmtId="181" fontId="44" fillId="0" borderId="118" xfId="0" applyNumberFormat="1" applyFont="1" applyBorder="1" applyAlignment="1" applyProtection="1">
      <alignment horizontal="right"/>
      <protection/>
    </xf>
    <xf numFmtId="181" fontId="2" fillId="22" borderId="15" xfId="126" applyNumberFormat="1" applyFont="1" applyFill="1" applyBorder="1" applyAlignment="1" applyProtection="1">
      <alignment horizontal="center"/>
      <protection locked="0"/>
    </xf>
    <xf numFmtId="181" fontId="44" fillId="0" borderId="16" xfId="0" applyNumberFormat="1" applyFont="1" applyBorder="1" applyAlignment="1" applyProtection="1">
      <alignment horizontal="right"/>
      <protection/>
    </xf>
    <xf numFmtId="181" fontId="45" fillId="0" borderId="118" xfId="0" applyNumberFormat="1" applyFont="1" applyBorder="1" applyAlignment="1" applyProtection="1">
      <alignment horizontal="right"/>
      <protection/>
    </xf>
    <xf numFmtId="181" fontId="44" fillId="0" borderId="119" xfId="0" applyNumberFormat="1" applyFont="1" applyBorder="1" applyAlignment="1" applyProtection="1">
      <alignment horizontal="right"/>
      <protection/>
    </xf>
    <xf numFmtId="0" fontId="0" fillId="12" borderId="15" xfId="0" applyFill="1" applyBorder="1" applyAlignment="1" applyProtection="1">
      <alignment horizontal="center"/>
      <protection/>
    </xf>
    <xf numFmtId="181" fontId="28" fillId="0" borderId="120" xfId="0" applyNumberFormat="1" applyFont="1" applyBorder="1" applyAlignment="1" applyProtection="1">
      <alignment horizontal="right"/>
      <protection/>
    </xf>
    <xf numFmtId="181" fontId="18" fillId="0" borderId="121" xfId="0" applyNumberFormat="1" applyFont="1" applyBorder="1" applyAlignment="1" applyProtection="1">
      <alignment horizontal="center"/>
      <protection/>
    </xf>
    <xf numFmtId="9" fontId="25" fillId="0" borderId="122" xfId="109" applyFont="1" applyFill="1" applyBorder="1" applyAlignment="1" applyProtection="1">
      <alignment horizontal="center" vertical="center"/>
      <protection/>
    </xf>
    <xf numFmtId="0" fontId="0" fillId="24" borderId="123" xfId="0" applyFill="1" applyBorder="1" applyAlignment="1" applyProtection="1">
      <alignment horizontal="center"/>
      <protection/>
    </xf>
    <xf numFmtId="181" fontId="52" fillId="0" borderId="124" xfId="0" applyNumberFormat="1" applyFont="1" applyBorder="1" applyAlignment="1" applyProtection="1">
      <alignment horizontal="center" wrapText="1"/>
      <protection/>
    </xf>
    <xf numFmtId="0" fontId="0" fillId="0" borderId="125" xfId="0" applyBorder="1" applyAlignment="1" applyProtection="1">
      <alignment horizontal="center"/>
      <protection/>
    </xf>
    <xf numFmtId="181" fontId="0" fillId="0" borderId="53" xfId="0" applyNumberFormat="1" applyFont="1" applyBorder="1" applyAlignment="1" applyProtection="1">
      <alignment horizontal="left"/>
      <protection/>
    </xf>
    <xf numFmtId="181" fontId="0" fillId="0" borderId="55" xfId="0" applyNumberFormat="1" applyFont="1" applyBorder="1" applyAlignment="1" applyProtection="1">
      <alignment horizontal="left"/>
      <protection/>
    </xf>
    <xf numFmtId="181" fontId="0" fillId="0" borderId="66" xfId="0" applyNumberFormat="1" applyFont="1" applyFill="1" applyBorder="1" applyAlignment="1" applyProtection="1">
      <alignment horizontal="center" vertical="center"/>
      <protection locked="0"/>
    </xf>
    <xf numFmtId="181" fontId="64" fillId="0" borderId="69" xfId="0" applyNumberFormat="1" applyFont="1" applyFill="1" applyBorder="1" applyAlignment="1" applyProtection="1">
      <alignment horizontal="center" vertical="center"/>
      <protection/>
    </xf>
    <xf numFmtId="184" fontId="0" fillId="10" borderId="126" xfId="0" applyNumberFormat="1" applyFont="1" applyFill="1" applyBorder="1" applyAlignment="1" applyProtection="1">
      <alignment horizontal="center" vertical="center" textRotation="90"/>
      <protection/>
    </xf>
    <xf numFmtId="0" fontId="65" fillId="27" borderId="127" xfId="0" applyNumberFormat="1" applyFont="1" applyFill="1" applyBorder="1" applyAlignment="1" applyProtection="1">
      <alignment horizontal="left" vertical="center" wrapText="1"/>
      <protection locked="0"/>
    </xf>
    <xf numFmtId="0" fontId="1" fillId="12" borderId="127" xfId="0" applyNumberFormat="1" applyFont="1" applyFill="1" applyBorder="1" applyAlignment="1" applyProtection="1">
      <alignment horizontal="center" vertical="center" wrapText="1"/>
      <protection locked="0"/>
    </xf>
    <xf numFmtId="49" fontId="1" fillId="12" borderId="128" xfId="0" applyNumberFormat="1" applyFont="1" applyFill="1" applyBorder="1" applyAlignment="1" applyProtection="1">
      <alignment horizontal="center" vertical="center" wrapText="1"/>
      <protection locked="0"/>
    </xf>
    <xf numFmtId="188" fontId="1" fillId="12" borderId="127" xfId="0" applyNumberFormat="1" applyFont="1" applyFill="1" applyBorder="1" applyAlignment="1" applyProtection="1">
      <alignment horizontal="center" vertical="center" wrapText="1"/>
      <protection locked="0"/>
    </xf>
    <xf numFmtId="188" fontId="1" fillId="27" borderId="127" xfId="0" applyNumberFormat="1" applyFont="1" applyFill="1" applyBorder="1" applyAlignment="1" applyProtection="1">
      <alignment horizontal="center" vertical="center" wrapText="1"/>
      <protection locked="0"/>
    </xf>
    <xf numFmtId="0" fontId="65" fillId="12" borderId="127" xfId="0" applyNumberFormat="1" applyFont="1" applyFill="1" applyBorder="1" applyAlignment="1" applyProtection="1">
      <alignment horizontal="left" vertical="center" wrapText="1"/>
      <protection locked="0"/>
    </xf>
    <xf numFmtId="188" fontId="1" fillId="27" borderId="68" xfId="0" applyNumberFormat="1" applyFont="1" applyFill="1" applyBorder="1" applyAlignment="1" applyProtection="1">
      <alignment horizontal="center" vertical="center" wrapText="1"/>
      <protection locked="0"/>
    </xf>
    <xf numFmtId="0" fontId="1" fillId="12" borderId="129" xfId="0" applyNumberFormat="1" applyFont="1" applyFill="1" applyBorder="1" applyAlignment="1" applyProtection="1">
      <alignment horizontal="center" vertical="center" wrapText="1"/>
      <protection locked="0"/>
    </xf>
    <xf numFmtId="49" fontId="1" fillId="12" borderId="130" xfId="0" applyNumberFormat="1" applyFont="1" applyFill="1" applyBorder="1" applyAlignment="1" applyProtection="1">
      <alignment horizontal="center" vertical="center" wrapText="1"/>
      <protection locked="0"/>
    </xf>
    <xf numFmtId="188" fontId="1" fillId="27" borderId="69" xfId="0" applyNumberFormat="1" applyFont="1" applyFill="1" applyBorder="1" applyAlignment="1" applyProtection="1">
      <alignment horizontal="center" vertical="center" wrapText="1"/>
      <protection locked="0"/>
    </xf>
    <xf numFmtId="188" fontId="1" fillId="27" borderId="131" xfId="0" applyNumberFormat="1" applyFont="1" applyFill="1" applyBorder="1" applyAlignment="1" applyProtection="1">
      <alignment horizontal="center" vertical="center" wrapText="1"/>
      <protection locked="0"/>
    </xf>
    <xf numFmtId="0" fontId="66" fillId="0" borderId="123" xfId="0" applyFont="1" applyBorder="1" applyAlignment="1">
      <alignment horizontal="center" vertical="center" wrapText="1"/>
    </xf>
    <xf numFmtId="181" fontId="23" fillId="26" borderId="0" xfId="88" applyFont="1" applyFill="1" applyBorder="1" applyAlignment="1" applyProtection="1">
      <alignment horizontal="center" vertical="center"/>
      <protection/>
    </xf>
    <xf numFmtId="181" fontId="25" fillId="13" borderId="0" xfId="100" applyFont="1" applyFill="1" applyBorder="1" applyAlignment="1" applyProtection="1">
      <alignment horizontal="center" vertical="center" wrapText="1"/>
      <protection/>
    </xf>
    <xf numFmtId="181" fontId="69" fillId="0" borderId="0" xfId="100" applyFont="1" applyFill="1" applyBorder="1" applyAlignment="1" applyProtection="1">
      <alignment horizontal="right" vertical="center"/>
      <protection/>
    </xf>
    <xf numFmtId="181" fontId="39" fillId="13" borderId="0" xfId="100" applyFont="1" applyFill="1" applyBorder="1" applyAlignment="1" applyProtection="1">
      <alignment horizontal="center" vertical="center" wrapText="1"/>
      <protection/>
    </xf>
    <xf numFmtId="181" fontId="0" fillId="0" borderId="83" xfId="126" applyNumberFormat="1" applyFont="1" applyFill="1" applyBorder="1" applyAlignment="1" applyProtection="1">
      <alignment horizontal="right"/>
      <protection/>
    </xf>
    <xf numFmtId="197" fontId="39" fillId="13" borderId="83" xfId="126" applyNumberFormat="1" applyFont="1" applyFill="1" applyBorder="1" applyAlignment="1" applyProtection="1">
      <alignment horizontal="center" vertical="center"/>
      <protection/>
    </xf>
    <xf numFmtId="181" fontId="39" fillId="13" borderId="83" xfId="126" applyNumberFormat="1" applyFont="1" applyFill="1" applyBorder="1" applyAlignment="1" applyProtection="1">
      <alignment horizontal="center"/>
      <protection/>
    </xf>
    <xf numFmtId="183" fontId="39" fillId="13" borderId="83" xfId="126" applyNumberFormat="1" applyFont="1" applyFill="1" applyBorder="1" applyAlignment="1" applyProtection="1">
      <alignment horizontal="center"/>
      <protection/>
    </xf>
    <xf numFmtId="181" fontId="73" fillId="33" borderId="83" xfId="126" applyNumberFormat="1" applyFont="1" applyFill="1" applyBorder="1" applyAlignment="1" applyProtection="1">
      <alignment horizontal="center"/>
      <protection/>
    </xf>
    <xf numFmtId="0" fontId="78" fillId="12" borderId="15" xfId="0" applyFont="1" applyFill="1" applyBorder="1" applyAlignment="1" applyProtection="1">
      <alignment horizontal="left" wrapText="1"/>
      <protection locked="0"/>
    </xf>
    <xf numFmtId="181" fontId="41" fillId="0" borderId="0" xfId="0" applyNumberFormat="1" applyFont="1" applyBorder="1" applyAlignment="1" applyProtection="1">
      <alignment horizontal="left"/>
      <protection/>
    </xf>
    <xf numFmtId="181" fontId="18" fillId="0" borderId="0" xfId="0" applyNumberFormat="1" applyFont="1" applyBorder="1" applyAlignment="1" applyProtection="1">
      <alignment horizontal="center"/>
      <protection/>
    </xf>
    <xf numFmtId="181" fontId="41" fillId="0" borderId="0" xfId="0" applyNumberFormat="1" applyFont="1" applyBorder="1" applyAlignment="1" applyProtection="1">
      <alignment horizontal="right"/>
      <protection/>
    </xf>
    <xf numFmtId="181" fontId="2" fillId="33" borderId="0" xfId="126" applyNumberFormat="1" applyFont="1" applyFill="1" applyBorder="1" applyAlignment="1" applyProtection="1">
      <alignment horizontal="center"/>
      <protection/>
    </xf>
    <xf numFmtId="181" fontId="81" fillId="0" borderId="123" xfId="0" applyNumberFormat="1" applyFont="1" applyBorder="1" applyAlignment="1" applyProtection="1">
      <alignment horizontal="center" vertical="center" wrapText="1"/>
      <protection/>
    </xf>
    <xf numFmtId="0" fontId="0" fillId="0" borderId="132" xfId="0" applyBorder="1" applyAlignment="1" applyProtection="1">
      <alignment horizontal="center"/>
      <protection/>
    </xf>
    <xf numFmtId="0" fontId="82" fillId="0" borderId="133" xfId="0" applyFont="1" applyFill="1" applyBorder="1" applyAlignment="1" applyProtection="1">
      <alignment horizontal="left" wrapText="1"/>
      <protection/>
    </xf>
    <xf numFmtId="0" fontId="82" fillId="0" borderId="134" xfId="0" applyFont="1" applyFill="1" applyBorder="1" applyAlignment="1" applyProtection="1">
      <alignment horizontal="left" wrapText="1"/>
      <protection/>
    </xf>
    <xf numFmtId="181" fontId="18" fillId="0" borderId="0" xfId="0" applyNumberFormat="1" applyFont="1" applyBorder="1" applyAlignment="1" applyProtection="1">
      <alignment horizontal="center" wrapText="1"/>
      <protection/>
    </xf>
    <xf numFmtId="0" fontId="76" fillId="0" borderId="0" xfId="0" applyFont="1" applyBorder="1" applyAlignment="1" applyProtection="1">
      <alignment horizontal="center"/>
      <protection/>
    </xf>
    <xf numFmtId="0" fontId="79" fillId="12" borderId="15" xfId="0" applyFont="1" applyFill="1" applyBorder="1" applyAlignment="1" applyProtection="1">
      <alignment horizontal="left" wrapText="1"/>
      <protection locked="0"/>
    </xf>
    <xf numFmtId="181" fontId="42" fillId="26" borderId="0" xfId="98" applyFont="1" applyFill="1" applyBorder="1" applyAlignment="1">
      <alignment horizontal="center" vertical="center"/>
      <protection/>
    </xf>
    <xf numFmtId="181" fontId="41" fillId="0" borderId="0" xfId="0" applyNumberFormat="1" applyFont="1" applyBorder="1" applyAlignment="1">
      <alignment horizontal="left"/>
    </xf>
    <xf numFmtId="181" fontId="18" fillId="0" borderId="0" xfId="0" applyNumberFormat="1" applyFont="1" applyBorder="1" applyAlignment="1">
      <alignment horizontal="center"/>
    </xf>
    <xf numFmtId="181" fontId="41" fillId="0" borderId="0" xfId="0" applyNumberFormat="1" applyFont="1" applyBorder="1" applyAlignment="1">
      <alignment horizontal="right"/>
    </xf>
    <xf numFmtId="0" fontId="76" fillId="0" borderId="0" xfId="0" applyFont="1" applyBorder="1" applyAlignment="1">
      <alignment horizontal="center"/>
    </xf>
    <xf numFmtId="0" fontId="18" fillId="0" borderId="0" xfId="0" applyFont="1" applyBorder="1" applyAlignment="1">
      <alignment horizontal="center"/>
    </xf>
    <xf numFmtId="181" fontId="0" fillId="0" borderId="85" xfId="0" applyNumberFormat="1" applyFill="1" applyBorder="1" applyAlignment="1" applyProtection="1">
      <alignment horizontal="center" vertical="center"/>
      <protection/>
    </xf>
    <xf numFmtId="0" fontId="83" fillId="0" borderId="0" xfId="0" applyFont="1" applyBorder="1" applyAlignment="1">
      <alignment horizontal="left" wrapText="1"/>
    </xf>
    <xf numFmtId="181" fontId="42" fillId="26" borderId="0" xfId="98" applyFont="1" applyFill="1" applyBorder="1" applyAlignment="1" applyProtection="1">
      <alignment horizontal="center" vertical="center"/>
      <protection/>
    </xf>
    <xf numFmtId="181" fontId="2" fillId="33" borderId="0" xfId="127" applyNumberFormat="1" applyFont="1" applyFill="1" applyBorder="1" applyAlignment="1" applyProtection="1">
      <alignment horizontal="center"/>
      <protection/>
    </xf>
    <xf numFmtId="181" fontId="76" fillId="0" borderId="0" xfId="0" applyNumberFormat="1" applyFont="1" applyBorder="1" applyAlignment="1" applyProtection="1">
      <alignment horizontal="center"/>
      <protection/>
    </xf>
    <xf numFmtId="0" fontId="78" fillId="0" borderId="116" xfId="0" applyFont="1" applyBorder="1" applyAlignment="1" applyProtection="1">
      <alignment horizontal="left" vertical="center" wrapText="1"/>
      <protection/>
    </xf>
    <xf numFmtId="0" fontId="78" fillId="12" borderId="15" xfId="0" applyFont="1" applyFill="1" applyBorder="1" applyAlignment="1" applyProtection="1">
      <alignment horizontal="left" vertical="center" wrapText="1"/>
      <protection locked="0"/>
    </xf>
    <xf numFmtId="0" fontId="25" fillId="0" borderId="75" xfId="0" applyFont="1" applyBorder="1" applyAlignment="1" applyProtection="1">
      <alignment horizontal="center"/>
      <protection/>
    </xf>
    <xf numFmtId="0" fontId="78" fillId="0" borderId="15" xfId="0" applyFont="1" applyBorder="1" applyAlignment="1" applyProtection="1">
      <alignment horizontal="center" vertical="center" wrapText="1"/>
      <protection/>
    </xf>
    <xf numFmtId="9" fontId="77" fillId="24" borderId="15" xfId="109" applyFont="1" applyFill="1" applyBorder="1" applyAlignment="1" applyProtection="1">
      <alignment horizontal="center" vertical="center" wrapText="1"/>
      <protection/>
    </xf>
    <xf numFmtId="9" fontId="77" fillId="34" borderId="15" xfId="109" applyFont="1" applyFill="1" applyBorder="1" applyAlignment="1" applyProtection="1">
      <alignment horizontal="center" vertical="center" wrapText="1"/>
      <protection/>
    </xf>
    <xf numFmtId="0" fontId="78" fillId="0" borderId="15" xfId="0" applyFont="1" applyBorder="1" applyAlignment="1" applyProtection="1">
      <alignment horizontal="center" vertical="center"/>
      <protection/>
    </xf>
    <xf numFmtId="0" fontId="0" fillId="0" borderId="15" xfId="0" applyFont="1" applyBorder="1" applyAlignment="1" applyProtection="1">
      <alignment vertical="center" wrapText="1"/>
      <protection/>
    </xf>
    <xf numFmtId="9" fontId="41" fillId="0" borderId="15" xfId="109" applyFont="1" applyFill="1" applyBorder="1" applyAlignment="1" applyProtection="1">
      <alignment horizontal="center" vertical="center" wrapText="1"/>
      <protection/>
    </xf>
    <xf numFmtId="9" fontId="69" fillId="30" borderId="114" xfId="109" applyFont="1" applyFill="1" applyBorder="1" applyAlignment="1" applyProtection="1">
      <alignment horizontal="left" vertical="center" wrapText="1"/>
      <protection locked="0"/>
    </xf>
    <xf numFmtId="9" fontId="69" fillId="30" borderId="135" xfId="109" applyFont="1" applyFill="1" applyBorder="1" applyAlignment="1" applyProtection="1">
      <alignment horizontal="left" vertical="center" wrapText="1"/>
      <protection locked="0"/>
    </xf>
    <xf numFmtId="9" fontId="69" fillId="30" borderId="136" xfId="109" applyFont="1" applyFill="1" applyBorder="1" applyAlignment="1" applyProtection="1">
      <alignment horizontal="left" vertical="center" wrapText="1"/>
      <protection locked="0"/>
    </xf>
    <xf numFmtId="9" fontId="69" fillId="30" borderId="137" xfId="109" applyFont="1" applyFill="1" applyBorder="1" applyAlignment="1" applyProtection="1">
      <alignment horizontal="left" vertical="center" wrapText="1"/>
      <protection locked="0"/>
    </xf>
    <xf numFmtId="9" fontId="69" fillId="30" borderId="138" xfId="109" applyFont="1" applyFill="1" applyBorder="1" applyAlignment="1" applyProtection="1">
      <alignment horizontal="left" vertical="center" wrapText="1"/>
      <protection locked="0"/>
    </xf>
    <xf numFmtId="9" fontId="69" fillId="30" borderId="0" xfId="109" applyFont="1" applyFill="1" applyBorder="1" applyAlignment="1" applyProtection="1">
      <alignment horizontal="left" vertical="center" wrapText="1"/>
      <protection locked="0"/>
    </xf>
    <xf numFmtId="9" fontId="69" fillId="30" borderId="139" xfId="109" applyFont="1" applyFill="1" applyBorder="1" applyAlignment="1" applyProtection="1">
      <alignment horizontal="left" vertical="center" wrapText="1"/>
      <protection locked="0"/>
    </xf>
    <xf numFmtId="9" fontId="69" fillId="30" borderId="140" xfId="109" applyFont="1" applyFill="1" applyBorder="1" applyAlignment="1" applyProtection="1">
      <alignment horizontal="left" vertical="center" wrapText="1"/>
      <protection locked="0"/>
    </xf>
    <xf numFmtId="9" fontId="69" fillId="30" borderId="141" xfId="109" applyFont="1" applyFill="1" applyBorder="1" applyAlignment="1" applyProtection="1">
      <alignment horizontal="left" vertical="center" wrapText="1"/>
      <protection locked="0"/>
    </xf>
    <xf numFmtId="9" fontId="69" fillId="30" borderId="142" xfId="109" applyFont="1" applyFill="1" applyBorder="1" applyAlignment="1" applyProtection="1">
      <alignment horizontal="left" vertical="center" wrapText="1"/>
      <protection locked="0"/>
    </xf>
    <xf numFmtId="9" fontId="69" fillId="30" borderId="143" xfId="109" applyFont="1" applyFill="1" applyBorder="1" applyAlignment="1" applyProtection="1">
      <alignment horizontal="left" vertical="center" wrapText="1"/>
      <protection locked="0"/>
    </xf>
    <xf numFmtId="9" fontId="69" fillId="30" borderId="144" xfId="109" applyFont="1" applyFill="1" applyBorder="1" applyAlignment="1" applyProtection="1">
      <alignment horizontal="left" vertical="center" wrapText="1"/>
      <protection locked="0"/>
    </xf>
    <xf numFmtId="9" fontId="69" fillId="30" borderId="145" xfId="109" applyFont="1" applyFill="1" applyBorder="1" applyAlignment="1" applyProtection="1">
      <alignment horizontal="left" vertical="center" wrapText="1"/>
      <protection locked="0"/>
    </xf>
    <xf numFmtId="0" fontId="85" fillId="10" borderId="15" xfId="0" applyFont="1" applyFill="1" applyBorder="1" applyAlignment="1" applyProtection="1">
      <alignment horizontal="center" vertical="center" wrapText="1"/>
      <protection/>
    </xf>
    <xf numFmtId="9" fontId="69" fillId="12" borderId="15" xfId="109" applyFont="1" applyFill="1" applyBorder="1" applyAlignment="1" applyProtection="1">
      <alignment horizontal="left" vertical="center" wrapText="1"/>
      <protection locked="0"/>
    </xf>
    <xf numFmtId="0" fontId="78" fillId="0" borderId="15" xfId="0" applyFont="1" applyBorder="1" applyAlignment="1" applyProtection="1">
      <alignment vertical="center" wrapText="1"/>
      <protection/>
    </xf>
    <xf numFmtId="0" fontId="78" fillId="2" borderId="0" xfId="0" applyFont="1" applyFill="1" applyBorder="1" applyAlignment="1" applyProtection="1">
      <alignment horizontal="center" vertical="center" wrapText="1"/>
      <protection/>
    </xf>
    <xf numFmtId="0" fontId="78" fillId="2" borderId="116" xfId="0" applyFont="1" applyFill="1" applyBorder="1" applyAlignment="1" applyProtection="1">
      <alignment horizontal="left" vertical="center" wrapText="1"/>
      <protection/>
    </xf>
    <xf numFmtId="0" fontId="78" fillId="2" borderId="116" xfId="0" applyFont="1" applyFill="1" applyBorder="1" applyAlignment="1" applyProtection="1">
      <alignment horizontal="left"/>
      <protection/>
    </xf>
    <xf numFmtId="0" fontId="78" fillId="2" borderId="0" xfId="0" applyFont="1" applyFill="1" applyBorder="1" applyAlignment="1" applyProtection="1">
      <alignment horizontal="left"/>
      <protection/>
    </xf>
    <xf numFmtId="0" fontId="78" fillId="2" borderId="91" xfId="0" applyFont="1" applyFill="1" applyBorder="1" applyAlignment="1" applyProtection="1">
      <alignment horizontal="left"/>
      <protection locked="0"/>
    </xf>
    <xf numFmtId="0" fontId="78" fillId="2" borderId="146" xfId="0" applyFont="1" applyFill="1" applyBorder="1" applyAlignment="1" applyProtection="1">
      <alignment horizontal="left"/>
      <protection locked="0"/>
    </xf>
    <xf numFmtId="0" fontId="78" fillId="2" borderId="147" xfId="0" applyFont="1" applyFill="1" applyBorder="1" applyAlignment="1" applyProtection="1">
      <alignment horizontal="left"/>
      <protection locked="0"/>
    </xf>
    <xf numFmtId="181" fontId="25" fillId="0" borderId="0" xfId="0" applyNumberFormat="1" applyFont="1" applyBorder="1" applyAlignment="1" applyProtection="1">
      <alignment horizontal="center"/>
      <protection/>
    </xf>
    <xf numFmtId="188" fontId="76" fillId="0" borderId="0" xfId="0" applyNumberFormat="1" applyFont="1" applyBorder="1" applyAlignment="1" applyProtection="1">
      <alignment horizontal="center"/>
      <protection/>
    </xf>
    <xf numFmtId="188" fontId="88" fillId="10" borderId="111" xfId="0" applyNumberFormat="1" applyFont="1" applyFill="1" applyBorder="1" applyAlignment="1" applyProtection="1">
      <alignment horizontal="center" vertical="center"/>
      <protection/>
    </xf>
    <xf numFmtId="188" fontId="90" fillId="0" borderId="0" xfId="0" applyNumberFormat="1" applyFont="1" applyFill="1" applyBorder="1" applyAlignment="1" applyProtection="1">
      <alignment horizontal="center"/>
      <protection/>
    </xf>
    <xf numFmtId="188" fontId="91" fillId="3" borderId="18" xfId="0" applyNumberFormat="1" applyFont="1" applyFill="1" applyBorder="1" applyAlignment="1" applyProtection="1">
      <alignment horizontal="center" vertical="center"/>
      <protection/>
    </xf>
    <xf numFmtId="0" fontId="29" fillId="0" borderId="148" xfId="0" applyNumberFormat="1" applyFont="1" applyFill="1" applyBorder="1" applyAlignment="1" applyProtection="1">
      <alignment horizontal="left" vertical="top" wrapText="1"/>
      <protection/>
    </xf>
    <xf numFmtId="49" fontId="1" fillId="3" borderId="149" xfId="0" applyNumberFormat="1" applyFont="1" applyFill="1" applyBorder="1" applyAlignment="1" applyProtection="1">
      <alignment horizontal="center" vertical="center"/>
      <protection locked="0"/>
    </xf>
    <xf numFmtId="49" fontId="1" fillId="3" borderId="150" xfId="0" applyNumberFormat="1" applyFont="1" applyFill="1" applyBorder="1" applyAlignment="1" applyProtection="1">
      <alignment horizontal="center" vertical="center" wrapText="1"/>
      <protection locked="0"/>
    </xf>
    <xf numFmtId="49" fontId="1" fillId="3" borderId="150" xfId="0" applyNumberFormat="1" applyFont="1" applyFill="1" applyBorder="1" applyAlignment="1" applyProtection="1">
      <alignment horizontal="center" vertical="center"/>
      <protection locked="0"/>
    </xf>
    <xf numFmtId="0" fontId="29" fillId="0" borderId="151" xfId="0" applyNumberFormat="1" applyFont="1" applyFill="1" applyBorder="1" applyAlignment="1" applyProtection="1">
      <alignment horizontal="left" vertical="top" wrapText="1"/>
      <protection/>
    </xf>
    <xf numFmtId="49" fontId="1" fillId="3" borderId="152" xfId="0" applyNumberFormat="1" applyFont="1" applyFill="1" applyBorder="1" applyAlignment="1" applyProtection="1">
      <alignment horizontal="center" vertical="center"/>
      <protection locked="0"/>
    </xf>
    <xf numFmtId="188" fontId="90" fillId="0" borderId="153" xfId="0" applyNumberFormat="1" applyFont="1" applyFill="1" applyBorder="1" applyAlignment="1" applyProtection="1">
      <alignment horizontal="center"/>
      <protection/>
    </xf>
    <xf numFmtId="188" fontId="102" fillId="13" borderId="154" xfId="0" applyNumberFormat="1" applyFont="1" applyFill="1" applyBorder="1" applyAlignment="1" applyProtection="1">
      <alignment horizontal="center" vertical="center"/>
      <protection/>
    </xf>
    <xf numFmtId="188" fontId="102" fillId="13" borderId="155" xfId="0" applyNumberFormat="1" applyFont="1" applyFill="1" applyBorder="1" applyAlignment="1" applyProtection="1">
      <alignment horizontal="center" vertical="center"/>
      <protection/>
    </xf>
    <xf numFmtId="0" fontId="29" fillId="0" borderId="156" xfId="0" applyNumberFormat="1" applyFont="1" applyFill="1" applyBorder="1" applyAlignment="1" applyProtection="1">
      <alignment horizontal="left" vertical="top" wrapText="1"/>
      <protection/>
    </xf>
    <xf numFmtId="0" fontId="1" fillId="13" borderId="157" xfId="0" applyFont="1" applyFill="1" applyBorder="1" applyAlignment="1" applyProtection="1">
      <alignment horizontal="center" vertical="top" wrapText="1"/>
      <protection locked="0"/>
    </xf>
    <xf numFmtId="0" fontId="29" fillId="0" borderId="158" xfId="0" applyNumberFormat="1" applyFont="1" applyFill="1" applyBorder="1" applyAlignment="1" applyProtection="1">
      <alignment horizontal="left" vertical="top" wrapText="1"/>
      <protection/>
    </xf>
    <xf numFmtId="0" fontId="1" fillId="13" borderId="159" xfId="0" applyFont="1" applyFill="1" applyBorder="1" applyAlignment="1" applyProtection="1">
      <alignment horizontal="center" vertical="top" wrapText="1"/>
      <protection locked="0"/>
    </xf>
    <xf numFmtId="0" fontId="29" fillId="0" borderId="160" xfId="0" applyNumberFormat="1" applyFont="1" applyFill="1" applyBorder="1" applyAlignment="1" applyProtection="1">
      <alignment horizontal="left" vertical="top" wrapText="1"/>
      <protection/>
    </xf>
    <xf numFmtId="0" fontId="1" fillId="13" borderId="161" xfId="0" applyFont="1" applyFill="1" applyBorder="1" applyAlignment="1" applyProtection="1">
      <alignment horizontal="center" vertical="top" wrapText="1"/>
      <protection locked="0"/>
    </xf>
    <xf numFmtId="188" fontId="90" fillId="0" borderId="162" xfId="0" applyNumberFormat="1" applyFont="1" applyFill="1" applyBorder="1" applyAlignment="1" applyProtection="1">
      <alignment horizontal="center"/>
      <protection/>
    </xf>
    <xf numFmtId="188" fontId="91" fillId="12" borderId="68" xfId="0" applyNumberFormat="1" applyFont="1" applyFill="1" applyBorder="1" applyAlignment="1" applyProtection="1">
      <alignment horizontal="center" vertical="center"/>
      <protection/>
    </xf>
    <xf numFmtId="0" fontId="29" fillId="0" borderId="163" xfId="0" applyNumberFormat="1" applyFont="1" applyFill="1" applyBorder="1" applyAlignment="1" applyProtection="1">
      <alignment horizontal="left" vertical="center" wrapText="1"/>
      <protection/>
    </xf>
    <xf numFmtId="0" fontId="1" fillId="12" borderId="164" xfId="0" applyFont="1" applyFill="1" applyBorder="1" applyAlignment="1" applyProtection="1">
      <alignment horizontal="center" vertical="top" wrapText="1"/>
      <protection locked="0"/>
    </xf>
    <xf numFmtId="0" fontId="1" fillId="0" borderId="165" xfId="109" applyNumberFormat="1" applyFont="1" applyFill="1" applyBorder="1" applyAlignment="1" applyProtection="1">
      <alignment horizontal="left" vertical="center" wrapText="1"/>
      <protection/>
    </xf>
    <xf numFmtId="0" fontId="1" fillId="12" borderId="166" xfId="0" applyFont="1" applyFill="1" applyBorder="1" applyAlignment="1" applyProtection="1">
      <alignment horizontal="center" vertical="top" wrapText="1"/>
      <protection locked="0"/>
    </xf>
    <xf numFmtId="9" fontId="1" fillId="0" borderId="165" xfId="109" applyNumberFormat="1" applyFont="1" applyFill="1" applyBorder="1" applyAlignment="1" applyProtection="1">
      <alignment horizontal="left" vertical="center" wrapText="1"/>
      <protection/>
    </xf>
    <xf numFmtId="0" fontId="1" fillId="12" borderId="167" xfId="0" applyFont="1" applyFill="1" applyBorder="1" applyAlignment="1" applyProtection="1">
      <alignment horizontal="center" vertical="top" wrapText="1"/>
      <protection locked="0"/>
    </xf>
    <xf numFmtId="181" fontId="2" fillId="33" borderId="0" xfId="128" applyNumberFormat="1" applyFont="1" applyFill="1" applyBorder="1" applyAlignment="1" applyProtection="1">
      <alignment horizontal="center"/>
      <protection locked="0"/>
    </xf>
    <xf numFmtId="0" fontId="0" fillId="12" borderId="15" xfId="0" applyFill="1" applyBorder="1" applyAlignment="1" applyProtection="1">
      <alignment horizontal="center"/>
      <protection locked="0"/>
    </xf>
    <xf numFmtId="0" fontId="109" fillId="8" borderId="168" xfId="105" applyNumberFormat="1" applyFont="1" applyFill="1" applyBorder="1" applyAlignment="1">
      <alignment horizontal="center" vertical="center" wrapText="1"/>
      <protection/>
    </xf>
    <xf numFmtId="0" fontId="109" fillId="8" borderId="169" xfId="105" applyNumberFormat="1" applyFont="1" applyFill="1" applyBorder="1" applyAlignment="1">
      <alignment horizontal="center" vertical="center" wrapText="1"/>
      <protection/>
    </xf>
    <xf numFmtId="0" fontId="109" fillId="8" borderId="170" xfId="105" applyNumberFormat="1" applyFont="1" applyFill="1" applyBorder="1" applyAlignment="1">
      <alignment horizontal="center" vertical="center" wrapText="1"/>
      <protection/>
    </xf>
    <xf numFmtId="0" fontId="110" fillId="8" borderId="15" xfId="0" applyNumberFormat="1" applyFont="1" applyFill="1" applyBorder="1" applyAlignment="1">
      <alignment horizontal="center" vertical="center" textRotation="90"/>
    </xf>
    <xf numFmtId="0" fontId="52" fillId="0" borderId="171" xfId="0" applyFont="1" applyFill="1" applyBorder="1" applyAlignment="1" applyProtection="1">
      <alignment horizontal="left" vertical="center" wrapText="1"/>
      <protection locked="0"/>
    </xf>
    <xf numFmtId="0" fontId="52" fillId="0" borderId="172" xfId="0" applyFont="1" applyFill="1" applyBorder="1" applyAlignment="1" applyProtection="1">
      <alignment horizontal="left" wrapText="1"/>
      <protection locked="0"/>
    </xf>
    <xf numFmtId="0" fontId="52" fillId="0" borderId="173" xfId="0" applyFont="1" applyFill="1" applyBorder="1" applyAlignment="1" applyProtection="1">
      <alignment horizontal="left" wrapText="1"/>
      <protection locked="0"/>
    </xf>
    <xf numFmtId="0" fontId="52" fillId="0" borderId="174" xfId="0" applyFont="1" applyFill="1" applyBorder="1" applyAlignment="1" applyProtection="1">
      <alignment horizontal="left" wrapText="1"/>
      <protection locked="0"/>
    </xf>
    <xf numFmtId="0" fontId="52" fillId="0" borderId="175" xfId="0" applyFont="1" applyFill="1" applyBorder="1" applyAlignment="1" applyProtection="1">
      <alignment horizontal="left" wrapText="1"/>
      <protection locked="0"/>
    </xf>
    <xf numFmtId="0" fontId="52" fillId="0" borderId="176" xfId="0" applyFont="1" applyFill="1" applyBorder="1" applyAlignment="1" applyProtection="1">
      <alignment horizontal="left" wrapText="1"/>
      <protection locked="0"/>
    </xf>
    <xf numFmtId="0" fontId="52" fillId="0" borderId="177" xfId="0" applyFont="1" applyFill="1" applyBorder="1" applyAlignment="1" applyProtection="1">
      <alignment horizontal="left"/>
      <protection locked="0"/>
    </xf>
    <xf numFmtId="0" fontId="52" fillId="0" borderId="175" xfId="0" applyFont="1" applyFill="1" applyBorder="1" applyAlignment="1" applyProtection="1">
      <alignment horizontal="left" vertical="top" wrapText="1"/>
      <protection locked="0"/>
    </xf>
    <xf numFmtId="0" fontId="52" fillId="0" borderId="176" xfId="0" applyFont="1" applyFill="1" applyBorder="1" applyAlignment="1" applyProtection="1">
      <alignment horizontal="left"/>
      <protection locked="0"/>
    </xf>
    <xf numFmtId="0" fontId="52" fillId="0" borderId="175" xfId="0" applyFont="1" applyFill="1" applyBorder="1" applyAlignment="1" applyProtection="1">
      <alignment horizontal="left"/>
      <protection locked="0"/>
    </xf>
    <xf numFmtId="0" fontId="52" fillId="0" borderId="178" xfId="0" applyFont="1" applyFill="1" applyBorder="1" applyAlignment="1" applyProtection="1">
      <alignment horizontal="left" vertical="center" wrapText="1"/>
      <protection locked="0"/>
    </xf>
    <xf numFmtId="0" fontId="52" fillId="0" borderId="179" xfId="0" applyFont="1" applyFill="1" applyBorder="1" applyAlignment="1" applyProtection="1">
      <alignment horizontal="left"/>
      <protection locked="0"/>
    </xf>
    <xf numFmtId="0" fontId="52" fillId="0" borderId="180" xfId="0" applyFont="1" applyFill="1" applyBorder="1" applyAlignment="1" applyProtection="1">
      <alignment horizontal="left"/>
      <protection locked="0"/>
    </xf>
    <xf numFmtId="0" fontId="52" fillId="0" borderId="181" xfId="0" applyFont="1" applyFill="1" applyBorder="1" applyAlignment="1" applyProtection="1">
      <alignment horizontal="left"/>
      <protection locked="0"/>
    </xf>
    <xf numFmtId="0" fontId="52" fillId="0" borderId="182" xfId="0" applyFont="1" applyFill="1" applyBorder="1" applyAlignment="1" applyProtection="1">
      <alignment horizontal="left" vertical="top" wrapText="1"/>
      <protection locked="0"/>
    </xf>
    <xf numFmtId="0" fontId="52" fillId="0" borderId="183" xfId="0" applyFont="1" applyBorder="1" applyAlignment="1" applyProtection="1">
      <alignment horizontal="left"/>
      <protection locked="0"/>
    </xf>
    <xf numFmtId="0" fontId="52" fillId="0" borderId="107" xfId="0" applyFont="1" applyBorder="1" applyAlignment="1" applyProtection="1">
      <alignment horizontal="left"/>
      <protection locked="0"/>
    </xf>
    <xf numFmtId="0" fontId="52" fillId="0" borderId="184" xfId="0" applyFont="1" applyBorder="1" applyAlignment="1" applyProtection="1">
      <alignment horizontal="left"/>
      <protection locked="0"/>
    </xf>
    <xf numFmtId="0" fontId="52" fillId="0" borderId="185" xfId="0" applyFont="1" applyFill="1" applyBorder="1" applyAlignment="1" applyProtection="1">
      <alignment horizontal="left"/>
      <protection locked="0"/>
    </xf>
    <xf numFmtId="0" fontId="52" fillId="0" borderId="175" xfId="0" applyFont="1" applyBorder="1" applyAlignment="1" applyProtection="1">
      <alignment horizontal="left"/>
      <protection locked="0"/>
    </xf>
    <xf numFmtId="0" fontId="52" fillId="0" borderId="176" xfId="0" applyFont="1" applyBorder="1" applyAlignment="1" applyProtection="1">
      <alignment horizontal="left"/>
      <protection locked="0"/>
    </xf>
    <xf numFmtId="0" fontId="52" fillId="0" borderId="177" xfId="0" applyFont="1" applyBorder="1" applyAlignment="1" applyProtection="1">
      <alignment horizontal="left"/>
      <protection locked="0"/>
    </xf>
    <xf numFmtId="0" fontId="52" fillId="0" borderId="186" xfId="0" applyFont="1" applyFill="1" applyBorder="1" applyAlignment="1" applyProtection="1">
      <alignment horizontal="left"/>
      <protection locked="0"/>
    </xf>
    <xf numFmtId="0" fontId="52" fillId="0" borderId="179" xfId="0" applyFont="1" applyBorder="1" applyAlignment="1" applyProtection="1">
      <alignment horizontal="left"/>
      <protection locked="0"/>
    </xf>
    <xf numFmtId="0" fontId="52" fillId="0" borderId="180" xfId="0" applyFont="1" applyBorder="1" applyAlignment="1" applyProtection="1">
      <alignment horizontal="left"/>
      <protection locked="0"/>
    </xf>
    <xf numFmtId="0" fontId="52" fillId="0" borderId="181" xfId="0" applyFont="1" applyBorder="1" applyAlignment="1" applyProtection="1">
      <alignment horizontal="left"/>
      <protection locked="0"/>
    </xf>
    <xf numFmtId="181" fontId="23" fillId="26" borderId="0" xfId="88"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Millares 2" xfId="84"/>
    <cellStyle name="Currency" xfId="85"/>
    <cellStyle name="Currency [0]" xfId="86"/>
    <cellStyle name="Neutral" xfId="87"/>
    <cellStyle name="Normal 2" xfId="88"/>
    <cellStyle name="Normal 2 2" xfId="89"/>
    <cellStyle name="Normal 2 3" xfId="90"/>
    <cellStyle name="Normal 2 4" xfId="91"/>
    <cellStyle name="Normal 2 5" xfId="92"/>
    <cellStyle name="Normal 2 6" xfId="93"/>
    <cellStyle name="Normal 2 7" xfId="94"/>
    <cellStyle name="Normal 2 8" xfId="95"/>
    <cellStyle name="Normal 2_Dashboard ver 2.2 ES" xfId="96"/>
    <cellStyle name="Normal 2_Ficticia HIV Dashboard_ES - Set Up and Maintenance Guide" xfId="97"/>
    <cellStyle name="Normal 2_Prototipo" xfId="98"/>
    <cellStyle name="Normal 3" xfId="99"/>
    <cellStyle name="Normal 4" xfId="100"/>
    <cellStyle name="Normal 5" xfId="101"/>
    <cellStyle name="Normal 6" xfId="102"/>
    <cellStyle name="Normal 7" xfId="103"/>
    <cellStyle name="Normal 8" xfId="104"/>
    <cellStyle name="Normal_TZ_R3HIV_Phase_2_21_August_08" xfId="105"/>
    <cellStyle name="Notas" xfId="106"/>
    <cellStyle name="Note" xfId="107"/>
    <cellStyle name="Output" xfId="108"/>
    <cellStyle name="Percent" xfId="109"/>
    <cellStyle name="Porcentual 2" xfId="110"/>
    <cellStyle name="Porcentual 3" xfId="111"/>
    <cellStyle name="Porcentual 4" xfId="112"/>
    <cellStyle name="Porcentual 5" xfId="113"/>
    <cellStyle name="Porcentual 6" xfId="114"/>
    <cellStyle name="Porcentual 7" xfId="115"/>
    <cellStyle name="Porcentual 8" xfId="116"/>
    <cellStyle name="Salida" xfId="117"/>
    <cellStyle name="Texto de advertencia" xfId="118"/>
    <cellStyle name="Texto explicativo" xfId="119"/>
    <cellStyle name="Title" xfId="120"/>
    <cellStyle name="Título" xfId="121"/>
    <cellStyle name="Título 1"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54">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63"/>
      </font>
      <fill>
        <patternFill patternType="solid">
          <fgColor indexed="19"/>
          <bgColor indexed="11"/>
        </patternFill>
      </fill>
    </dxf>
    <dxf>
      <font>
        <b/>
        <i val="0"/>
        <sz val="11"/>
        <color indexed="63"/>
      </font>
      <fill>
        <patternFill patternType="solid">
          <fgColor indexed="10"/>
          <bgColor indexed="61"/>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41"/>
          <bgColor indexed="9"/>
        </patternFill>
      </fill>
    </dxf>
    <dxf>
      <font>
        <b val="0"/>
        <sz val="11"/>
        <color indexed="63"/>
      </font>
      <fill>
        <patternFill patternType="solid">
          <fgColor indexed="51"/>
          <bgColor indexed="50"/>
        </patternFill>
      </fill>
    </dxf>
    <dxf>
      <font>
        <b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63"/>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FF8080"/>
          <bgColor rgb="FFFF7171"/>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00FF"/>
      <rgbColor rgb="00CCC1DA"/>
      <rgbColor rgb="00800000"/>
      <rgbColor rgb="00008000"/>
      <rgbColor rgb="00000080"/>
      <rgbColor rgb="0033CC33"/>
      <rgbColor rgb="00800080"/>
      <rgbColor rgb="000070C0"/>
      <rgbColor rgb="00C0C0C0"/>
      <rgbColor rgb="00808080"/>
      <rgbColor rgb="0093CDDD"/>
      <rgbColor rgb="00993366"/>
      <rgbColor rgb="00FFFFCC"/>
      <rgbColor rgb="00CCFFFF"/>
      <rgbColor rgb="00660066"/>
      <rgbColor rgb="00FF8080"/>
      <rgbColor rgb="000066CC"/>
      <rgbColor rgb="00CCCCFF"/>
      <rgbColor rgb="00131312"/>
      <rgbColor rgb="00FF00FF"/>
      <rgbColor rgb="00FFF88F"/>
      <rgbColor rgb="0000FFFF"/>
      <rgbColor rgb="00800080"/>
      <rgbColor rgb="00800000"/>
      <rgbColor rgb="00376092"/>
      <rgbColor rgb="000000FF"/>
      <rgbColor rgb="0000CCFF"/>
      <rgbColor rgb="00FFF8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
          <c:w val="1"/>
          <c:h val="0.820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3776587</c:v>
                </c:pt>
                <c:pt idx="1">
                  <c:v>4323313</c:v>
                </c:pt>
                <c:pt idx="2">
                  <c:v>5061801</c:v>
                </c:pt>
                <c:pt idx="3">
                  <c:v>8448011</c:v>
                </c:pt>
                <c:pt idx="4">
                  <c:v>11692451</c:v>
                </c:pt>
                <c:pt idx="5">
                  <c:v>12014372</c:v>
                </c:pt>
                <c:pt idx="6">
                  <c:v>13161913</c:v>
                </c:pt>
                <c:pt idx="7">
                  <c:v>15400582</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4638823.7</c:v>
                </c:pt>
                <c:pt idx="1">
                  <c:v>5580301.7700000005</c:v>
                </c:pt>
                <c:pt idx="2">
                  <c:v>8362338.7700000005</c:v>
                </c:pt>
                <c:pt idx="4">
                  <c:v>0</c:v>
                </c:pt>
                <c:pt idx="5">
                  <c:v>0</c:v>
                </c:pt>
                <c:pt idx="6">
                  <c:v>0</c:v>
                </c:pt>
                <c:pt idx="7">
                  <c:v>0</c:v>
                </c:pt>
                <c:pt idx="8">
                  <c:v>0</c:v>
                </c:pt>
                <c:pt idx="9">
                  <c:v>0</c:v>
                </c:pt>
                <c:pt idx="10">
                  <c:v>0</c:v>
                </c:pt>
                <c:pt idx="11">
                  <c:v>0</c:v>
                </c:pt>
              </c:numCache>
            </c:numRef>
          </c:val>
        </c:ser>
        <c:gapWidth val="70"/>
        <c:axId val="47519923"/>
        <c:axId val="25026124"/>
      </c:barChart>
      <c:catAx>
        <c:axId val="47519923"/>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275"/>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25026124"/>
        <c:crossesAt val="0"/>
        <c:auto val="1"/>
        <c:lblOffset val="100"/>
        <c:tickLblSkip val="1"/>
        <c:noMultiLvlLbl val="0"/>
      </c:catAx>
      <c:valAx>
        <c:axId val="2502612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7519923"/>
        <c:crossesAt val="1"/>
        <c:crossBetween val="between"/>
        <c:dispUnits/>
      </c:valAx>
      <c:spPr>
        <a:solidFill>
          <a:srgbClr val="FFFFFF"/>
        </a:solidFill>
        <a:ln w="3175">
          <a:solidFill>
            <a:srgbClr val="000000"/>
          </a:solidFill>
        </a:ln>
      </c:spPr>
    </c:plotArea>
    <c:legend>
      <c:legendPos val="r"/>
      <c:layout>
        <c:manualLayout>
          <c:xMode val="edge"/>
          <c:yMode val="edge"/>
          <c:x val="0.19625"/>
          <c:y val="0.86425"/>
          <c:w val="0.68875"/>
          <c:h val="0.104"/>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4"/>
          <c:w val="0.93775"/>
          <c:h val="0.869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datos'!$H$122:$S$122</c:f>
              <c:numCache>
                <c:ptCount val="12"/>
                <c:pt idx="0">
                  <c:v>6093</c:v>
                </c:pt>
                <c:pt idx="1">
                  <c:v>12185</c:v>
                </c:pt>
                <c:pt idx="2">
                  <c:v>6651</c:v>
                </c:pt>
                <c:pt idx="3">
                  <c:v>13301</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datos'!$H$123:$S$123</c:f>
              <c:numCache>
                <c:ptCount val="12"/>
                <c:pt idx="0">
                  <c:v>199</c:v>
                </c:pt>
                <c:pt idx="1">
                  <c:v>985</c:v>
                </c:pt>
                <c:pt idx="2">
                  <c:v>882</c:v>
                </c:pt>
                <c:pt idx="3">
                  <c:v>2187</c:v>
                </c:pt>
              </c:numCache>
            </c:numRef>
          </c:val>
        </c:ser>
        <c:axId val="15258877"/>
        <c:axId val="3112166"/>
      </c:barChart>
      <c:catAx>
        <c:axId val="1525887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112166"/>
        <c:crossesAt val="0"/>
        <c:auto val="1"/>
        <c:lblOffset val="100"/>
        <c:tickLblSkip val="1"/>
        <c:noMultiLvlLbl val="0"/>
      </c:catAx>
      <c:valAx>
        <c:axId val="311216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5258877"/>
        <c:crossesAt val="1"/>
        <c:crossBetween val="between"/>
        <c:dispUnits/>
      </c:valAx>
      <c:spPr>
        <a:noFill/>
        <a:ln>
          <a:noFill/>
        </a:ln>
      </c:spPr>
    </c:plotArea>
    <c:legend>
      <c:legendPos val="r"/>
      <c:layout>
        <c:manualLayout>
          <c:xMode val="edge"/>
          <c:yMode val="edge"/>
          <c:x val="0.28075"/>
          <c:y val="0.85725"/>
          <c:w val="0.33875"/>
          <c:h val="0.08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775"/>
          <c:w val="0.947"/>
          <c:h val="0.87"/>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datos'!$H$118:$S$118</c:f>
              <c:numCache>
                <c:ptCount val="12"/>
                <c:pt idx="0">
                  <c:v>8443</c:v>
                </c:pt>
                <c:pt idx="1">
                  <c:v>9043</c:v>
                </c:pt>
                <c:pt idx="2">
                  <c:v>9643</c:v>
                </c:pt>
                <c:pt idx="3">
                  <c:v>10243</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datos'!$H$119:$S$119</c:f>
              <c:numCache>
                <c:ptCount val="12"/>
                <c:pt idx="0">
                  <c:v>7220</c:v>
                </c:pt>
                <c:pt idx="1">
                  <c:v>7688</c:v>
                </c:pt>
                <c:pt idx="2">
                  <c:v>7950</c:v>
                </c:pt>
                <c:pt idx="3">
                  <c:v>8329</c:v>
                </c:pt>
              </c:numCache>
            </c:numRef>
          </c:val>
        </c:ser>
        <c:axId val="28009495"/>
        <c:axId val="50758864"/>
      </c:barChart>
      <c:catAx>
        <c:axId val="2800949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0758864"/>
        <c:crossesAt val="0"/>
        <c:auto val="1"/>
        <c:lblOffset val="100"/>
        <c:tickLblSkip val="1"/>
        <c:noMultiLvlLbl val="0"/>
      </c:catAx>
      <c:valAx>
        <c:axId val="50758864"/>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8009495"/>
        <c:crossesAt val="1"/>
        <c:crossBetween val="between"/>
        <c:dispUnits/>
      </c:valAx>
      <c:spPr>
        <a:noFill/>
        <a:ln>
          <a:noFill/>
        </a:ln>
      </c:spPr>
    </c:plotArea>
    <c:legend>
      <c:legendPos val="r"/>
      <c:layout>
        <c:manualLayout>
          <c:xMode val="edge"/>
          <c:yMode val="edge"/>
          <c:x val="0.12425"/>
          <c:y val="0.88575"/>
          <c:w val="0.55125"/>
          <c:h val="0.065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82575"/>
          <c:h val="1"/>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datos'!$C$52:$C$55</c:f>
              <c:numCache>
                <c:ptCount val="4"/>
                <c:pt idx="0">
                  <c:v>8362338.7700000005</c:v>
                </c:pt>
                <c:pt idx="1">
                  <c:v>5806054.43</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datos'!$D$52:$D$55</c:f>
              <c:numCache>
                <c:ptCount val="4"/>
                <c:pt idx="0">
                  <c:v>0</c:v>
                </c:pt>
                <c:pt idx="1">
                  <c:v>1322649.07</c:v>
                </c:pt>
              </c:numCache>
            </c:numRef>
          </c:val>
        </c:ser>
        <c:overlap val="100"/>
        <c:axId val="23908525"/>
        <c:axId val="13850134"/>
      </c:barChart>
      <c:catAx>
        <c:axId val="239085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3850134"/>
        <c:crossesAt val="0"/>
        <c:auto val="1"/>
        <c:lblOffset val="100"/>
        <c:tickLblSkip val="2"/>
        <c:noMultiLvlLbl val="0"/>
      </c:catAx>
      <c:valAx>
        <c:axId val="1385013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3908525"/>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25"/>
          <c:y val="0.0565"/>
          <c:w val="0.8515"/>
          <c:h val="0.9097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strCache>
            </c:strRef>
          </c:cat>
          <c:val>
            <c:numRef>
              <c:f>'Introducción de datos'!$C$39:$C$44</c:f>
              <c:numCache>
                <c:ptCount val="6"/>
                <c:pt idx="0">
                  <c:v>794453</c:v>
                </c:pt>
                <c:pt idx="1">
                  <c:v>6041980</c:v>
                </c:pt>
                <c:pt idx="2">
                  <c:v>1611578</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strCache>
            </c:strRef>
          </c:cat>
          <c:val>
            <c:numRef>
              <c:f>'Introducción de datos'!$D$39:$D$44</c:f>
              <c:numCache>
                <c:ptCount val="6"/>
                <c:pt idx="0">
                  <c:v>690213.71</c:v>
                </c:pt>
                <c:pt idx="1">
                  <c:v>5195800.07</c:v>
                </c:pt>
                <c:pt idx="2">
                  <c:v>1242689.7199999997</c:v>
                </c:pt>
              </c:numCache>
            </c:numRef>
          </c:val>
        </c:ser>
        <c:axId val="57542343"/>
        <c:axId val="48119040"/>
      </c:barChart>
      <c:catAx>
        <c:axId val="575423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8119040"/>
        <c:crossesAt val="0"/>
        <c:auto val="1"/>
        <c:lblOffset val="100"/>
        <c:tickLblSkip val="1"/>
        <c:noMultiLvlLbl val="0"/>
      </c:catAx>
      <c:valAx>
        <c:axId val="4811904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7542343"/>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9"/>
          <c:w val="0.98025"/>
          <c:h val="0.684"/>
        </c:manualLayout>
      </c:layout>
      <c:barChart>
        <c:barDir val="bar"/>
        <c:grouping val="percentStacked"/>
        <c:varyColors val="0"/>
        <c:ser>
          <c:idx val="0"/>
          <c:order val="0"/>
          <c:tx>
            <c:strRef>
              <c:f>'Introducción de datos'!$D$78</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datos'!$D$79</c:f>
              <c:numCache>
                <c:ptCount val="1"/>
                <c:pt idx="0">
                  <c:v>4</c:v>
                </c:pt>
              </c:numCache>
            </c:numRef>
          </c:val>
        </c:ser>
        <c:ser>
          <c:idx val="1"/>
          <c:order val="1"/>
          <c:tx>
            <c:strRef>
              <c:f>'Introducción de datos'!$E$78</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datos'!$E$79</c:f>
              <c:numCache>
                <c:ptCount val="1"/>
                <c:pt idx="0">
                  <c:v>0</c:v>
                </c:pt>
              </c:numCache>
            </c:numRef>
          </c:val>
        </c:ser>
        <c:overlap val="100"/>
        <c:gapWidth val="79"/>
        <c:axId val="30418177"/>
        <c:axId val="5328138"/>
      </c:barChart>
      <c:catAx>
        <c:axId val="30418177"/>
        <c:scaling>
          <c:orientation val="minMax"/>
        </c:scaling>
        <c:axPos val="l"/>
        <c:delete val="1"/>
        <c:majorTickMark val="out"/>
        <c:minorTickMark val="none"/>
        <c:tickLblPos val="none"/>
        <c:crossAx val="5328138"/>
        <c:crossesAt val="0"/>
        <c:auto val="1"/>
        <c:lblOffset val="100"/>
        <c:tickLblSkip val="1"/>
        <c:noMultiLvlLbl val="0"/>
      </c:catAx>
      <c:valAx>
        <c:axId val="5328138"/>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0418177"/>
        <c:crosses val="max"/>
        <c:crossBetween val="between"/>
        <c:dispUnits/>
      </c:valAx>
      <c:spPr>
        <a:solidFill>
          <a:srgbClr val="FFFFFF"/>
        </a:solidFill>
        <a:ln w="3175">
          <a:noFill/>
        </a:ln>
      </c:spPr>
    </c:plotArea>
    <c:legend>
      <c:legendPos val="r"/>
      <c:layout>
        <c:manualLayout>
          <c:xMode val="edge"/>
          <c:yMode val="edge"/>
          <c:x val="0.26775"/>
          <c:y val="0.73325"/>
          <c:w val="0.43625"/>
          <c:h val="0.177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Chart Title</a:t>
            </a:r>
          </a:p>
        </c:rich>
      </c:tx>
      <c:layout>
        <c:manualLayout>
          <c:xMode val="factor"/>
          <c:yMode val="factor"/>
          <c:x val="-0.05875"/>
          <c:y val="0.01625"/>
        </c:manualLayout>
      </c:layout>
      <c:spPr>
        <a:noFill/>
        <a:ln>
          <a:noFill/>
        </a:ln>
      </c:spPr>
    </c:title>
    <c:plotArea>
      <c:layout>
        <c:manualLayout>
          <c:xMode val="edge"/>
          <c:yMode val="edge"/>
          <c:x val="0.02275"/>
          <c:y val="0.17275"/>
          <c:w val="0.957"/>
          <c:h val="0.658"/>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multiLvlStrRef>
              <c:f>'Introducción de datos'!$C$83:$F$84</c:f>
              <c:multiLvlStrCache>
                <c:ptCount val="2"/>
                <c:lvl>
                  <c:pt idx="0">
                    <c:v>Firmados</c:v>
                  </c:pt>
                  <c:pt idx="1">
                    <c:v>N/A</c:v>
                  </c:pt>
                </c:lvl>
                <c:lvl>
                  <c:pt idx="0">
                    <c:v>Aprobados</c:v>
                  </c:pt>
                  <c:pt idx="1">
                    <c:v>N/A</c:v>
                  </c:pt>
                </c:lvl>
                <c:lvl>
                  <c:pt idx="0">
                    <c:v>Evaluados</c:v>
                  </c:pt>
                  <c:pt idx="1">
                    <c:v>N/A</c:v>
                  </c:pt>
                </c:lvl>
                <c:lvl>
                  <c:pt idx="0">
                    <c:v>Identificados</c:v>
                  </c:pt>
                  <c:pt idx="1">
                    <c:v>N/A</c:v>
                  </c:pt>
                </c:lvl>
              </c:multiLvlStrCache>
            </c:multiLvlStrRef>
          </c:cat>
          <c:val>
            <c:numRef>
              <c:f>'Introducción de datos'!$G$83:$G$84</c:f>
              <c:numCache>
                <c:ptCount val="2"/>
                <c:pt idx="0">
                  <c:v>0</c:v>
                </c:pt>
                <c:pt idx="1">
                  <c:v>0</c:v>
                </c:pt>
              </c:numCache>
            </c:numRef>
          </c:val>
        </c:ser>
        <c:overlap val="-20"/>
        <c:axId val="47953243"/>
        <c:axId val="28926004"/>
      </c:barChart>
      <c:catAx>
        <c:axId val="47953243"/>
        <c:scaling>
          <c:orientation val="minMax"/>
        </c:scaling>
        <c:axPos val="b"/>
        <c:delete val="0"/>
        <c:numFmt formatCode="General" sourceLinked="1"/>
        <c:majorTickMark val="none"/>
        <c:minorTickMark val="none"/>
        <c:tickLblPos val="none"/>
        <c:spPr>
          <a:ln w="3175">
            <a:solidFill>
              <a:srgbClr val="000000"/>
            </a:solidFill>
          </a:ln>
        </c:spPr>
        <c:crossAx val="28926004"/>
        <c:crossesAt val="0"/>
        <c:auto val="0"/>
        <c:lblOffset val="100"/>
        <c:tickLblSkip val="1"/>
        <c:noMultiLvlLbl val="0"/>
      </c:catAx>
      <c:valAx>
        <c:axId val="28926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53243"/>
        <c:crossesAt val="1"/>
        <c:crossBetween val="between"/>
        <c:dispUnits/>
      </c:valAx>
      <c:spPr>
        <a:noFill/>
        <a:ln>
          <a:noFill/>
        </a:ln>
      </c:spPr>
    </c:plotArea>
    <c:legend>
      <c:legendPos val="r"/>
      <c:layout>
        <c:manualLayout>
          <c:xMode val="edge"/>
          <c:yMode val="edge"/>
          <c:x val="0"/>
          <c:y val="0.826"/>
          <c:w val="0.89425"/>
          <c:h val="0.087"/>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5"/>
          <c:y val="0.055"/>
          <c:w val="0.78575"/>
          <c:h val="0.772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datos'!$D$72:$D$73</c:f>
              <c:numCache>
                <c:ptCount val="2"/>
                <c:pt idx="0">
                  <c:v>8</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datos'!$E$72:$E$73</c:f>
              <c:numCache>
                <c:ptCount val="2"/>
                <c:pt idx="0">
                  <c:v>12</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datos'!$F$72:$F$73</c:f>
              <c:numCache>
                <c:ptCount val="2"/>
                <c:pt idx="0">
                  <c:v>0</c:v>
                </c:pt>
              </c:numCache>
            </c:numRef>
          </c:val>
        </c:ser>
        <c:overlap val="100"/>
        <c:gapWidth val="70"/>
        <c:axId val="59007445"/>
        <c:axId val="61304958"/>
      </c:barChart>
      <c:catAx>
        <c:axId val="590074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304958"/>
        <c:crossesAt val="0"/>
        <c:auto val="1"/>
        <c:lblOffset val="100"/>
        <c:tickLblSkip val="1"/>
        <c:noMultiLvlLbl val="0"/>
      </c:catAx>
      <c:valAx>
        <c:axId val="613049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007445"/>
        <c:crossesAt val="1"/>
        <c:crossBetween val="between"/>
        <c:dispUnits/>
      </c:valAx>
      <c:spPr>
        <a:noFill/>
        <a:ln>
          <a:noFill/>
        </a:ln>
      </c:spPr>
    </c:plotArea>
    <c:legend>
      <c:legendPos val="r"/>
      <c:layout>
        <c:manualLayout>
          <c:xMode val="edge"/>
          <c:yMode val="edge"/>
          <c:x val="0"/>
          <c:y val="0.763"/>
          <c:w val="0.98275"/>
          <c:h val="0.1702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1155"/>
          <c:w val="0.81525"/>
          <c:h val="0.7315"/>
        </c:manualLayout>
      </c:layout>
      <c:barChart>
        <c:barDir val="bar"/>
        <c:grouping val="percentStacked"/>
        <c:varyColors val="0"/>
        <c:ser>
          <c:idx val="0"/>
          <c:order val="0"/>
          <c:tx>
            <c:strRef>
              <c:f>'Introducción de datos'!$D$88</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datos'!$D$89:$D$90</c:f>
              <c:numCache>
                <c:ptCount val="2"/>
                <c:pt idx="0">
                  <c:v>0</c:v>
                </c:pt>
                <c:pt idx="1">
                  <c:v>0</c:v>
                </c:pt>
              </c:numCache>
            </c:numRef>
          </c:val>
        </c:ser>
        <c:ser>
          <c:idx val="1"/>
          <c:order val="1"/>
          <c:tx>
            <c:strRef>
              <c:f>'Introducción de datos'!$E$88</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datos'!$E$89:$E$90</c:f>
              <c:numCache>
                <c:ptCount val="2"/>
                <c:pt idx="0">
                  <c:v>0</c:v>
                </c:pt>
                <c:pt idx="1">
                  <c:v>0</c:v>
                </c:pt>
              </c:numCache>
            </c:numRef>
          </c:val>
        </c:ser>
        <c:overlap val="100"/>
        <c:gapWidth val="79"/>
        <c:axId val="14873711"/>
        <c:axId val="66754536"/>
      </c:barChart>
      <c:catAx>
        <c:axId val="148737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6754536"/>
        <c:crossesAt val="0"/>
        <c:auto val="1"/>
        <c:lblOffset val="100"/>
        <c:tickLblSkip val="1"/>
        <c:noMultiLvlLbl val="0"/>
      </c:catAx>
      <c:valAx>
        <c:axId val="66754536"/>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4873711"/>
        <c:crosses val="max"/>
        <c:crossBetween val="between"/>
        <c:dispUnits/>
      </c:valAx>
      <c:spPr>
        <a:solidFill>
          <a:srgbClr val="FFFFFF"/>
        </a:solidFill>
        <a:ln w="3175">
          <a:noFill/>
        </a:ln>
      </c:spPr>
    </c:plotArea>
    <c:legend>
      <c:legendPos val="r"/>
      <c:layout>
        <c:manualLayout>
          <c:xMode val="edge"/>
          <c:yMode val="edge"/>
          <c:x val="0.36025"/>
          <c:y val="0.8"/>
          <c:w val="0.3125"/>
          <c:h val="0.12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805"/>
          <c:w val="0.8825"/>
          <c:h val="0.673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datos'!$C$98:$N$98</c:f>
              <c:numCache>
                <c:ptCount val="12"/>
                <c:pt idx="0">
                  <c:v>3414952</c:v>
                </c:pt>
                <c:pt idx="1">
                  <c:v>3425439</c:v>
                </c:pt>
                <c:pt idx="2">
                  <c:v>3817598</c:v>
                </c:pt>
                <c:pt idx="3">
                  <c:v>6380481</c:v>
                </c:pt>
                <c:pt idx="4">
                  <c:v>6380481</c:v>
                </c:pt>
                <c:pt idx="5">
                  <c:v>6380481</c:v>
                </c:pt>
                <c:pt idx="6">
                  <c:v>6380481</c:v>
                </c:pt>
                <c:pt idx="7">
                  <c:v>6380481</c:v>
                </c:pt>
                <c:pt idx="8">
                  <c:v>6380481</c:v>
                </c:pt>
                <c:pt idx="9">
                  <c:v>6380481</c:v>
                </c:pt>
                <c:pt idx="10">
                  <c:v>6380481</c:v>
                </c:pt>
                <c:pt idx="11">
                  <c:v>6380481</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datos'!$C$100:$N$100</c:f>
              <c:numCache>
                <c:ptCount val="12"/>
                <c:pt idx="0">
                  <c:v>3414952</c:v>
                </c:pt>
                <c:pt idx="1">
                  <c:v>3436189</c:v>
                </c:pt>
                <c:pt idx="2">
                  <c:v>3813323</c:v>
                </c:pt>
                <c:pt idx="3">
                  <c:v>4732159.65</c:v>
                </c:pt>
                <c:pt idx="4">
                  <c:v>4732159.65</c:v>
                </c:pt>
                <c:pt idx="5">
                  <c:v>4732159.65</c:v>
                </c:pt>
                <c:pt idx="6">
                  <c:v>4732159.65</c:v>
                </c:pt>
                <c:pt idx="7">
                  <c:v>4732159.65</c:v>
                </c:pt>
                <c:pt idx="8">
                  <c:v>4732159.65</c:v>
                </c:pt>
                <c:pt idx="9">
                  <c:v>4732159.65</c:v>
                </c:pt>
                <c:pt idx="10">
                  <c:v>4732159.65</c:v>
                </c:pt>
                <c:pt idx="11">
                  <c:v>4732159.65</c:v>
                </c:pt>
              </c:numCache>
            </c:numRef>
          </c:val>
          <c:smooth val="0"/>
        </c:ser>
        <c:marker val="1"/>
        <c:axId val="63919913"/>
        <c:axId val="38408306"/>
      </c:lineChart>
      <c:catAx>
        <c:axId val="639199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8408306"/>
        <c:crossesAt val="0"/>
        <c:auto val="1"/>
        <c:lblOffset val="100"/>
        <c:tickLblSkip val="1"/>
        <c:noMultiLvlLbl val="0"/>
      </c:catAx>
      <c:valAx>
        <c:axId val="384083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3919913"/>
        <c:crossesAt val="1"/>
        <c:crossBetween val="midCat"/>
        <c:dispUnits/>
      </c:valAx>
      <c:spPr>
        <a:solidFill>
          <a:srgbClr val="FFFFFF"/>
        </a:solidFill>
        <a:ln w="12700">
          <a:solidFill>
            <a:srgbClr val="808080"/>
          </a:solidFill>
        </a:ln>
      </c:spPr>
    </c:plotArea>
    <c:legend>
      <c:legendPos val="r"/>
      <c:layout>
        <c:manualLayout>
          <c:xMode val="edge"/>
          <c:yMode val="edge"/>
          <c:x val="0.00675"/>
          <c:y val="0.7"/>
          <c:w val="0.877"/>
          <c:h val="0.204"/>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535"/>
          <c:w val="0.874"/>
          <c:h val="0.84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ptCount val="12"/>
                <c:pt idx="0">
                  <c:v>30</c:v>
                </c:pt>
                <c:pt idx="1">
                  <c:v>171</c:v>
                </c:pt>
                <c:pt idx="2">
                  <c:v>100</c:v>
                </c:pt>
                <c:pt idx="3">
                  <c:v>56</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datos'!$H$121:$S$121</c:f>
              <c:numCache>
                <c:ptCount val="12"/>
                <c:pt idx="0">
                  <c:v>17</c:v>
                </c:pt>
                <c:pt idx="1">
                  <c:v>170</c:v>
                </c:pt>
                <c:pt idx="2">
                  <c:v>100</c:v>
                </c:pt>
                <c:pt idx="3">
                  <c:v>53</c:v>
                </c:pt>
              </c:numCache>
            </c:numRef>
          </c:val>
        </c:ser>
        <c:axId val="10130435"/>
        <c:axId val="24065052"/>
      </c:barChart>
      <c:catAx>
        <c:axId val="1013043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4065052"/>
        <c:crossesAt val="0"/>
        <c:auto val="1"/>
        <c:lblOffset val="100"/>
        <c:tickLblSkip val="1"/>
        <c:noMultiLvlLbl val="0"/>
      </c:catAx>
      <c:valAx>
        <c:axId val="24065052"/>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0130435"/>
        <c:crossesAt val="1"/>
        <c:crossBetween val="between"/>
        <c:dispUnits/>
      </c:valAx>
      <c:spPr>
        <a:noFill/>
        <a:ln>
          <a:noFill/>
        </a:ln>
      </c:spPr>
    </c:plotArea>
    <c:legend>
      <c:legendPos val="r"/>
      <c:layout>
        <c:manualLayout>
          <c:xMode val="edge"/>
          <c:yMode val="edge"/>
          <c:x val="0.1085"/>
          <c:y val="0.8805"/>
          <c:w val="0.55425"/>
          <c:h val="0.065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10</xdr:row>
      <xdr:rowOff>85725</xdr:rowOff>
    </xdr:from>
    <xdr:to>
      <xdr:col>6</xdr:col>
      <xdr:colOff>571500</xdr:colOff>
      <xdr:row>12</xdr:row>
      <xdr:rowOff>0</xdr:rowOff>
    </xdr:to>
    <xdr:sp>
      <xdr:nvSpPr>
        <xdr:cNvPr id="5" name="AutoShape 27">
          <a:hlinkClick r:id="rId3"/>
        </xdr:cNvPr>
        <xdr:cNvSpPr>
          <a:spLocks/>
        </xdr:cNvSpPr>
      </xdr:nvSpPr>
      <xdr:spPr>
        <a:xfrm>
          <a:off x="3429000"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95250</xdr:rowOff>
    </xdr:from>
    <xdr:to>
      <xdr:col>5</xdr:col>
      <xdr:colOff>419100</xdr:colOff>
      <xdr:row>11</xdr:row>
      <xdr:rowOff>66675</xdr:rowOff>
    </xdr:to>
    <xdr:sp>
      <xdr:nvSpPr>
        <xdr:cNvPr id="6" name="Freeform 28"/>
        <xdr:cNvSpPr>
          <a:spLocks/>
        </xdr:cNvSpPr>
      </xdr:nvSpPr>
      <xdr:spPr>
        <a:xfrm>
          <a:off x="3438525" y="2476500"/>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19050</xdr:rowOff>
    </xdr:from>
    <xdr:to>
      <xdr:col>6</xdr:col>
      <xdr:colOff>590550</xdr:colOff>
      <xdr:row>17</xdr:row>
      <xdr:rowOff>123825</xdr:rowOff>
    </xdr:to>
    <xdr:sp>
      <xdr:nvSpPr>
        <xdr:cNvPr id="8" name="AutoShape 27">
          <a:hlinkClick r:id="rId4"/>
        </xdr:cNvPr>
        <xdr:cNvSpPr>
          <a:spLocks/>
        </xdr:cNvSpPr>
      </xdr:nvSpPr>
      <xdr:spPr>
        <a:xfrm>
          <a:off x="3457575" y="3543300"/>
          <a:ext cx="1019175"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14</xdr:row>
      <xdr:rowOff>190500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47625</xdr:rowOff>
    </xdr:from>
    <xdr:to>
      <xdr:col>6</xdr:col>
      <xdr:colOff>571500</xdr:colOff>
      <xdr:row>14</xdr:row>
      <xdr:rowOff>152400</xdr:rowOff>
    </xdr:to>
    <xdr:sp>
      <xdr:nvSpPr>
        <xdr:cNvPr id="11" name="AutoShape 27">
          <a:hlinkClick r:id="rId5"/>
        </xdr:cNvPr>
        <xdr:cNvSpPr>
          <a:spLocks/>
        </xdr:cNvSpPr>
      </xdr:nvSpPr>
      <xdr:spPr>
        <a:xfrm>
          <a:off x="3438525" y="3000375"/>
          <a:ext cx="1019175"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5</xdr:row>
      <xdr:rowOff>0</xdr:rowOff>
    </xdr:from>
    <xdr:to>
      <xdr:col>7</xdr:col>
      <xdr:colOff>400050</xdr:colOff>
      <xdr:row>6</xdr:row>
      <xdr:rowOff>47625</xdr:rowOff>
    </xdr:to>
    <xdr:sp>
      <xdr:nvSpPr>
        <xdr:cNvPr id="13" name="Rectangle 803"/>
        <xdr:cNvSpPr>
          <a:spLocks/>
        </xdr:cNvSpPr>
      </xdr:nvSpPr>
      <xdr:spPr>
        <a:xfrm>
          <a:off x="2686050" y="1428750"/>
          <a:ext cx="23622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11</xdr:row>
      <xdr:rowOff>47625</xdr:rowOff>
    </xdr:from>
    <xdr:to>
      <xdr:col>11</xdr:col>
      <xdr:colOff>104775</xdr:colOff>
      <xdr:row>13</xdr:row>
      <xdr:rowOff>0</xdr:rowOff>
    </xdr:to>
    <xdr:sp>
      <xdr:nvSpPr>
        <xdr:cNvPr id="15" name="AutoShape 31">
          <a:hlinkClick r:id="rId6"/>
        </xdr:cNvPr>
        <xdr:cNvSpPr>
          <a:spLocks/>
        </xdr:cNvSpPr>
      </xdr:nvSpPr>
      <xdr:spPr>
        <a:xfrm>
          <a:off x="57435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104775</xdr:rowOff>
    </xdr:from>
    <xdr:to>
      <xdr:col>11</xdr:col>
      <xdr:colOff>85725</xdr:colOff>
      <xdr:row>16</xdr:row>
      <xdr:rowOff>57150</xdr:rowOff>
    </xdr:to>
    <xdr:sp>
      <xdr:nvSpPr>
        <xdr:cNvPr id="20" name="AutoShape 31">
          <a:hlinkClick r:id="rId7"/>
        </xdr:cNvPr>
        <xdr:cNvSpPr>
          <a:spLocks/>
        </xdr:cNvSpPr>
      </xdr:nvSpPr>
      <xdr:spPr>
        <a:xfrm>
          <a:off x="5724525" y="324802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171450</xdr:rowOff>
    </xdr:from>
    <xdr:to>
      <xdr:col>3</xdr:col>
      <xdr:colOff>457200</xdr:colOff>
      <xdr:row>17</xdr:row>
      <xdr:rowOff>180975</xdr:rowOff>
    </xdr:to>
    <xdr:sp>
      <xdr:nvSpPr>
        <xdr:cNvPr id="23" name="AutoShape 31">
          <a:hlinkClick r:id="rId8"/>
        </xdr:cNvPr>
        <xdr:cNvSpPr>
          <a:spLocks/>
        </xdr:cNvSpPr>
      </xdr:nvSpPr>
      <xdr:spPr>
        <a:xfrm>
          <a:off x="628650" y="3505200"/>
          <a:ext cx="1428750" cy="3905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466725</xdr:colOff>
      <xdr:row>11</xdr:row>
      <xdr:rowOff>180975</xdr:rowOff>
    </xdr:to>
    <xdr:sp>
      <xdr:nvSpPr>
        <xdr:cNvPr id="26" name="AutoShape 31">
          <a:hlinkClick r:id="rId9"/>
        </xdr:cNvPr>
        <xdr:cNvSpPr>
          <a:spLocks/>
        </xdr:cNvSpPr>
      </xdr:nvSpPr>
      <xdr:spPr>
        <a:xfrm>
          <a:off x="628650" y="2447925"/>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142875</xdr:rowOff>
    </xdr:to>
    <xdr:sp>
      <xdr:nvSpPr>
        <xdr:cNvPr id="29" name="AutoShape 31">
          <a:hlinkClick r:id="rId10"/>
        </xdr:cNvPr>
        <xdr:cNvSpPr>
          <a:spLocks/>
        </xdr:cNvSpPr>
      </xdr:nvSpPr>
      <xdr:spPr>
        <a:xfrm>
          <a:off x="628650" y="2981325"/>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104775</xdr:rowOff>
    </xdr:from>
    <xdr:to>
      <xdr:col>4</xdr:col>
      <xdr:colOff>57150</xdr:colOff>
      <xdr:row>10</xdr:row>
      <xdr:rowOff>0</xdr:rowOff>
    </xdr:to>
    <xdr:sp fLocksText="0">
      <xdr:nvSpPr>
        <xdr:cNvPr id="32" name="Text Box 2013"/>
        <xdr:cNvSpPr txBox="1">
          <a:spLocks noChangeArrowheads="1"/>
        </xdr:cNvSpPr>
      </xdr:nvSpPr>
      <xdr:spPr>
        <a:xfrm>
          <a:off x="400050" y="1914525"/>
          <a:ext cx="201930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590550</xdr:colOff>
      <xdr:row>7</xdr:row>
      <xdr:rowOff>95250</xdr:rowOff>
    </xdr:from>
    <xdr:to>
      <xdr:col>7</xdr:col>
      <xdr:colOff>295275</xdr:colOff>
      <xdr:row>9</xdr:row>
      <xdr:rowOff>104775</xdr:rowOff>
    </xdr:to>
    <xdr:sp fLocksText="0">
      <xdr:nvSpPr>
        <xdr:cNvPr id="34"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57150</xdr:colOff>
      <xdr:row>7</xdr:row>
      <xdr:rowOff>95250</xdr:rowOff>
    </xdr:from>
    <xdr:to>
      <xdr:col>11</xdr:col>
      <xdr:colOff>342900</xdr:colOff>
      <xdr:row>9</xdr:row>
      <xdr:rowOff>104775</xdr:rowOff>
    </xdr:to>
    <xdr:sp fLocksText="0">
      <xdr:nvSpPr>
        <xdr:cNvPr id="36" name="Text Box 2019"/>
        <xdr:cNvSpPr txBox="1">
          <a:spLocks noChangeArrowheads="1"/>
        </xdr:cNvSpPr>
      </xdr:nvSpPr>
      <xdr:spPr>
        <a:xfrm>
          <a:off x="5467350" y="1905000"/>
          <a:ext cx="1924050" cy="390525"/>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1</xdr:row>
      <xdr:rowOff>9525</xdr:rowOff>
    </xdr:to>
    <xdr:sp>
      <xdr:nvSpPr>
        <xdr:cNvPr id="1" name="AutoShape 50">
          <a:hlinkClick r:id="rId1"/>
        </xdr:cNvPr>
        <xdr:cNvSpPr>
          <a:spLocks/>
        </xdr:cNvSpPr>
      </xdr:nvSpPr>
      <xdr:spPr>
        <a:xfrm>
          <a:off x="28575" y="28575"/>
          <a:ext cx="1285875" cy="41910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904875</xdr:colOff>
      <xdr:row>0</xdr:row>
      <xdr:rowOff>333375</xdr:rowOff>
    </xdr:to>
    <xdr:sp>
      <xdr:nvSpPr>
        <xdr:cNvPr id="1" name="AutoShape 50">
          <a:hlinkClick r:id="rId1"/>
        </xdr:cNvPr>
        <xdr:cNvSpPr>
          <a:spLocks/>
        </xdr:cNvSpPr>
      </xdr:nvSpPr>
      <xdr:spPr>
        <a:xfrm>
          <a:off x="180975" y="0"/>
          <a:ext cx="9048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3143250</xdr:colOff>
      <xdr:row>47</xdr:row>
      <xdr:rowOff>38100</xdr:rowOff>
    </xdr:from>
    <xdr:to>
      <xdr:col>6</xdr:col>
      <xdr:colOff>752475</xdr:colOff>
      <xdr:row>48</xdr:row>
      <xdr:rowOff>47625</xdr:rowOff>
    </xdr:to>
    <xdr:grpSp>
      <xdr:nvGrpSpPr>
        <xdr:cNvPr id="2" name="Group 18"/>
        <xdr:cNvGrpSpPr>
          <a:grpSpLocks/>
        </xdr:cNvGrpSpPr>
      </xdr:nvGrpSpPr>
      <xdr:grpSpPr>
        <a:xfrm>
          <a:off x="8572500" y="8601075"/>
          <a:ext cx="8667750" cy="200025"/>
          <a:chOff x="17999" y="13664"/>
          <a:chExt cx="14144" cy="314"/>
        </a:xfrm>
        <a:solidFill>
          <a:srgbClr val="FFFFFF"/>
        </a:solidFill>
      </xdr:grpSpPr>
      <xdr:sp>
        <xdr:nvSpPr>
          <xdr:cNvPr id="3" name="AutoShape 100"/>
          <xdr:cNvSpPr>
            <a:spLocks/>
          </xdr:cNvSpPr>
        </xdr:nvSpPr>
        <xdr:spPr>
          <a:xfrm>
            <a:off x="18038" y="13953"/>
            <a:ext cx="14098"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Straight Connector 16"/>
          <xdr:cNvSpPr>
            <a:spLocks/>
          </xdr:cNvSpPr>
        </xdr:nvSpPr>
        <xdr:spPr>
          <a:xfrm flipV="1">
            <a:off x="17999" y="13664"/>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5" name="Straight Connector 17"/>
          <xdr:cNvSpPr>
            <a:spLocks/>
          </xdr:cNvSpPr>
        </xdr:nvSpPr>
        <xdr:spPr>
          <a:xfrm flipV="1">
            <a:off x="32143" y="13691"/>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1009650</xdr:colOff>
      <xdr:row>34</xdr:row>
      <xdr:rowOff>57150</xdr:rowOff>
    </xdr:from>
    <xdr:to>
      <xdr:col>3</xdr:col>
      <xdr:colOff>1009650</xdr:colOff>
      <xdr:row>35</xdr:row>
      <xdr:rowOff>123825</xdr:rowOff>
    </xdr:to>
    <xdr:sp>
      <xdr:nvSpPr>
        <xdr:cNvPr id="6" name="Straight Connector 16"/>
        <xdr:cNvSpPr>
          <a:spLocks/>
        </xdr:cNvSpPr>
      </xdr:nvSpPr>
      <xdr:spPr>
        <a:xfrm flipV="1">
          <a:off x="10125075" y="5924550"/>
          <a:ext cx="0" cy="25717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1019175</xdr:colOff>
      <xdr:row>35</xdr:row>
      <xdr:rowOff>123825</xdr:rowOff>
    </xdr:from>
    <xdr:to>
      <xdr:col>7</xdr:col>
      <xdr:colOff>333375</xdr:colOff>
      <xdr:row>45</xdr:row>
      <xdr:rowOff>57150</xdr:rowOff>
    </xdr:to>
    <xdr:grpSp>
      <xdr:nvGrpSpPr>
        <xdr:cNvPr id="7" name="Group 1369"/>
        <xdr:cNvGrpSpPr>
          <a:grpSpLocks/>
        </xdr:cNvGrpSpPr>
      </xdr:nvGrpSpPr>
      <xdr:grpSpPr>
        <a:xfrm>
          <a:off x="10134600" y="6181725"/>
          <a:ext cx="9563100" cy="2057400"/>
          <a:chOff x="21279" y="9809"/>
          <a:chExt cx="13766" cy="3261"/>
        </a:xfrm>
        <a:solidFill>
          <a:srgbClr val="FFFFFF"/>
        </a:solidFill>
      </xdr:grpSpPr>
      <xdr:sp>
        <xdr:nvSpPr>
          <xdr:cNvPr id="8" name="AutoShape 100"/>
          <xdr:cNvSpPr>
            <a:spLocks/>
          </xdr:cNvSpPr>
        </xdr:nvSpPr>
        <xdr:spPr>
          <a:xfrm>
            <a:off x="21279" y="9809"/>
            <a:ext cx="13766" cy="1"/>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Line 1368"/>
          <xdr:cNvSpPr>
            <a:spLocks/>
          </xdr:cNvSpPr>
        </xdr:nvSpPr>
        <xdr:spPr>
          <a:xfrm>
            <a:off x="35045" y="9826"/>
            <a:ext cx="0" cy="324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1009650</xdr:colOff>
      <xdr:row>1</xdr:row>
      <xdr:rowOff>104775</xdr:rowOff>
    </xdr:to>
    <xdr:sp>
      <xdr:nvSpPr>
        <xdr:cNvPr id="2" name="AutoShape 50">
          <a:hlinkClick r:id="rId2"/>
        </xdr:cNvPr>
        <xdr:cNvSpPr>
          <a:spLocks/>
        </xdr:cNvSpPr>
      </xdr:nvSpPr>
      <xdr:spPr>
        <a:xfrm>
          <a:off x="85725" y="3810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10</xdr:row>
      <xdr:rowOff>0</xdr:rowOff>
    </xdr:from>
    <xdr:to>
      <xdr:col>6</xdr:col>
      <xdr:colOff>133350</xdr:colOff>
      <xdr:row>20</xdr:row>
      <xdr:rowOff>285750</xdr:rowOff>
    </xdr:to>
    <xdr:graphicFrame>
      <xdr:nvGraphicFramePr>
        <xdr:cNvPr id="1" name="Gráfico 1"/>
        <xdr:cNvGraphicFramePr/>
      </xdr:nvGraphicFramePr>
      <xdr:xfrm>
        <a:off x="371475" y="2695575"/>
        <a:ext cx="4552950" cy="21907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9</xdr:row>
      <xdr:rowOff>104775</xdr:rowOff>
    </xdr:from>
    <xdr:to>
      <xdr:col>13</xdr:col>
      <xdr:colOff>209550</xdr:colOff>
      <xdr:row>21</xdr:row>
      <xdr:rowOff>76200</xdr:rowOff>
    </xdr:to>
    <xdr:graphicFrame>
      <xdr:nvGraphicFramePr>
        <xdr:cNvPr id="2" name="Gráfico 2"/>
        <xdr:cNvGraphicFramePr/>
      </xdr:nvGraphicFramePr>
      <xdr:xfrm>
        <a:off x="5191125" y="2609850"/>
        <a:ext cx="4181475" cy="2371725"/>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27</xdr:row>
      <xdr:rowOff>152400</xdr:rowOff>
    </xdr:from>
    <xdr:to>
      <xdr:col>7</xdr:col>
      <xdr:colOff>123825</xdr:colOff>
      <xdr:row>37</xdr:row>
      <xdr:rowOff>114300</xdr:rowOff>
    </xdr:to>
    <xdr:graphicFrame>
      <xdr:nvGraphicFramePr>
        <xdr:cNvPr id="3" name="Gráfico 3"/>
        <xdr:cNvGraphicFramePr/>
      </xdr:nvGraphicFramePr>
      <xdr:xfrm>
        <a:off x="514350" y="718185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542925</xdr:rowOff>
    </xdr:from>
    <xdr:to>
      <xdr:col>12</xdr:col>
      <xdr:colOff>57150</xdr:colOff>
      <xdr:row>14</xdr:row>
      <xdr:rowOff>95250</xdr:rowOff>
    </xdr:to>
    <xdr:graphicFrame>
      <xdr:nvGraphicFramePr>
        <xdr:cNvPr id="1" name="Gráfico 1"/>
        <xdr:cNvGraphicFramePr/>
      </xdr:nvGraphicFramePr>
      <xdr:xfrm>
        <a:off x="5715000" y="2305050"/>
        <a:ext cx="6134100" cy="137160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17</xdr:row>
      <xdr:rowOff>0</xdr:rowOff>
    </xdr:from>
    <xdr:to>
      <xdr:col>6</xdr:col>
      <xdr:colOff>28575</xdr:colOff>
      <xdr:row>26</xdr:row>
      <xdr:rowOff>28575</xdr:rowOff>
    </xdr:to>
    <xdr:graphicFrame>
      <xdr:nvGraphicFramePr>
        <xdr:cNvPr id="2" name="Gráfico 2"/>
        <xdr:cNvGraphicFramePr/>
      </xdr:nvGraphicFramePr>
      <xdr:xfrm>
        <a:off x="314325" y="431482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8</xdr:row>
      <xdr:rowOff>114300</xdr:rowOff>
    </xdr:from>
    <xdr:to>
      <xdr:col>6</xdr:col>
      <xdr:colOff>123825</xdr:colOff>
      <xdr:row>14</xdr:row>
      <xdr:rowOff>342900</xdr:rowOff>
    </xdr:to>
    <xdr:graphicFrame>
      <xdr:nvGraphicFramePr>
        <xdr:cNvPr id="3" name="Gráfico 3"/>
        <xdr:cNvGraphicFramePr/>
      </xdr:nvGraphicFramePr>
      <xdr:xfrm>
        <a:off x="19050" y="2552700"/>
        <a:ext cx="4533900" cy="1371600"/>
      </xdr:xfrm>
      <a:graphic>
        <a:graphicData uri="http://schemas.openxmlformats.org/drawingml/2006/chart">
          <c:chart xmlns:c="http://schemas.openxmlformats.org/drawingml/2006/chart" r:id="rId3"/>
        </a:graphicData>
      </a:graphic>
    </xdr:graphicFrame>
    <xdr:clientData/>
  </xdr:twoCellAnchor>
  <xdr:twoCellAnchor>
    <xdr:from>
      <xdr:col>6</xdr:col>
      <xdr:colOff>914400</xdr:colOff>
      <xdr:row>16</xdr:row>
      <xdr:rowOff>114300</xdr:rowOff>
    </xdr:from>
    <xdr:to>
      <xdr:col>13</xdr:col>
      <xdr:colOff>9525</xdr:colOff>
      <xdr:row>25</xdr:row>
      <xdr:rowOff>152400</xdr:rowOff>
    </xdr:to>
    <xdr:graphicFrame>
      <xdr:nvGraphicFramePr>
        <xdr:cNvPr id="4" name="Gráfico 4"/>
        <xdr:cNvGraphicFramePr/>
      </xdr:nvGraphicFramePr>
      <xdr:xfrm>
        <a:off x="5343525" y="4238625"/>
        <a:ext cx="7067550"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123825</xdr:colOff>
      <xdr:row>33</xdr:row>
      <xdr:rowOff>238125</xdr:rowOff>
    </xdr:to>
    <xdr:graphicFrame>
      <xdr:nvGraphicFramePr>
        <xdr:cNvPr id="5" name="Gráfico 5"/>
        <xdr:cNvGraphicFramePr/>
      </xdr:nvGraphicFramePr>
      <xdr:xfrm>
        <a:off x="209550" y="6905625"/>
        <a:ext cx="4343400" cy="2466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Gráfico 1"/>
        <xdr:cNvGraphicFramePr/>
      </xdr:nvGraphicFramePr>
      <xdr:xfrm>
        <a:off x="4543425" y="3181350"/>
        <a:ext cx="3248025" cy="1838325"/>
      </xdr:xfrm>
      <a:graphic>
        <a:graphicData uri="http://schemas.openxmlformats.org/drawingml/2006/chart">
          <c:chart xmlns:c="http://schemas.openxmlformats.org/drawingml/2006/chart" r:id="rId1"/>
        </a:graphicData>
      </a:graphic>
    </xdr:graphicFrame>
    <xdr:clientData/>
  </xdr:twoCellAnchor>
  <xdr:twoCellAnchor>
    <xdr:from>
      <xdr:col>11</xdr:col>
      <xdr:colOff>161925</xdr:colOff>
      <xdr:row>9</xdr:row>
      <xdr:rowOff>57150</xdr:rowOff>
    </xdr:from>
    <xdr:to>
      <xdr:col>16</xdr:col>
      <xdr:colOff>733425</xdr:colOff>
      <xdr:row>16</xdr:row>
      <xdr:rowOff>209550</xdr:rowOff>
    </xdr:to>
    <xdr:graphicFrame>
      <xdr:nvGraphicFramePr>
        <xdr:cNvPr id="2" name="Gráfico 2"/>
        <xdr:cNvGraphicFramePr/>
      </xdr:nvGraphicFramePr>
      <xdr:xfrm>
        <a:off x="7905750" y="3190875"/>
        <a:ext cx="5343525"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923925</xdr:colOff>
      <xdr:row>1</xdr:row>
      <xdr:rowOff>19050</xdr:rowOff>
    </xdr:to>
    <xdr:sp>
      <xdr:nvSpPr>
        <xdr:cNvPr id="3" name="AutoShape 50">
          <a:hlinkClick r:id="rId3"/>
        </xdr:cNvPr>
        <xdr:cNvSpPr>
          <a:spLocks/>
        </xdr:cNvSpPr>
      </xdr:nvSpPr>
      <xdr:spPr>
        <a:xfrm>
          <a:off x="28575" y="1905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190500</xdr:colOff>
      <xdr:row>9</xdr:row>
      <xdr:rowOff>38100</xdr:rowOff>
    </xdr:from>
    <xdr:to>
      <xdr:col>4</xdr:col>
      <xdr:colOff>381000</xdr:colOff>
      <xdr:row>16</xdr:row>
      <xdr:rowOff>209550</xdr:rowOff>
    </xdr:to>
    <xdr:graphicFrame>
      <xdr:nvGraphicFramePr>
        <xdr:cNvPr id="4" name="Gráfico 4"/>
        <xdr:cNvGraphicFramePr/>
      </xdr:nvGraphicFramePr>
      <xdr:xfrm>
        <a:off x="219075" y="3171825"/>
        <a:ext cx="3609975"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904875</xdr:colOff>
      <xdr:row>0</xdr:row>
      <xdr:rowOff>381000</xdr:rowOff>
    </xdr:to>
    <xdr:sp>
      <xdr:nvSpPr>
        <xdr:cNvPr id="1" name="AutoShape 50">
          <a:hlinkClick r:id="rId1"/>
        </xdr:cNvPr>
        <xdr:cNvSpPr>
          <a:spLocks/>
        </xdr:cNvSpPr>
      </xdr:nvSpPr>
      <xdr:spPr>
        <a:xfrm>
          <a:off x="47625" y="476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685800</xdr:colOff>
      <xdr:row>0</xdr:row>
      <xdr:rowOff>361950</xdr:rowOff>
    </xdr:to>
    <xdr:sp>
      <xdr:nvSpPr>
        <xdr:cNvPr id="1" name="AutoShape 50">
          <a:hlinkClick r:id="rId1"/>
        </xdr:cNvPr>
        <xdr:cNvSpPr>
          <a:spLocks/>
        </xdr:cNvSpPr>
      </xdr:nvSpPr>
      <xdr:spPr>
        <a:xfrm>
          <a:off x="28575" y="28575"/>
          <a:ext cx="22479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fuentes\AppData\Local\Microsoft\Windows\Temporary%20Internet%20Files\OLKA46A\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PageLayoutView="0" workbookViewId="0" topLeftCell="A1">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70" t="s">
        <v>0</v>
      </c>
      <c r="C2" s="470"/>
      <c r="D2" s="470"/>
      <c r="E2" s="470"/>
      <c r="F2" s="470"/>
      <c r="G2" s="470"/>
      <c r="H2" s="470"/>
      <c r="I2" s="470"/>
      <c r="J2" s="470"/>
      <c r="K2" s="470"/>
      <c r="L2" s="470"/>
      <c r="M2" s="1"/>
      <c r="N2" s="1"/>
      <c r="O2" s="1"/>
    </row>
    <row r="4" spans="2:12" ht="21">
      <c r="B4" s="471" t="s">
        <v>1</v>
      </c>
      <c r="C4" s="471"/>
      <c r="D4" s="471"/>
      <c r="E4" s="471"/>
      <c r="F4" s="2"/>
      <c r="G4" s="2"/>
      <c r="H4" s="3" t="s">
        <v>2</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r:id="rId2"/>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M18" sqref="M18"/>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665" t="str">
        <f>'Información de la subvención'!B3:J3</f>
        <v>Tablero de mando:  El Salvador - VIH / SIDA</v>
      </c>
      <c r="C3" s="665"/>
      <c r="D3" s="665"/>
      <c r="E3" s="665"/>
      <c r="F3" s="665"/>
      <c r="G3" s="665"/>
      <c r="H3" s="665"/>
      <c r="I3" s="292"/>
    </row>
    <row r="6" spans="2:8" ht="18.75">
      <c r="B6" s="666" t="s">
        <v>282</v>
      </c>
      <c r="C6" s="666"/>
      <c r="D6" s="666"/>
      <c r="E6" s="666"/>
      <c r="F6" s="666"/>
      <c r="G6" s="666"/>
      <c r="H6" s="666"/>
    </row>
    <row r="8" spans="2:15" ht="18.75">
      <c r="B8" s="451" t="s">
        <v>283</v>
      </c>
      <c r="C8" s="451" t="s">
        <v>284</v>
      </c>
      <c r="D8" s="451" t="s">
        <v>285</v>
      </c>
      <c r="E8" s="451" t="s">
        <v>286</v>
      </c>
      <c r="F8" s="451" t="s">
        <v>287</v>
      </c>
      <c r="G8" s="451" t="s">
        <v>288</v>
      </c>
      <c r="H8" s="451" t="s">
        <v>289</v>
      </c>
      <c r="I8" s="452" t="s">
        <v>290</v>
      </c>
      <c r="J8" s="452" t="s">
        <v>291</v>
      </c>
      <c r="M8" s="10"/>
      <c r="N8" s="10"/>
      <c r="O8" s="10"/>
    </row>
    <row r="9" spans="2:15" ht="15">
      <c r="B9" s="453" t="s">
        <v>292</v>
      </c>
      <c r="C9" s="453" t="s">
        <v>292</v>
      </c>
      <c r="D9" s="453" t="s">
        <v>292</v>
      </c>
      <c r="E9" s="453" t="s">
        <v>292</v>
      </c>
      <c r="F9" s="453" t="s">
        <v>292</v>
      </c>
      <c r="G9" s="453" t="s">
        <v>292</v>
      </c>
      <c r="H9" s="453" t="s">
        <v>292</v>
      </c>
      <c r="I9" s="454" t="s">
        <v>292</v>
      </c>
      <c r="J9" s="453" t="s">
        <v>292</v>
      </c>
      <c r="M9" s="10"/>
      <c r="N9" s="10"/>
      <c r="O9" s="10"/>
    </row>
    <row r="10" spans="2:15" ht="15">
      <c r="B10" s="455" t="s">
        <v>54</v>
      </c>
      <c r="C10" s="455" t="s">
        <v>85</v>
      </c>
      <c r="D10" s="455" t="s">
        <v>293</v>
      </c>
      <c r="E10" s="455" t="s">
        <v>61</v>
      </c>
      <c r="F10" s="455" t="s">
        <v>89</v>
      </c>
      <c r="G10" s="456" t="s">
        <v>294</v>
      </c>
      <c r="H10" s="457" t="s">
        <v>295</v>
      </c>
      <c r="I10" s="458" t="s">
        <v>296</v>
      </c>
      <c r="J10" s="453" t="s">
        <v>297</v>
      </c>
      <c r="M10" s="10"/>
      <c r="N10" s="10"/>
      <c r="O10" s="10"/>
    </row>
    <row r="11" spans="2:15" ht="15">
      <c r="B11" s="455" t="s">
        <v>298</v>
      </c>
      <c r="C11" s="455" t="s">
        <v>299</v>
      </c>
      <c r="D11" s="455" t="s">
        <v>300</v>
      </c>
      <c r="E11" s="455" t="s">
        <v>301</v>
      </c>
      <c r="F11" s="455" t="s">
        <v>90</v>
      </c>
      <c r="G11" s="456" t="s">
        <v>302</v>
      </c>
      <c r="H11" s="457" t="s">
        <v>303</v>
      </c>
      <c r="I11" s="458" t="s">
        <v>304</v>
      </c>
      <c r="J11" s="453" t="s">
        <v>305</v>
      </c>
      <c r="M11" s="10"/>
      <c r="N11" s="10"/>
      <c r="O11" s="10"/>
    </row>
    <row r="12" spans="2:15" ht="15">
      <c r="B12" s="455" t="s">
        <v>306</v>
      </c>
      <c r="D12" s="455" t="s">
        <v>307</v>
      </c>
      <c r="E12" s="455" t="s">
        <v>308</v>
      </c>
      <c r="F12" s="455" t="s">
        <v>72</v>
      </c>
      <c r="G12" s="456" t="s">
        <v>309</v>
      </c>
      <c r="H12" s="457" t="s">
        <v>310</v>
      </c>
      <c r="I12" s="458" t="s">
        <v>311</v>
      </c>
      <c r="J12" s="453" t="s">
        <v>312</v>
      </c>
      <c r="M12" s="459"/>
      <c r="N12" s="10"/>
      <c r="O12" s="10"/>
    </row>
    <row r="13" spans="2:15" ht="15">
      <c r="B13" s="455" t="s">
        <v>313</v>
      </c>
      <c r="D13" s="455" t="s">
        <v>314</v>
      </c>
      <c r="E13" s="460"/>
      <c r="F13" s="455" t="s">
        <v>91</v>
      </c>
      <c r="G13" s="456" t="s">
        <v>67</v>
      </c>
      <c r="H13" s="457" t="s">
        <v>315</v>
      </c>
      <c r="I13" s="458" t="s">
        <v>316</v>
      </c>
      <c r="J13" s="453" t="s">
        <v>317</v>
      </c>
      <c r="M13" s="459"/>
      <c r="N13" s="10"/>
      <c r="O13" s="10"/>
    </row>
    <row r="14" spans="2:15" ht="15">
      <c r="B14" s="455" t="s">
        <v>318</v>
      </c>
      <c r="D14" s="455" t="s">
        <v>319</v>
      </c>
      <c r="F14" s="455" t="s">
        <v>92</v>
      </c>
      <c r="G14" s="456" t="s">
        <v>320</v>
      </c>
      <c r="H14" s="457" t="s">
        <v>321</v>
      </c>
      <c r="I14" s="458" t="s">
        <v>322</v>
      </c>
      <c r="J14" s="453" t="s">
        <v>323</v>
      </c>
      <c r="M14" s="459"/>
      <c r="N14" s="10"/>
      <c r="O14" s="10"/>
    </row>
    <row r="15" spans="4:15" ht="15">
      <c r="D15" s="455" t="s">
        <v>324</v>
      </c>
      <c r="F15" s="455" t="s">
        <v>93</v>
      </c>
      <c r="H15" s="457" t="s">
        <v>325</v>
      </c>
      <c r="I15" s="458" t="s">
        <v>326</v>
      </c>
      <c r="J15" s="453" t="s">
        <v>327</v>
      </c>
      <c r="M15" s="459"/>
      <c r="N15" s="10"/>
      <c r="O15" s="10"/>
    </row>
    <row r="16" spans="4:15" ht="15">
      <c r="D16" s="455" t="s">
        <v>328</v>
      </c>
      <c r="F16" s="455" t="s">
        <v>94</v>
      </c>
      <c r="H16" s="457" t="s">
        <v>329</v>
      </c>
      <c r="I16" s="458" t="s">
        <v>330</v>
      </c>
      <c r="J16" s="453" t="s">
        <v>331</v>
      </c>
      <c r="M16" s="459"/>
      <c r="N16" s="10"/>
      <c r="O16" s="10"/>
    </row>
    <row r="17" spans="4:15" ht="15">
      <c r="D17" s="455" t="s">
        <v>332</v>
      </c>
      <c r="F17" s="455" t="s">
        <v>95</v>
      </c>
      <c r="H17" s="457" t="s">
        <v>333</v>
      </c>
      <c r="I17" s="458" t="s">
        <v>334</v>
      </c>
      <c r="J17" s="453" t="s">
        <v>335</v>
      </c>
      <c r="M17" s="459"/>
      <c r="N17" s="10"/>
      <c r="O17" s="10"/>
    </row>
    <row r="18" spans="4:15" ht="15">
      <c r="D18" s="455" t="s">
        <v>336</v>
      </c>
      <c r="F18" s="455" t="s">
        <v>96</v>
      </c>
      <c r="H18" s="457" t="s">
        <v>337</v>
      </c>
      <c r="I18" s="458" t="s">
        <v>338</v>
      </c>
      <c r="J18" s="453" t="s">
        <v>339</v>
      </c>
      <c r="M18" s="459"/>
      <c r="N18" s="10"/>
      <c r="O18" s="10"/>
    </row>
    <row r="19" spans="4:15" ht="15">
      <c r="D19" s="455" t="s">
        <v>340</v>
      </c>
      <c r="F19" s="455" t="s">
        <v>97</v>
      </c>
      <c r="H19" s="457" t="s">
        <v>341</v>
      </c>
      <c r="I19" s="458" t="s">
        <v>342</v>
      </c>
      <c r="J19" s="453" t="s">
        <v>343</v>
      </c>
      <c r="M19" s="459"/>
      <c r="N19" s="10"/>
      <c r="O19" s="10"/>
    </row>
    <row r="20" spans="4:15" ht="15">
      <c r="D20" s="461"/>
      <c r="F20" s="455" t="s">
        <v>98</v>
      </c>
      <c r="H20" s="457" t="s">
        <v>65</v>
      </c>
      <c r="I20" s="458" t="s">
        <v>344</v>
      </c>
      <c r="J20" s="453" t="s">
        <v>345</v>
      </c>
      <c r="M20" s="10"/>
      <c r="N20" s="10"/>
      <c r="O20" s="10"/>
    </row>
    <row r="21" spans="4:15" ht="15">
      <c r="D21" s="462"/>
      <c r="F21" s="455" t="s">
        <v>99</v>
      </c>
      <c r="H21" s="462"/>
      <c r="I21" s="458" t="s">
        <v>346</v>
      </c>
      <c r="J21" s="453" t="s">
        <v>347</v>
      </c>
      <c r="M21" s="10"/>
      <c r="N21" s="10"/>
      <c r="O21" s="10"/>
    </row>
    <row r="22" spans="8:15" ht="15">
      <c r="H22" s="462"/>
      <c r="I22" s="458" t="s">
        <v>348</v>
      </c>
      <c r="J22" s="453" t="s">
        <v>349</v>
      </c>
      <c r="M22" s="10"/>
      <c r="N22" s="10"/>
      <c r="O22" s="10"/>
    </row>
    <row r="23" spans="9:15" ht="15">
      <c r="I23" s="458" t="s">
        <v>350</v>
      </c>
      <c r="J23" s="453" t="s">
        <v>351</v>
      </c>
      <c r="M23" s="10"/>
      <c r="N23" s="10"/>
      <c r="O23" s="10"/>
    </row>
    <row r="24" spans="9:15" ht="15">
      <c r="I24" s="458" t="s">
        <v>352</v>
      </c>
      <c r="J24" s="453" t="s">
        <v>353</v>
      </c>
      <c r="M24" s="10"/>
      <c r="N24" s="10"/>
      <c r="O24" s="10"/>
    </row>
    <row r="25" spans="9:10" ht="15">
      <c r="I25" s="463"/>
      <c r="J25" s="453" t="s">
        <v>354</v>
      </c>
    </row>
    <row r="26" spans="9:10" ht="15">
      <c r="I26" s="458" t="s">
        <v>355</v>
      </c>
      <c r="J26" s="453" t="s">
        <v>356</v>
      </c>
    </row>
    <row r="27" spans="9:10" ht="15">
      <c r="I27" s="458" t="s">
        <v>357</v>
      </c>
      <c r="J27" s="453" t="s">
        <v>48</v>
      </c>
    </row>
    <row r="28" spans="9:10" ht="15">
      <c r="I28" s="463" t="s">
        <v>358</v>
      </c>
      <c r="J28" s="453" t="s">
        <v>359</v>
      </c>
    </row>
    <row r="29" spans="9:10" ht="15">
      <c r="I29" s="463" t="s">
        <v>360</v>
      </c>
      <c r="J29" s="453" t="s">
        <v>361</v>
      </c>
    </row>
    <row r="30" spans="9:10" ht="15">
      <c r="I30" s="463" t="s">
        <v>362</v>
      </c>
      <c r="J30" s="453" t="s">
        <v>363</v>
      </c>
    </row>
    <row r="31" ht="15">
      <c r="J31" s="453" t="s">
        <v>364</v>
      </c>
    </row>
    <row r="32" ht="15">
      <c r="J32" s="453" t="s">
        <v>365</v>
      </c>
    </row>
    <row r="33" ht="15">
      <c r="J33" s="453" t="s">
        <v>366</v>
      </c>
    </row>
    <row r="34" ht="15">
      <c r="J34" s="453" t="s">
        <v>367</v>
      </c>
    </row>
    <row r="35" ht="15">
      <c r="J35" s="453" t="s">
        <v>368</v>
      </c>
    </row>
    <row r="36" ht="15">
      <c r="J36" s="453" t="s">
        <v>369</v>
      </c>
    </row>
    <row r="37" ht="15">
      <c r="J37" s="453" t="s">
        <v>370</v>
      </c>
    </row>
    <row r="38" ht="15">
      <c r="J38" s="453" t="s">
        <v>371</v>
      </c>
    </row>
    <row r="39" ht="15">
      <c r="J39" s="453" t="s">
        <v>372</v>
      </c>
    </row>
    <row r="40" ht="15">
      <c r="J40" s="453" t="s">
        <v>373</v>
      </c>
    </row>
    <row r="41" ht="15">
      <c r="J41" s="453" t="s">
        <v>374</v>
      </c>
    </row>
    <row r="42" ht="15">
      <c r="J42" s="453" t="s">
        <v>375</v>
      </c>
    </row>
    <row r="43" ht="15">
      <c r="J43" s="453" t="s">
        <v>376</v>
      </c>
    </row>
    <row r="44" ht="15">
      <c r="J44" s="453" t="s">
        <v>377</v>
      </c>
    </row>
    <row r="45" ht="15">
      <c r="J45" s="453" t="s">
        <v>378</v>
      </c>
    </row>
    <row r="46" ht="15">
      <c r="J46" s="453" t="s">
        <v>379</v>
      </c>
    </row>
    <row r="47" ht="15">
      <c r="J47" s="453" t="s">
        <v>380</v>
      </c>
    </row>
    <row r="48" ht="15">
      <c r="J48" s="453" t="s">
        <v>381</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r:id="rId2"/>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72" t="s">
        <v>3</v>
      </c>
      <c r="C2" s="472"/>
      <c r="D2" s="472"/>
      <c r="E2" s="472"/>
      <c r="F2" s="472"/>
      <c r="G2" s="472"/>
      <c r="H2" s="472"/>
      <c r="I2" s="472"/>
      <c r="J2" s="472"/>
      <c r="K2" s="472"/>
      <c r="L2" s="472"/>
      <c r="M2" s="472"/>
    </row>
    <row r="3" spans="1:13" ht="15.75" customHeight="1">
      <c r="A3" s="6"/>
      <c r="B3" s="7"/>
      <c r="C3" s="7"/>
      <c r="D3" s="7"/>
      <c r="E3" s="7"/>
      <c r="F3" s="7"/>
      <c r="G3" s="7"/>
      <c r="H3" s="7"/>
      <c r="I3" s="7"/>
      <c r="J3" s="7"/>
      <c r="K3" s="8"/>
      <c r="L3" s="8"/>
      <c r="M3" s="6"/>
    </row>
    <row r="5" spans="2:15" ht="23.25">
      <c r="B5" s="473" t="s">
        <v>4</v>
      </c>
      <c r="C5" s="473"/>
      <c r="D5" s="473"/>
      <c r="E5" s="473"/>
      <c r="F5" s="473"/>
      <c r="G5" s="473"/>
      <c r="H5" s="473"/>
      <c r="I5" s="473"/>
      <c r="J5" s="473"/>
      <c r="K5" s="473"/>
      <c r="L5" s="473"/>
      <c r="M5" s="473"/>
      <c r="N5" s="473"/>
      <c r="O5" s="473"/>
    </row>
    <row r="7" spans="2:15" ht="21">
      <c r="B7" s="474" t="s">
        <v>5</v>
      </c>
      <c r="C7" s="474"/>
      <c r="D7" s="474"/>
      <c r="E7" s="474" t="s">
        <v>6</v>
      </c>
      <c r="F7" s="474"/>
      <c r="G7" s="474"/>
      <c r="H7" s="474"/>
      <c r="I7" s="474"/>
      <c r="J7" s="474" t="s">
        <v>7</v>
      </c>
      <c r="K7" s="474"/>
      <c r="L7" s="474"/>
      <c r="M7" s="474" t="s">
        <v>8</v>
      </c>
      <c r="N7" s="474"/>
      <c r="O7" s="474"/>
    </row>
    <row r="8" spans="2:15" ht="92.25" customHeight="1">
      <c r="B8" s="475" t="str">
        <f>+'Introducción de datos'!B27</f>
        <v>F1: Presupuesto y desembolsos del Fondo Mundial</v>
      </c>
      <c r="C8" s="475"/>
      <c r="D8" s="475"/>
      <c r="E8" s="476" t="s">
        <v>9</v>
      </c>
      <c r="F8" s="476"/>
      <c r="G8" s="476"/>
      <c r="H8" s="476"/>
      <c r="I8" s="476"/>
      <c r="J8" s="477" t="s">
        <v>10</v>
      </c>
      <c r="K8" s="477"/>
      <c r="L8" s="477"/>
      <c r="M8" s="477" t="s">
        <v>11</v>
      </c>
      <c r="N8" s="477"/>
      <c r="O8" s="477"/>
    </row>
    <row r="9" spans="2:15" ht="117.75" customHeight="1">
      <c r="B9" s="475" t="str">
        <f>+'Introducción de datos'!B36</f>
        <v>F2: Presupuesto y gastos reales por objetivo de la subvención</v>
      </c>
      <c r="C9" s="475"/>
      <c r="D9" s="475"/>
      <c r="E9" s="478" t="s">
        <v>12</v>
      </c>
      <c r="F9" s="478"/>
      <c r="G9" s="478"/>
      <c r="H9" s="478"/>
      <c r="I9" s="478"/>
      <c r="J9" s="479" t="s">
        <v>13</v>
      </c>
      <c r="K9" s="479"/>
      <c r="L9" s="479"/>
      <c r="M9" s="479" t="s">
        <v>11</v>
      </c>
      <c r="N9" s="479"/>
      <c r="O9" s="479"/>
    </row>
    <row r="10" spans="2:15" ht="233.25" customHeight="1">
      <c r="B10" s="480" t="str">
        <f>+'Introducción de datos'!B49</f>
        <v>F3: Desembolsos y gastos</v>
      </c>
      <c r="C10" s="480"/>
      <c r="D10" s="480"/>
      <c r="E10" s="478" t="s">
        <v>14</v>
      </c>
      <c r="F10" s="478"/>
      <c r="G10" s="478"/>
      <c r="H10" s="478"/>
      <c r="I10" s="478"/>
      <c r="J10" s="481" t="s">
        <v>15</v>
      </c>
      <c r="K10" s="481"/>
      <c r="L10" s="481"/>
      <c r="M10" s="479" t="s">
        <v>16</v>
      </c>
      <c r="N10" s="479"/>
      <c r="O10" s="479"/>
    </row>
    <row r="11" spans="2:60" ht="279.75" customHeight="1">
      <c r="B11" s="480" t="str">
        <f>+'Introducción de datos'!B58</f>
        <v>F4: Último ciclo de información y desembolso del RP</v>
      </c>
      <c r="C11" s="480"/>
      <c r="D11" s="480"/>
      <c r="E11" s="478" t="s">
        <v>17</v>
      </c>
      <c r="F11" s="478"/>
      <c r="G11" s="478"/>
      <c r="H11" s="478"/>
      <c r="I11" s="478"/>
      <c r="J11" s="481" t="s">
        <v>18</v>
      </c>
      <c r="K11" s="481"/>
      <c r="L11" s="481"/>
      <c r="M11" s="479" t="s">
        <v>19</v>
      </c>
      <c r="N11" s="479"/>
      <c r="O11" s="47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482"/>
      <c r="C12" s="482"/>
      <c r="D12" s="482"/>
      <c r="E12" s="483"/>
      <c r="F12" s="483"/>
      <c r="G12" s="483"/>
      <c r="H12" s="483"/>
      <c r="I12" s="483"/>
      <c r="J12" s="483"/>
      <c r="K12" s="483"/>
      <c r="L12" s="483"/>
      <c r="M12" s="483"/>
      <c r="N12" s="483"/>
      <c r="O12" s="483"/>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484"/>
      <c r="C13" s="484"/>
      <c r="D13" s="484"/>
      <c r="E13" s="485"/>
      <c r="F13" s="485"/>
      <c r="G13" s="485"/>
      <c r="H13" s="485"/>
      <c r="I13" s="485"/>
      <c r="J13" s="485"/>
      <c r="K13" s="485"/>
      <c r="L13" s="485"/>
      <c r="M13" s="485"/>
      <c r="N13" s="485"/>
      <c r="O13" s="485"/>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484"/>
      <c r="C14" s="484"/>
      <c r="D14" s="484"/>
      <c r="E14" s="485"/>
      <c r="F14" s="485"/>
      <c r="G14" s="485"/>
      <c r="H14" s="485"/>
      <c r="I14" s="485"/>
      <c r="J14" s="485"/>
      <c r="K14" s="485"/>
      <c r="L14" s="485"/>
      <c r="M14" s="485"/>
      <c r="N14" s="485"/>
      <c r="O14" s="485"/>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484"/>
      <c r="C15" s="484"/>
      <c r="D15" s="484"/>
      <c r="E15" s="485"/>
      <c r="F15" s="485"/>
      <c r="G15" s="485"/>
      <c r="H15" s="485"/>
      <c r="I15" s="485"/>
      <c r="J15" s="485"/>
      <c r="K15" s="485"/>
      <c r="L15" s="485"/>
      <c r="M15" s="485"/>
      <c r="N15" s="485"/>
      <c r="O15" s="48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73" t="s">
        <v>20</v>
      </c>
      <c r="C16" s="473"/>
      <c r="D16" s="473"/>
      <c r="E16" s="473"/>
      <c r="F16" s="473"/>
      <c r="G16" s="473"/>
      <c r="H16" s="473"/>
      <c r="I16" s="473"/>
      <c r="J16" s="473"/>
      <c r="K16" s="473"/>
      <c r="L16" s="473"/>
      <c r="M16" s="473"/>
      <c r="N16" s="473"/>
      <c r="O16" s="47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486" t="s">
        <v>5</v>
      </c>
      <c r="C18" s="486"/>
      <c r="D18" s="486"/>
      <c r="E18" s="486" t="s">
        <v>6</v>
      </c>
      <c r="F18" s="486"/>
      <c r="G18" s="486"/>
      <c r="H18" s="486"/>
      <c r="I18" s="486"/>
      <c r="J18" s="486" t="s">
        <v>7</v>
      </c>
      <c r="K18" s="486"/>
      <c r="L18" s="486"/>
      <c r="M18" s="486" t="s">
        <v>21</v>
      </c>
      <c r="N18" s="486"/>
      <c r="O18" s="486"/>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75" t="str">
        <f>+'Introducción de datos'!B69</f>
        <v>M1: Estado de las condiciones precedentes y acciones con fecha límite</v>
      </c>
      <c r="C19" s="475"/>
      <c r="D19" s="475"/>
      <c r="E19" s="478" t="s">
        <v>22</v>
      </c>
      <c r="F19" s="478"/>
      <c r="G19" s="478"/>
      <c r="H19" s="478"/>
      <c r="I19" s="478"/>
      <c r="J19" s="479" t="s">
        <v>23</v>
      </c>
      <c r="K19" s="479"/>
      <c r="L19" s="479"/>
      <c r="M19" s="479" t="s">
        <v>24</v>
      </c>
      <c r="N19" s="479"/>
      <c r="O19" s="47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75" t="str">
        <f>+'Introducción de datos'!B76</f>
        <v>M2: Estado de los principales puestos directivos del RP</v>
      </c>
      <c r="C20" s="475"/>
      <c r="D20" s="475"/>
      <c r="E20" s="478" t="s">
        <v>25</v>
      </c>
      <c r="F20" s="478"/>
      <c r="G20" s="478"/>
      <c r="H20" s="478"/>
      <c r="I20" s="478"/>
      <c r="J20" s="479" t="s">
        <v>26</v>
      </c>
      <c r="K20" s="479"/>
      <c r="L20" s="479"/>
      <c r="M20" s="479" t="s">
        <v>27</v>
      </c>
      <c r="N20" s="479"/>
      <c r="O20" s="47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75" t="str">
        <f>+'Introducción de datos'!B81</f>
        <v>M3: Acuerdos contractuales (subreceptores) </v>
      </c>
      <c r="C21" s="475"/>
      <c r="D21" s="475"/>
      <c r="E21" s="487" t="s">
        <v>28</v>
      </c>
      <c r="F21" s="487"/>
      <c r="G21" s="487"/>
      <c r="H21" s="487"/>
      <c r="I21" s="487"/>
      <c r="J21" s="479" t="s">
        <v>29</v>
      </c>
      <c r="K21" s="479"/>
      <c r="L21" s="479"/>
      <c r="M21" s="479" t="s">
        <v>30</v>
      </c>
      <c r="N21" s="479"/>
      <c r="O21" s="47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75" t="str">
        <f>+'Introducción de datos'!B86</f>
        <v>M4: Número de informes completos recibidos a tiempo</v>
      </c>
      <c r="C22" s="475"/>
      <c r="D22" s="475"/>
      <c r="E22" s="488" t="s">
        <v>31</v>
      </c>
      <c r="F22" s="488"/>
      <c r="G22" s="488"/>
      <c r="H22" s="488"/>
      <c r="I22" s="488"/>
      <c r="J22" s="481" t="s">
        <v>32</v>
      </c>
      <c r="K22" s="481"/>
      <c r="L22" s="481"/>
      <c r="M22" s="479" t="s">
        <v>33</v>
      </c>
      <c r="N22" s="479"/>
      <c r="O22" s="47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80" t="str">
        <f>+'Introducción de datos'!B92</f>
        <v>M5: Presupuesto y compra de productos y equipo sanitario, medicamentos y productos farmacéuticos</v>
      </c>
      <c r="C23" s="480"/>
      <c r="D23" s="480"/>
      <c r="E23" s="489" t="s">
        <v>34</v>
      </c>
      <c r="F23" s="489"/>
      <c r="G23" s="489"/>
      <c r="H23" s="489"/>
      <c r="I23" s="489"/>
      <c r="J23" s="479" t="s">
        <v>35</v>
      </c>
      <c r="K23" s="479"/>
      <c r="L23" s="479"/>
      <c r="M23" s="479" t="s">
        <v>36</v>
      </c>
      <c r="N23" s="479"/>
      <c r="O23" s="47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80"/>
      <c r="C24" s="480"/>
      <c r="D24" s="480"/>
      <c r="E24" s="490" t="s">
        <v>37</v>
      </c>
      <c r="F24" s="490"/>
      <c r="G24" s="490"/>
      <c r="H24" s="490"/>
      <c r="I24" s="490"/>
      <c r="J24" s="479"/>
      <c r="K24" s="479"/>
      <c r="L24" s="479"/>
      <c r="M24" s="479"/>
      <c r="N24" s="479"/>
      <c r="O24" s="47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75" t="str">
        <f>+'Introducción de datos'!B105</f>
        <v>M6: Diferencia entre existencias actuales y existencias de seguridad</v>
      </c>
      <c r="C25" s="475"/>
      <c r="D25" s="475"/>
      <c r="E25" s="491" t="s">
        <v>38</v>
      </c>
      <c r="F25" s="491"/>
      <c r="G25" s="491"/>
      <c r="H25" s="491"/>
      <c r="I25" s="491"/>
      <c r="J25" s="492" t="s">
        <v>39</v>
      </c>
      <c r="K25" s="492"/>
      <c r="L25" s="492"/>
      <c r="M25" s="493" t="s">
        <v>40</v>
      </c>
      <c r="N25" s="493"/>
      <c r="O25" s="49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73" t="s">
        <v>41</v>
      </c>
      <c r="C30" s="473"/>
      <c r="D30" s="473"/>
      <c r="E30" s="473"/>
      <c r="F30" s="473"/>
      <c r="G30" s="473"/>
      <c r="H30" s="473"/>
      <c r="I30" s="473"/>
      <c r="J30" s="473"/>
      <c r="K30" s="473"/>
      <c r="L30" s="473"/>
      <c r="M30" s="473"/>
      <c r="N30" s="473"/>
      <c r="O30" s="473"/>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494" t="s">
        <v>42</v>
      </c>
      <c r="C32" s="494"/>
      <c r="D32" s="494"/>
      <c r="E32" s="495" t="s">
        <v>43</v>
      </c>
      <c r="F32" s="495"/>
      <c r="G32" s="495"/>
      <c r="H32" s="495"/>
      <c r="I32" s="495"/>
      <c r="J32" s="495" t="s">
        <v>7</v>
      </c>
      <c r="K32" s="495"/>
      <c r="L32" s="495"/>
      <c r="M32" s="495" t="s">
        <v>21</v>
      </c>
      <c r="N32" s="495"/>
      <c r="O32" s="495"/>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6"/>
      <c r="C33" s="496"/>
      <c r="D33" s="496"/>
      <c r="E33" s="497"/>
      <c r="F33" s="497"/>
      <c r="G33" s="497"/>
      <c r="H33" s="497"/>
      <c r="I33" s="497"/>
      <c r="J33" s="498"/>
      <c r="K33" s="498"/>
      <c r="L33" s="498"/>
      <c r="M33" s="498"/>
      <c r="N33" s="498"/>
      <c r="O33" s="49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6"/>
      <c r="C34" s="496"/>
      <c r="D34" s="496"/>
      <c r="E34" s="497"/>
      <c r="F34" s="497"/>
      <c r="G34" s="497"/>
      <c r="H34" s="497"/>
      <c r="I34" s="497"/>
      <c r="J34" s="498"/>
      <c r="K34" s="498"/>
      <c r="L34" s="498"/>
      <c r="M34" s="498"/>
      <c r="N34" s="498"/>
      <c r="O34" s="49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6"/>
      <c r="C35" s="496"/>
      <c r="D35" s="496"/>
      <c r="E35" s="498"/>
      <c r="F35" s="498"/>
      <c r="G35" s="498"/>
      <c r="H35" s="498"/>
      <c r="I35" s="498"/>
      <c r="J35" s="498"/>
      <c r="K35" s="498"/>
      <c r="L35" s="498"/>
      <c r="M35" s="498"/>
      <c r="N35" s="498"/>
      <c r="O35" s="49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9"/>
      <c r="C36" s="499"/>
      <c r="D36" s="499"/>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6"/>
      <c r="C37" s="496"/>
      <c r="D37" s="496"/>
      <c r="E37" s="498"/>
      <c r="F37" s="498"/>
      <c r="G37" s="498"/>
      <c r="H37" s="498"/>
      <c r="I37" s="49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6"/>
      <c r="C38" s="496"/>
      <c r="D38" s="496"/>
      <c r="E38" s="497"/>
      <c r="F38" s="497"/>
      <c r="G38" s="497"/>
      <c r="H38" s="497"/>
      <c r="I38" s="497"/>
      <c r="J38" s="498"/>
      <c r="K38" s="498"/>
      <c r="L38" s="498"/>
      <c r="M38" s="498"/>
      <c r="N38" s="498"/>
      <c r="O38" s="49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00"/>
      <c r="C39" s="500"/>
      <c r="D39" s="500"/>
      <c r="E39" s="498"/>
      <c r="F39" s="498"/>
      <c r="G39" s="498"/>
      <c r="H39" s="498"/>
      <c r="I39" s="49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01"/>
      <c r="C40" s="501"/>
      <c r="D40" s="501"/>
      <c r="E40" s="502"/>
      <c r="F40" s="502"/>
      <c r="G40" s="502"/>
      <c r="H40" s="502"/>
      <c r="I40" s="502"/>
      <c r="J40" s="498"/>
      <c r="K40" s="498"/>
      <c r="L40" s="498"/>
      <c r="M40" s="498"/>
      <c r="N40" s="498"/>
      <c r="O40" s="49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00"/>
      <c r="C41" s="500"/>
      <c r="D41" s="500"/>
      <c r="E41" s="497"/>
      <c r="F41" s="497"/>
      <c r="G41" s="497"/>
      <c r="H41" s="497"/>
      <c r="I41" s="497"/>
      <c r="J41" s="498"/>
      <c r="K41" s="498"/>
      <c r="L41" s="498"/>
      <c r="M41" s="498"/>
      <c r="N41" s="498"/>
      <c r="O41" s="49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00"/>
      <c r="C42" s="500"/>
      <c r="D42" s="500"/>
      <c r="E42" s="498"/>
      <c r="F42" s="498"/>
      <c r="G42" s="498"/>
      <c r="H42" s="498"/>
      <c r="I42" s="49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00"/>
      <c r="C43" s="500"/>
      <c r="D43" s="500"/>
      <c r="E43" s="497"/>
      <c r="F43" s="497"/>
      <c r="G43" s="497"/>
      <c r="H43" s="497"/>
      <c r="I43" s="497"/>
      <c r="J43" s="498"/>
      <c r="K43" s="498"/>
      <c r="L43" s="49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01"/>
      <c r="C44" s="501"/>
      <c r="D44" s="501"/>
      <c r="E44" s="497"/>
      <c r="F44" s="497"/>
      <c r="G44" s="497"/>
      <c r="H44" s="497"/>
      <c r="I44" s="497"/>
      <c r="J44" s="498"/>
      <c r="K44" s="498"/>
      <c r="L44" s="49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01"/>
      <c r="C45" s="501"/>
      <c r="D45" s="501"/>
      <c r="E45" s="497"/>
      <c r="F45" s="497"/>
      <c r="G45" s="497"/>
      <c r="H45" s="497"/>
      <c r="I45" s="497"/>
      <c r="J45" s="498"/>
      <c r="K45" s="498"/>
      <c r="L45" s="49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03"/>
      <c r="C46" s="503"/>
      <c r="D46" s="503"/>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04" t="s">
        <v>44</v>
      </c>
      <c r="C48" s="504"/>
      <c r="D48" s="504"/>
      <c r="E48" s="504"/>
      <c r="F48" s="504"/>
      <c r="G48" s="504"/>
      <c r="H48" s="504"/>
      <c r="I48" s="504"/>
      <c r="J48" s="504"/>
      <c r="K48" s="504"/>
      <c r="L48" s="504"/>
      <c r="M48" s="505" t="s">
        <v>45</v>
      </c>
      <c r="N48" s="505"/>
      <c r="O48" s="50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5:D45"/>
    <mergeCell ref="E45:I45"/>
    <mergeCell ref="J45:L45"/>
    <mergeCell ref="B46:D46"/>
    <mergeCell ref="B48:L48"/>
    <mergeCell ref="M48:O48"/>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r:id="rId2"/>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J151"/>
  <sheetViews>
    <sheetView showGridLines="0" zoomScale="60" zoomScaleNormal="60" zoomScalePageLayoutView="0" workbookViewId="0" topLeftCell="C1">
      <selection activeCell="F58" sqref="F58"/>
    </sheetView>
  </sheetViews>
  <sheetFormatPr defaultColWidth="9.140625" defaultRowHeight="15"/>
  <cols>
    <col min="1" max="1" width="2.7109375" style="0" customWidth="1"/>
    <col min="2" max="2" width="78.7109375" style="0" customWidth="1"/>
    <col min="3" max="3" width="55.28125" style="0" customWidth="1"/>
    <col min="4" max="4" width="33.8515625" style="0" customWidth="1"/>
    <col min="5" max="5" width="39.140625" style="0" customWidth="1"/>
    <col min="6" max="6" width="37.57421875" style="0" customWidth="1"/>
    <col min="7" max="7" width="43.140625" style="0" customWidth="1"/>
    <col min="8" max="8" width="26.7109375" style="0" customWidth="1"/>
    <col min="9" max="9" width="19.7109375" style="0" customWidth="1"/>
    <col min="10" max="10" width="28.57421875" style="0" customWidth="1"/>
    <col min="11" max="11" width="18.57421875" style="0" customWidth="1"/>
    <col min="12" max="12" width="15.28125" style="0" customWidth="1"/>
    <col min="13" max="13" width="20.57421875" style="0" customWidth="1"/>
    <col min="14" max="14" width="14.28125" style="5" customWidth="1"/>
    <col min="15" max="15" width="15.57421875" style="5" customWidth="1"/>
    <col min="16" max="16" width="19.421875" style="0" customWidth="1"/>
    <col min="17" max="17" width="16.140625" style="0" customWidth="1"/>
    <col min="18" max="18" width="13.7109375" style="0" customWidth="1"/>
    <col min="19" max="19" width="13.421875" style="0" customWidth="1"/>
    <col min="20" max="20" width="59.140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5" customWidth="1"/>
    <col min="35" max="35" width="3.28125" style="5" customWidth="1"/>
    <col min="36" max="36" width="2.28125" style="5" customWidth="1"/>
    <col min="37" max="37" width="40.7109375" style="0" customWidth="1"/>
    <col min="38" max="38" width="15.421875" style="0" customWidth="1"/>
  </cols>
  <sheetData>
    <row r="1" spans="1:13" ht="29.25" customHeight="1">
      <c r="A1" s="6"/>
      <c r="B1" s="6"/>
      <c r="C1" s="6"/>
      <c r="D1" s="6"/>
      <c r="E1" s="6"/>
      <c r="F1" s="6"/>
      <c r="G1" s="6"/>
      <c r="H1" s="6"/>
      <c r="I1" s="6"/>
      <c r="J1" s="6"/>
      <c r="K1" s="6"/>
      <c r="L1" s="6"/>
      <c r="M1" s="6"/>
    </row>
    <row r="2" spans="1:13" ht="15.75" customHeight="1">
      <c r="A2" s="6"/>
      <c r="B2" s="506" t="s">
        <v>46</v>
      </c>
      <c r="C2" s="506"/>
      <c r="D2" s="506"/>
      <c r="E2" s="506"/>
      <c r="F2" s="506"/>
      <c r="G2" s="506"/>
      <c r="H2" s="506"/>
      <c r="I2" s="506"/>
      <c r="J2" s="506"/>
      <c r="K2" s="33"/>
      <c r="L2" s="33"/>
      <c r="M2" s="33"/>
    </row>
    <row r="3" spans="1:13" ht="4.5" customHeight="1">
      <c r="A3" s="6"/>
      <c r="B3" s="6"/>
      <c r="C3" s="6"/>
      <c r="D3" s="6"/>
      <c r="E3" s="6"/>
      <c r="F3" s="6"/>
      <c r="G3" s="6"/>
      <c r="H3" s="6"/>
      <c r="I3" s="6"/>
      <c r="J3" s="6"/>
      <c r="K3" s="6"/>
      <c r="L3" s="6"/>
      <c r="M3" s="6"/>
    </row>
    <row r="4" spans="1:13" ht="15">
      <c r="A4" s="6"/>
      <c r="B4" s="34" t="s">
        <v>47</v>
      </c>
      <c r="C4" s="507" t="s">
        <v>48</v>
      </c>
      <c r="D4" s="507"/>
      <c r="E4" s="508" t="s">
        <v>49</v>
      </c>
      <c r="F4" s="508"/>
      <c r="G4" s="509" t="s">
        <v>50</v>
      </c>
      <c r="H4" s="509"/>
      <c r="I4" s="509"/>
      <c r="J4" s="509"/>
      <c r="K4" s="6"/>
      <c r="L4" s="6"/>
      <c r="M4" s="6"/>
    </row>
    <row r="5" spans="1:13" ht="3" customHeight="1">
      <c r="A5" s="6"/>
      <c r="B5" s="37"/>
      <c r="C5" s="6"/>
      <c r="D5" s="6"/>
      <c r="E5" s="38"/>
      <c r="F5" s="38"/>
      <c r="G5" s="6"/>
      <c r="H5" s="6"/>
      <c r="I5" s="6"/>
      <c r="J5" s="6"/>
      <c r="K5" s="6"/>
      <c r="L5" s="6"/>
      <c r="M5" s="6"/>
    </row>
    <row r="6" spans="1:13" ht="15">
      <c r="A6" s="6"/>
      <c r="B6" s="34" t="s">
        <v>51</v>
      </c>
      <c r="C6" s="509" t="s">
        <v>52</v>
      </c>
      <c r="D6" s="509"/>
      <c r="E6" s="508" t="s">
        <v>53</v>
      </c>
      <c r="F6" s="508"/>
      <c r="G6" s="35" t="s">
        <v>54</v>
      </c>
      <c r="H6" s="39" t="s">
        <v>55</v>
      </c>
      <c r="I6" s="510"/>
      <c r="J6" s="510"/>
      <c r="K6" s="6"/>
      <c r="L6" s="6"/>
      <c r="M6" s="6"/>
    </row>
    <row r="7" spans="1:13" ht="3" customHeight="1">
      <c r="A7" s="6"/>
      <c r="B7" s="37"/>
      <c r="C7" s="6"/>
      <c r="D7" s="6"/>
      <c r="E7" s="38"/>
      <c r="F7" s="38"/>
      <c r="G7" s="6"/>
      <c r="H7" s="37"/>
      <c r="I7" s="6"/>
      <c r="J7" s="6"/>
      <c r="K7" s="6"/>
      <c r="L7" s="6"/>
      <c r="M7" s="6"/>
    </row>
    <row r="8" spans="1:13" ht="15">
      <c r="A8" s="6"/>
      <c r="B8" s="34" t="s">
        <v>56</v>
      </c>
      <c r="C8" s="509" t="s">
        <v>57</v>
      </c>
      <c r="D8" s="509"/>
      <c r="E8" s="40"/>
      <c r="F8" s="36" t="s">
        <v>58</v>
      </c>
      <c r="G8" s="35" t="s">
        <v>59</v>
      </c>
      <c r="H8" s="36" t="s">
        <v>60</v>
      </c>
      <c r="I8" s="507" t="s">
        <v>61</v>
      </c>
      <c r="J8" s="507"/>
      <c r="K8" s="6"/>
      <c r="L8" s="6"/>
      <c r="M8" s="6"/>
    </row>
    <row r="9" spans="1:13" ht="3" customHeight="1">
      <c r="A9" s="6"/>
      <c r="B9" s="38"/>
      <c r="C9" s="41">
        <v>39825</v>
      </c>
      <c r="D9" s="6"/>
      <c r="E9" s="38"/>
      <c r="F9" s="38"/>
      <c r="G9" s="6"/>
      <c r="H9" s="6"/>
      <c r="I9" s="6"/>
      <c r="J9" s="6"/>
      <c r="K9" s="6"/>
      <c r="L9" s="6"/>
      <c r="M9" s="6"/>
    </row>
    <row r="10" spans="1:13" ht="15">
      <c r="A10" s="6"/>
      <c r="B10" s="34" t="s">
        <v>62</v>
      </c>
      <c r="C10" s="511" t="s">
        <v>63</v>
      </c>
      <c r="D10" s="511"/>
      <c r="E10" s="512" t="s">
        <v>64</v>
      </c>
      <c r="F10" s="512"/>
      <c r="G10" s="507" t="s">
        <v>65</v>
      </c>
      <c r="H10" s="507"/>
      <c r="I10" s="507"/>
      <c r="J10" s="507"/>
      <c r="K10" s="6"/>
      <c r="L10" s="6"/>
      <c r="M10" s="6"/>
    </row>
    <row r="11" spans="1:13" ht="5.25" customHeight="1">
      <c r="A11" s="6"/>
      <c r="B11" s="6"/>
      <c r="C11" s="6"/>
      <c r="D11" s="6"/>
      <c r="E11" s="6"/>
      <c r="F11" s="6"/>
      <c r="G11" s="6"/>
      <c r="H11" s="6"/>
      <c r="I11" s="6"/>
      <c r="J11" s="6"/>
      <c r="K11" s="6"/>
      <c r="L11" s="6"/>
      <c r="M11" s="6"/>
    </row>
    <row r="12" spans="1:13" ht="15" customHeight="1">
      <c r="A12" s="6"/>
      <c r="B12" s="34" t="s">
        <v>66</v>
      </c>
      <c r="C12" s="513" t="s">
        <v>67</v>
      </c>
      <c r="D12" s="513"/>
      <c r="E12" s="514" t="s">
        <v>68</v>
      </c>
      <c r="F12" s="514"/>
      <c r="G12" s="509" t="s">
        <v>69</v>
      </c>
      <c r="H12" s="509"/>
      <c r="I12" s="509"/>
      <c r="J12" s="509"/>
      <c r="K12" s="6"/>
      <c r="L12" s="6"/>
      <c r="M12" s="6"/>
    </row>
    <row r="13" spans="1:13" ht="5.25" customHeight="1">
      <c r="A13" s="6"/>
      <c r="B13" s="6"/>
      <c r="C13" s="6"/>
      <c r="D13" s="6"/>
      <c r="E13" s="6"/>
      <c r="F13" s="6"/>
      <c r="G13" s="6"/>
      <c r="H13" s="6"/>
      <c r="I13" s="6"/>
      <c r="J13" s="6"/>
      <c r="K13" s="6"/>
      <c r="L13" s="6"/>
      <c r="M13" s="6"/>
    </row>
    <row r="14" spans="1:13" ht="15.75" customHeight="1">
      <c r="A14" s="6"/>
      <c r="B14" s="506" t="s">
        <v>70</v>
      </c>
      <c r="C14" s="506"/>
      <c r="D14" s="506"/>
      <c r="E14" s="506"/>
      <c r="F14" s="506"/>
      <c r="G14" s="506"/>
      <c r="H14" s="506"/>
      <c r="I14" s="506"/>
      <c r="J14" s="506"/>
      <c r="K14" s="6"/>
      <c r="L14" s="6"/>
      <c r="M14" s="6"/>
    </row>
    <row r="15" spans="1:13" ht="3" customHeight="1">
      <c r="A15" s="6"/>
      <c r="B15" s="6"/>
      <c r="C15" s="6"/>
      <c r="D15" s="6"/>
      <c r="E15" s="6"/>
      <c r="F15" s="6"/>
      <c r="G15" s="6"/>
      <c r="H15" s="6"/>
      <c r="I15" s="6"/>
      <c r="J15" s="6"/>
      <c r="K15" s="6"/>
      <c r="L15" s="6"/>
      <c r="M15" s="6"/>
    </row>
    <row r="16" spans="1:13" ht="15">
      <c r="A16" s="6"/>
      <c r="B16" s="34" t="s">
        <v>71</v>
      </c>
      <c r="C16" s="35" t="s">
        <v>91</v>
      </c>
      <c r="D16" s="36" t="s">
        <v>73</v>
      </c>
      <c r="E16" s="42">
        <v>42186</v>
      </c>
      <c r="F16" s="43" t="s">
        <v>74</v>
      </c>
      <c r="G16" s="42">
        <v>42369</v>
      </c>
      <c r="H16" s="515" t="s">
        <v>75</v>
      </c>
      <c r="I16" s="515"/>
      <c r="J16" s="42">
        <v>42422</v>
      </c>
      <c r="K16" s="6"/>
      <c r="L16" s="6"/>
      <c r="M16" s="6"/>
    </row>
    <row r="17" spans="1:13" ht="3" customHeight="1">
      <c r="A17" s="6"/>
      <c r="B17" s="6"/>
      <c r="C17" s="6"/>
      <c r="D17" s="6"/>
      <c r="E17" s="6"/>
      <c r="F17" s="6"/>
      <c r="G17" s="6"/>
      <c r="H17" s="6"/>
      <c r="I17" s="6"/>
      <c r="J17" s="6"/>
      <c r="K17" s="6"/>
      <c r="L17" s="6"/>
      <c r="M17" s="6"/>
    </row>
    <row r="18" spans="1:13" ht="15">
      <c r="A18" s="6"/>
      <c r="B18" s="516" t="s">
        <v>76</v>
      </c>
      <c r="C18" s="516"/>
      <c r="D18" s="509" t="s">
        <v>77</v>
      </c>
      <c r="E18" s="509"/>
      <c r="F18" s="50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06" t="s">
        <v>78</v>
      </c>
      <c r="C21" s="506"/>
      <c r="D21" s="506"/>
      <c r="E21" s="506"/>
      <c r="F21" s="506"/>
      <c r="G21" s="506"/>
      <c r="H21" s="506"/>
      <c r="I21" s="506"/>
      <c r="J21" s="506"/>
      <c r="K21" s="6"/>
      <c r="L21" s="6"/>
      <c r="M21" s="6"/>
    </row>
    <row r="22" spans="1:13" ht="15">
      <c r="A22" s="6"/>
      <c r="B22" s="45" t="s">
        <v>79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
      <c r="A24" s="6"/>
      <c r="B24" s="34" t="s">
        <v>80</v>
      </c>
      <c r="C24" s="47"/>
      <c r="D24" s="508" t="s">
        <v>81</v>
      </c>
      <c r="E24" s="508"/>
      <c r="F24" s="48"/>
      <c r="G24" s="508" t="s">
        <v>82</v>
      </c>
      <c r="H24" s="508"/>
      <c r="I24" s="517"/>
      <c r="J24" s="517"/>
      <c r="K24" s="6"/>
      <c r="L24" s="6"/>
      <c r="M24" s="6"/>
      <c r="N24" s="49"/>
    </row>
    <row r="25" spans="1:35" ht="18.75">
      <c r="A25" s="6"/>
      <c r="B25" s="50" t="s">
        <v>80</v>
      </c>
      <c r="C25" s="51"/>
      <c r="D25" s="51"/>
      <c r="E25" s="51"/>
      <c r="F25" s="51"/>
      <c r="G25" s="51"/>
      <c r="H25" s="52"/>
      <c r="I25" s="52"/>
      <c r="J25" s="52" t="s">
        <v>83</v>
      </c>
      <c r="K25" s="52"/>
      <c r="L25" s="51"/>
      <c r="M25" s="51"/>
      <c r="N25" s="53"/>
      <c r="O25" s="54"/>
      <c r="AI25" s="55"/>
    </row>
    <row r="26" spans="1:35" ht="15">
      <c r="A26" s="6"/>
      <c r="B26" s="518" t="s">
        <v>84</v>
      </c>
      <c r="C26" s="518"/>
      <c r="D26" s="56" t="s">
        <v>85</v>
      </c>
      <c r="E26" s="57"/>
      <c r="F26" s="57"/>
      <c r="G26" s="57"/>
      <c r="H26" s="57"/>
      <c r="I26" s="57"/>
      <c r="J26" s="58"/>
      <c r="K26" s="57"/>
      <c r="L26" s="57"/>
      <c r="M26" s="57"/>
      <c r="N26" s="54"/>
      <c r="O26" s="54"/>
      <c r="AI26" s="55"/>
    </row>
    <row r="27" spans="1:35" ht="18.75">
      <c r="A27" s="6"/>
      <c r="B27" s="59" t="s">
        <v>86</v>
      </c>
      <c r="C27" s="57"/>
      <c r="D27" s="57"/>
      <c r="E27" s="57"/>
      <c r="F27" s="57"/>
      <c r="G27" s="57"/>
      <c r="H27" s="57"/>
      <c r="I27" s="57"/>
      <c r="J27" s="58"/>
      <c r="K27" s="57"/>
      <c r="L27" s="57"/>
      <c r="M27" s="57"/>
      <c r="N27" s="54"/>
      <c r="O27" s="54"/>
      <c r="AI27" s="55"/>
    </row>
    <row r="28" spans="1:13" ht="15">
      <c r="A28" s="6"/>
      <c r="B28" s="6"/>
      <c r="C28" s="6"/>
      <c r="D28" s="6"/>
      <c r="E28" s="6"/>
      <c r="F28" s="6"/>
      <c r="G28" s="6"/>
      <c r="H28" s="6"/>
      <c r="I28" s="6"/>
      <c r="J28" s="6"/>
      <c r="K28" s="6"/>
      <c r="L28" s="6"/>
      <c r="M28" s="6"/>
    </row>
    <row r="29" spans="1:19" ht="15">
      <c r="A29" s="6"/>
      <c r="B29" s="519" t="s">
        <v>87</v>
      </c>
      <c r="C29" s="519"/>
      <c r="D29" s="519"/>
      <c r="E29" s="519"/>
      <c r="F29" s="519"/>
      <c r="G29" s="519"/>
      <c r="H29" s="519"/>
      <c r="I29" s="519"/>
      <c r="J29" s="519"/>
      <c r="K29" s="519"/>
      <c r="L29" s="519"/>
      <c r="M29" s="519"/>
      <c r="N29" s="519"/>
      <c r="P29" s="60"/>
      <c r="Q29" s="61"/>
      <c r="R29" s="62">
        <f>+C33</f>
        <v>3776587</v>
      </c>
      <c r="S29" s="60"/>
    </row>
    <row r="30" spans="1:19" ht="66.75" customHeight="1">
      <c r="A30" s="6"/>
      <c r="B30" s="63" t="s">
        <v>88</v>
      </c>
      <c r="C30" s="64" t="s">
        <v>89</v>
      </c>
      <c r="D30" s="64" t="s">
        <v>90</v>
      </c>
      <c r="E30" s="64" t="s">
        <v>72</v>
      </c>
      <c r="F30" s="64" t="s">
        <v>91</v>
      </c>
      <c r="G30" s="64" t="s">
        <v>92</v>
      </c>
      <c r="H30" s="64" t="s">
        <v>93</v>
      </c>
      <c r="I30" s="64" t="s">
        <v>94</v>
      </c>
      <c r="J30" s="64" t="s">
        <v>95</v>
      </c>
      <c r="K30" s="64" t="s">
        <v>96</v>
      </c>
      <c r="L30" s="64" t="s">
        <v>97</v>
      </c>
      <c r="M30" s="64" t="s">
        <v>98</v>
      </c>
      <c r="N30" s="65" t="s">
        <v>99</v>
      </c>
      <c r="O30" s="66" t="s">
        <v>100</v>
      </c>
      <c r="P30" s="60"/>
      <c r="Q30" s="61"/>
      <c r="R30" s="62">
        <f>+D33</f>
        <v>4323313</v>
      </c>
      <c r="S30" s="60"/>
    </row>
    <row r="31" spans="1:19" ht="15">
      <c r="A31" s="6"/>
      <c r="B31" s="67" t="str">
        <f>CONCATENATE("Presupuesto (en ",'Introducción de datos'!$D$26,")")</f>
        <v>Presupuesto (en $)</v>
      </c>
      <c r="C31" s="68">
        <f>4728347-951760</f>
        <v>3776587</v>
      </c>
      <c r="D31" s="69">
        <f>650395.88-103669.88</f>
        <v>546726</v>
      </c>
      <c r="E31" s="69">
        <f>3787096-3048608</f>
        <v>738488</v>
      </c>
      <c r="F31" s="69">
        <v>3386210</v>
      </c>
      <c r="G31" s="70">
        <v>3244440</v>
      </c>
      <c r="H31" s="70">
        <v>321921</v>
      </c>
      <c r="I31" s="70">
        <v>1147541</v>
      </c>
      <c r="J31" s="70">
        <v>2238669</v>
      </c>
      <c r="K31" s="70"/>
      <c r="L31" s="70"/>
      <c r="M31" s="70"/>
      <c r="N31" s="70"/>
      <c r="O31" s="520">
        <f>+SUM(C35:N35)</f>
        <v>0</v>
      </c>
      <c r="P31" s="60"/>
      <c r="Q31" s="61"/>
      <c r="R31" s="62">
        <f>+E33</f>
        <v>5061801</v>
      </c>
      <c r="S31" s="60"/>
    </row>
    <row r="32" spans="1:19" ht="15">
      <c r="A32" s="6"/>
      <c r="B32" s="71" t="str">
        <f>CONCATENATE("Desembolsos por el Fondo Mundial (en ",$D$26,")")</f>
        <v>Desembolsos por el Fondo Mundial (en $)</v>
      </c>
      <c r="C32" s="68">
        <v>4638823.7</v>
      </c>
      <c r="D32" s="72">
        <v>941478.07</v>
      </c>
      <c r="E32" s="72">
        <v>2782037</v>
      </c>
      <c r="F32" s="73"/>
      <c r="G32" s="73"/>
      <c r="H32" s="73"/>
      <c r="I32" s="70"/>
      <c r="J32" s="70"/>
      <c r="K32" s="70"/>
      <c r="L32" s="70"/>
      <c r="M32" s="70"/>
      <c r="N32" s="70"/>
      <c r="O32" s="520"/>
      <c r="P32" s="60"/>
      <c r="Q32" s="61"/>
      <c r="R32" s="62">
        <f>+F33</f>
        <v>8448011</v>
      </c>
      <c r="S32" s="60"/>
    </row>
    <row r="33" spans="1:19" ht="15">
      <c r="A33" s="6"/>
      <c r="B33" s="74" t="s">
        <v>101</v>
      </c>
      <c r="C33" s="75">
        <f>+C31</f>
        <v>3776587</v>
      </c>
      <c r="D33" s="76">
        <f>+C31+D31</f>
        <v>4323313</v>
      </c>
      <c r="E33" s="76">
        <f>+D33+E31</f>
        <v>5061801</v>
      </c>
      <c r="F33" s="76">
        <f>+E33+F31</f>
        <v>8448011</v>
      </c>
      <c r="G33" s="76">
        <f>+F33+G31</f>
        <v>11692451</v>
      </c>
      <c r="H33" s="76">
        <f>+G33+H31</f>
        <v>12014372</v>
      </c>
      <c r="I33" s="77">
        <f aca="true" t="shared" si="0" ref="I33:N33">IF(AND(I31=0,I32=0),0,+H33+I31)</f>
        <v>13161913</v>
      </c>
      <c r="J33" s="77">
        <f t="shared" si="0"/>
        <v>15400582</v>
      </c>
      <c r="K33" s="77">
        <f t="shared" si="0"/>
        <v>0</v>
      </c>
      <c r="L33" s="77">
        <f t="shared" si="0"/>
        <v>0</v>
      </c>
      <c r="M33" s="77">
        <f t="shared" si="0"/>
        <v>0</v>
      </c>
      <c r="N33" s="77">
        <f t="shared" si="0"/>
        <v>0</v>
      </c>
      <c r="O33" s="520"/>
      <c r="P33" s="78"/>
      <c r="Q33" s="61"/>
      <c r="R33" s="62">
        <f>+G33</f>
        <v>11692451</v>
      </c>
      <c r="S33" s="60"/>
    </row>
    <row r="34" spans="1:19" ht="15">
      <c r="A34" s="6"/>
      <c r="B34" s="79" t="s">
        <v>102</v>
      </c>
      <c r="C34" s="80">
        <v>4638823.7</v>
      </c>
      <c r="D34" s="81">
        <f>+C34+D32</f>
        <v>5580301.7700000005</v>
      </c>
      <c r="E34" s="81">
        <f>+D34+E32</f>
        <v>8362338.7700000005</v>
      </c>
      <c r="F34" s="82"/>
      <c r="G34" s="82">
        <f>IF(AND(G31=0,G32=0),0,+F34+G32)</f>
        <v>0</v>
      </c>
      <c r="H34" s="82">
        <f>IF(AND(H31=0,H32=0),0,+G34+H32)</f>
        <v>0</v>
      </c>
      <c r="I34" s="82">
        <f aca="true" t="shared" si="1" ref="I34:N34">IF(AND(I31=0,I32=0),0,+H34+I32)</f>
        <v>0</v>
      </c>
      <c r="J34" s="82">
        <f t="shared" si="1"/>
        <v>0</v>
      </c>
      <c r="K34" s="82">
        <f t="shared" si="1"/>
        <v>0</v>
      </c>
      <c r="L34" s="82">
        <f t="shared" si="1"/>
        <v>0</v>
      </c>
      <c r="M34" s="82">
        <f t="shared" si="1"/>
        <v>0</v>
      </c>
      <c r="N34" s="82">
        <f t="shared" si="1"/>
        <v>0</v>
      </c>
      <c r="O34" s="520"/>
      <c r="P34" s="78"/>
      <c r="Q34" s="61"/>
      <c r="R34" s="62">
        <f>+H33</f>
        <v>12014372</v>
      </c>
      <c r="S34" s="60"/>
    </row>
    <row r="35" spans="1:19" ht="15">
      <c r="A35" s="6"/>
      <c r="B35" s="6"/>
      <c r="C35" s="83">
        <f>+IF(AND(C30=$C$16,C33&lt;&gt;0),C34/C33,0)</f>
        <v>0</v>
      </c>
      <c r="D35" s="83">
        <f aca="true" t="shared" si="2" ref="D35:N35">+IF(AND(D30=$C$16,D33&lt;&gt;0),D34/D33,0)</f>
        <v>0</v>
      </c>
      <c r="E35" s="83"/>
      <c r="F35" s="83">
        <f t="shared" si="2"/>
        <v>0</v>
      </c>
      <c r="G35" s="83">
        <f t="shared" si="2"/>
        <v>0</v>
      </c>
      <c r="H35" s="83">
        <f t="shared" si="2"/>
        <v>0</v>
      </c>
      <c r="I35" s="83">
        <f t="shared" si="2"/>
        <v>0</v>
      </c>
      <c r="J35" s="83">
        <f t="shared" si="2"/>
        <v>0</v>
      </c>
      <c r="K35" s="83">
        <f t="shared" si="2"/>
        <v>0</v>
      </c>
      <c r="L35" s="83">
        <f t="shared" si="2"/>
        <v>0</v>
      </c>
      <c r="M35" s="83">
        <f t="shared" si="2"/>
        <v>0</v>
      </c>
      <c r="N35" s="83">
        <f t="shared" si="2"/>
        <v>0</v>
      </c>
      <c r="O35" s="84"/>
      <c r="P35" s="85"/>
      <c r="Q35" s="86"/>
      <c r="R35" s="62">
        <f>+I33</f>
        <v>13161913</v>
      </c>
      <c r="S35" s="60"/>
    </row>
    <row r="36" spans="1:35" ht="18.75">
      <c r="A36" s="6"/>
      <c r="B36" s="59" t="s">
        <v>103</v>
      </c>
      <c r="C36" s="6"/>
      <c r="D36" s="6"/>
      <c r="E36" s="87"/>
      <c r="F36" s="6"/>
      <c r="G36" s="88"/>
      <c r="H36" s="6"/>
      <c r="I36" s="6"/>
      <c r="J36" s="6"/>
      <c r="K36" s="6"/>
      <c r="L36" s="6"/>
      <c r="M36" s="6"/>
      <c r="N36" s="89"/>
      <c r="O36" s="89"/>
      <c r="AI36" s="49"/>
    </row>
    <row r="37" spans="1:15" ht="15">
      <c r="A37" s="6"/>
      <c r="B37" s="6"/>
      <c r="C37" s="6"/>
      <c r="D37" s="6"/>
      <c r="E37" s="6"/>
      <c r="F37" s="6"/>
      <c r="G37" s="6"/>
      <c r="H37" s="6"/>
      <c r="I37" s="6"/>
      <c r="J37" s="6"/>
      <c r="K37" s="6"/>
      <c r="L37" s="6"/>
      <c r="M37" s="6"/>
      <c r="N37" s="90"/>
      <c r="O37" s="90"/>
    </row>
    <row r="38" spans="1:32" ht="30" customHeight="1">
      <c r="A38" s="6"/>
      <c r="B38" s="91" t="s">
        <v>104</v>
      </c>
      <c r="C38" s="92" t="str">
        <f>CONCATENATE("Presupuesto acumulado (en ",'Introducción de datos'!$D$26,")")</f>
        <v>Presupuesto acumulado (en $)</v>
      </c>
      <c r="D38" s="93" t="str">
        <f>CONCATENATE("Gastos acumulados (en ",'Introducción de datos'!$D$26,")")</f>
        <v>Gastos acumulados (en $)</v>
      </c>
      <c r="E38" s="94"/>
      <c r="F38" s="95"/>
      <c r="G38" s="6"/>
      <c r="H38" s="6"/>
      <c r="I38" s="6"/>
      <c r="J38" s="96"/>
      <c r="K38" s="97"/>
      <c r="N38"/>
      <c r="O38"/>
      <c r="AE38" s="49"/>
      <c r="AF38" s="5"/>
    </row>
    <row r="39" spans="1:32" ht="14.25" customHeight="1">
      <c r="A39" s="6"/>
      <c r="B39" s="98" t="s">
        <v>105</v>
      </c>
      <c r="C39" s="99">
        <v>794453</v>
      </c>
      <c r="D39" s="100">
        <f>413340.63+82794.35+50681.71+143397.02</f>
        <v>690213.71</v>
      </c>
      <c r="E39" s="101"/>
      <c r="F39" s="102"/>
      <c r="G39" s="103"/>
      <c r="H39" s="6"/>
      <c r="I39" s="6"/>
      <c r="J39" s="104"/>
      <c r="K39" s="105"/>
      <c r="N39"/>
      <c r="O39"/>
      <c r="AE39" s="49"/>
      <c r="AF39" s="5"/>
    </row>
    <row r="40" spans="1:32" ht="14.25" customHeight="1">
      <c r="A40" s="6"/>
      <c r="B40" s="98" t="s">
        <v>106</v>
      </c>
      <c r="C40" s="99">
        <v>6041980</v>
      </c>
      <c r="D40" s="100">
        <f>3564577.26+559745.75+981.2+127226.42+943269.44</f>
        <v>5195800.07</v>
      </c>
      <c r="E40" s="106"/>
      <c r="F40" s="102"/>
      <c r="G40" s="103"/>
      <c r="H40" s="6"/>
      <c r="I40" s="6"/>
      <c r="J40" s="6"/>
      <c r="K40" s="105"/>
      <c r="N40"/>
      <c r="O40"/>
      <c r="AE40" s="49"/>
      <c r="AF40" s="5"/>
    </row>
    <row r="41" spans="1:32" ht="15">
      <c r="A41" s="6"/>
      <c r="B41" s="107" t="s">
        <v>107</v>
      </c>
      <c r="C41" s="99">
        <v>1611578</v>
      </c>
      <c r="D41" s="100">
        <f>901469.95+94966.44+10270.72+235982.61</f>
        <v>1242689.7199999997</v>
      </c>
      <c r="E41" s="106"/>
      <c r="F41" s="108"/>
      <c r="G41" s="6"/>
      <c r="H41" s="6"/>
      <c r="I41" s="6"/>
      <c r="J41" s="6"/>
      <c r="K41" s="105"/>
      <c r="N41"/>
      <c r="O41"/>
      <c r="AE41" s="49"/>
      <c r="AF41" s="5"/>
    </row>
    <row r="42" spans="1:32" ht="15" customHeight="1">
      <c r="A42" s="6"/>
      <c r="B42" s="98" t="s">
        <v>108</v>
      </c>
      <c r="C42" s="109"/>
      <c r="D42" s="110"/>
      <c r="E42" s="106"/>
      <c r="F42" s="111"/>
      <c r="G42" s="6"/>
      <c r="H42" s="6"/>
      <c r="I42" s="6"/>
      <c r="J42" s="6"/>
      <c r="K42" s="49"/>
      <c r="N42"/>
      <c r="O42"/>
      <c r="AE42" s="49"/>
      <c r="AF42" s="5"/>
    </row>
    <row r="43" spans="1:32" ht="15">
      <c r="A43" s="6"/>
      <c r="B43" s="98" t="s">
        <v>109</v>
      </c>
      <c r="C43" s="109"/>
      <c r="D43" s="110"/>
      <c r="E43" s="106"/>
      <c r="F43" s="112"/>
      <c r="G43" s="6"/>
      <c r="H43" s="6"/>
      <c r="I43" s="6"/>
      <c r="J43" s="6"/>
      <c r="K43" s="49"/>
      <c r="N43"/>
      <c r="O43"/>
      <c r="AE43" s="49"/>
      <c r="AF43" s="5"/>
    </row>
    <row r="44" spans="1:32" ht="15">
      <c r="A44" s="6"/>
      <c r="B44" s="98"/>
      <c r="C44" s="109"/>
      <c r="D44" s="110"/>
      <c r="E44" s="106"/>
      <c r="F44" s="113"/>
      <c r="G44" s="6"/>
      <c r="H44" s="6"/>
      <c r="I44" s="6"/>
      <c r="J44" s="6"/>
      <c r="K44" s="49"/>
      <c r="N44"/>
      <c r="O44"/>
      <c r="AE44" s="49"/>
      <c r="AF44" s="5"/>
    </row>
    <row r="45" spans="1:32" ht="15">
      <c r="A45" s="6"/>
      <c r="B45" s="114"/>
      <c r="C45" s="109"/>
      <c r="D45" s="110"/>
      <c r="E45" s="106"/>
      <c r="F45" s="112"/>
      <c r="G45" s="106"/>
      <c r="H45" s="106"/>
      <c r="I45" s="106"/>
      <c r="J45" s="106"/>
      <c r="K45" s="49"/>
      <c r="N45"/>
      <c r="O45"/>
      <c r="AE45" s="5"/>
      <c r="AF45" s="5"/>
    </row>
    <row r="46" spans="1:32" ht="15">
      <c r="A46" s="6"/>
      <c r="B46" s="115"/>
      <c r="C46" s="109"/>
      <c r="D46" s="110"/>
      <c r="E46" s="106"/>
      <c r="F46" s="106"/>
      <c r="G46" s="106"/>
      <c r="H46" s="106"/>
      <c r="I46" s="106"/>
      <c r="J46" s="106"/>
      <c r="K46" s="49"/>
      <c r="N46"/>
      <c r="O46"/>
      <c r="AE46" s="5"/>
      <c r="AF46" s="5"/>
    </row>
    <row r="47" spans="1:32" ht="15">
      <c r="A47" s="6"/>
      <c r="B47" s="116" t="s">
        <v>110</v>
      </c>
      <c r="C47" s="464">
        <f>SUM(C39:C45)</f>
        <v>8448011</v>
      </c>
      <c r="D47" s="464">
        <f>SUM(D39:D45)</f>
        <v>7128703.5</v>
      </c>
      <c r="E47" s="84"/>
      <c r="F47" s="521" t="str">
        <f ca="1">+IF((ROUND(C47,0)=ROUND(OFFSET(B33,0,RIGHT('Introducción de datos'!$C$16,LEN('Introducción de datos'!$C$16)-1),1,1),0)),"OK: Datos corresponden","Atención: Datos no corresponden")</f>
        <v>OK: Datos corresponden</v>
      </c>
      <c r="G47" s="521"/>
      <c r="H47" s="521"/>
      <c r="I47" s="521"/>
      <c r="J47" s="117"/>
      <c r="K47" s="117"/>
      <c r="L47" s="117"/>
      <c r="M47" s="85"/>
      <c r="N47" s="86"/>
      <c r="O47" s="62"/>
      <c r="P47" s="60"/>
      <c r="AE47" s="5"/>
      <c r="AF47" s="5"/>
    </row>
    <row r="48" spans="1:19" ht="15">
      <c r="A48" s="6"/>
      <c r="B48" s="6"/>
      <c r="C48" s="117"/>
      <c r="D48" s="117"/>
      <c r="E48" s="118"/>
      <c r="F48" s="117"/>
      <c r="G48" s="117"/>
      <c r="H48" s="117"/>
      <c r="I48" s="117"/>
      <c r="J48" s="117"/>
      <c r="K48" s="117"/>
      <c r="L48" s="117"/>
      <c r="M48" s="117"/>
      <c r="N48" s="117"/>
      <c r="O48" s="117"/>
      <c r="P48" s="85"/>
      <c r="Q48" s="86"/>
      <c r="R48" s="62"/>
      <c r="S48" s="60"/>
    </row>
    <row r="49" spans="1:19" ht="18.75">
      <c r="A49" s="6"/>
      <c r="B49" s="59" t="s">
        <v>111</v>
      </c>
      <c r="C49" s="6"/>
      <c r="D49" s="6"/>
      <c r="E49" s="6"/>
      <c r="F49" s="6"/>
      <c r="G49" s="6"/>
      <c r="H49" s="6"/>
      <c r="I49" s="6"/>
      <c r="J49" s="6"/>
      <c r="K49" s="6"/>
      <c r="L49" s="6"/>
      <c r="M49" s="6"/>
      <c r="P49" s="60"/>
      <c r="Q49" s="61"/>
      <c r="R49" s="62">
        <f>+J33</f>
        <v>15400582</v>
      </c>
      <c r="S49" s="60"/>
    </row>
    <row r="50" spans="1:19" ht="15">
      <c r="A50" s="6"/>
      <c r="B50" s="6"/>
      <c r="C50" s="103"/>
      <c r="D50" s="6"/>
      <c r="E50" s="6"/>
      <c r="F50" s="6"/>
      <c r="G50" s="6"/>
      <c r="H50" s="6"/>
      <c r="I50" s="6"/>
      <c r="J50" s="6"/>
      <c r="K50" s="6"/>
      <c r="L50" s="6"/>
      <c r="M50" s="6"/>
      <c r="P50" s="60"/>
      <c r="Q50" s="61"/>
      <c r="R50" s="62">
        <f>+K33</f>
        <v>0</v>
      </c>
      <c r="S50" s="60"/>
    </row>
    <row r="51" spans="1:34" ht="35.25" customHeight="1">
      <c r="A51" s="6"/>
      <c r="B51" s="119"/>
      <c r="C51" s="120" t="s">
        <v>112</v>
      </c>
      <c r="D51" s="120" t="s">
        <v>113</v>
      </c>
      <c r="E51" s="121" t="str">
        <f>CONCATENATE("Total gastado y desembolso (en ",D26,")")</f>
        <v>Total gastado y desembolso (en $)</v>
      </c>
      <c r="F51" s="6"/>
      <c r="G51" s="122"/>
      <c r="H51" s="95"/>
      <c r="I51" s="123"/>
      <c r="J51" s="123"/>
      <c r="K51" s="123"/>
      <c r="L51" s="123"/>
      <c r="M51" s="124"/>
      <c r="N51" s="124"/>
      <c r="O51" s="60"/>
      <c r="P51" s="61"/>
      <c r="Q51" s="62">
        <f>+M33</f>
        <v>0</v>
      </c>
      <c r="R51" s="60"/>
      <c r="AH51" s="49"/>
    </row>
    <row r="52" spans="1:34" ht="15">
      <c r="A52" s="6"/>
      <c r="B52" s="125" t="s">
        <v>114</v>
      </c>
      <c r="C52" s="126">
        <f>4638823.7+941478.07+2782037</f>
        <v>8362338.7700000005</v>
      </c>
      <c r="D52" s="126">
        <v>0</v>
      </c>
      <c r="E52" s="127">
        <f>SUM(C52:D52)</f>
        <v>8362338.7700000005</v>
      </c>
      <c r="F52" s="6"/>
      <c r="G52" s="128"/>
      <c r="H52" s="129"/>
      <c r="I52" s="130"/>
      <c r="J52" s="131"/>
      <c r="K52" s="131"/>
      <c r="L52" s="132"/>
      <c r="M52" s="132"/>
      <c r="N52" s="132"/>
      <c r="O52" s="60"/>
      <c r="P52" s="60"/>
      <c r="Q52" s="60"/>
      <c r="R52" s="60"/>
      <c r="AH52" s="49"/>
    </row>
    <row r="53" spans="1:34" ht="15">
      <c r="A53" s="6"/>
      <c r="B53" s="125" t="s">
        <v>115</v>
      </c>
      <c r="C53" s="126">
        <f>4326671.52+552716.32+50681.71+127226.42+10270.72+738487.74</f>
        <v>5806054.43</v>
      </c>
      <c r="D53" s="126">
        <v>1322649.07</v>
      </c>
      <c r="E53" s="127">
        <f>SUM(C53:D53)</f>
        <v>7128703.5</v>
      </c>
      <c r="F53" s="103"/>
      <c r="G53" s="133"/>
      <c r="H53" s="129"/>
      <c r="I53" s="130"/>
      <c r="J53" s="131"/>
      <c r="K53" s="131"/>
      <c r="L53" s="132"/>
      <c r="M53" s="134"/>
      <c r="N53" s="134"/>
      <c r="O53" s="60"/>
      <c r="P53" s="60"/>
      <c r="Q53" s="60"/>
      <c r="R53" s="60"/>
      <c r="AH53" s="49"/>
    </row>
    <row r="54" spans="1:34" ht="15">
      <c r="A54" s="6"/>
      <c r="B54" s="125" t="s">
        <v>116</v>
      </c>
      <c r="C54" s="135"/>
      <c r="D54" s="135"/>
      <c r="E54" s="136"/>
      <c r="F54" s="6"/>
      <c r="G54" s="128"/>
      <c r="H54" s="129"/>
      <c r="I54" s="130"/>
      <c r="J54" s="131"/>
      <c r="K54" s="131"/>
      <c r="L54" s="132"/>
      <c r="M54" s="132"/>
      <c r="N54" s="132"/>
      <c r="O54"/>
      <c r="AH54" s="49"/>
    </row>
    <row r="55" spans="1:34" ht="15">
      <c r="A55" s="6"/>
      <c r="B55" s="137" t="s">
        <v>117</v>
      </c>
      <c r="C55" s="138"/>
      <c r="D55" s="138"/>
      <c r="E55" s="139"/>
      <c r="F55" s="6"/>
      <c r="G55" s="133"/>
      <c r="H55" s="140"/>
      <c r="I55" s="141"/>
      <c r="J55" s="141"/>
      <c r="K55" s="141"/>
      <c r="L55" s="132"/>
      <c r="M55" s="134"/>
      <c r="N55" s="134"/>
      <c r="O55"/>
      <c r="AH55" s="49"/>
    </row>
    <row r="56" spans="1:35" ht="15.75" customHeight="1">
      <c r="A56" s="6"/>
      <c r="B56" s="6"/>
      <c r="C56" s="6"/>
      <c r="D56" s="6"/>
      <c r="E56" s="6"/>
      <c r="F56" s="6"/>
      <c r="G56" s="6"/>
      <c r="H56" s="6"/>
      <c r="I56" s="6"/>
      <c r="J56" s="6"/>
      <c r="K56" s="6"/>
      <c r="L56" s="6"/>
      <c r="M56" s="6"/>
      <c r="AI56" s="49"/>
    </row>
    <row r="57" spans="1:13" ht="15">
      <c r="A57" s="6"/>
      <c r="B57" s="6"/>
      <c r="C57" s="6"/>
      <c r="D57" s="6"/>
      <c r="E57" s="6"/>
      <c r="F57" s="6"/>
      <c r="G57" s="6"/>
      <c r="H57" s="6"/>
      <c r="I57" s="6"/>
      <c r="J57" s="6"/>
      <c r="K57" s="6"/>
      <c r="L57" s="6"/>
      <c r="M57" s="6"/>
    </row>
    <row r="58" spans="1:13" ht="18.75">
      <c r="A58" s="6"/>
      <c r="B58" s="59" t="s">
        <v>118</v>
      </c>
      <c r="C58" s="6"/>
      <c r="D58" s="6"/>
      <c r="E58" s="6"/>
      <c r="F58" s="6"/>
      <c r="G58" s="6"/>
      <c r="H58" s="6"/>
      <c r="I58" s="6"/>
      <c r="J58" s="6"/>
      <c r="K58" s="6"/>
      <c r="L58" s="6"/>
      <c r="M58" s="6"/>
    </row>
    <row r="59" spans="1:13" ht="15">
      <c r="A59" s="6"/>
      <c r="B59" s="6"/>
      <c r="C59" s="6"/>
      <c r="D59" s="6"/>
      <c r="E59" s="6"/>
      <c r="F59" s="6"/>
      <c r="G59" s="6"/>
      <c r="H59" s="6"/>
      <c r="I59" s="6"/>
      <c r="J59" s="6"/>
      <c r="K59" s="6"/>
      <c r="L59" s="6"/>
      <c r="M59" s="6"/>
    </row>
    <row r="60" spans="1:15" ht="15" customHeight="1">
      <c r="A60" s="6"/>
      <c r="B60" s="522" t="s">
        <v>119</v>
      </c>
      <c r="C60" s="522"/>
      <c r="D60" s="522"/>
      <c r="E60" s="6"/>
      <c r="F60" s="6"/>
      <c r="G60" s="6"/>
      <c r="H60" s="6"/>
      <c r="I60" s="6"/>
      <c r="J60" s="6"/>
      <c r="K60" s="6"/>
      <c r="L60" s="6"/>
      <c r="M60" s="5"/>
      <c r="O60"/>
    </row>
    <row r="61" spans="1:15" ht="15">
      <c r="A61" s="6"/>
      <c r="B61" s="142"/>
      <c r="C61" s="143" t="s">
        <v>120</v>
      </c>
      <c r="D61" s="144" t="s">
        <v>121</v>
      </c>
      <c r="E61" s="6"/>
      <c r="F61" s="6"/>
      <c r="G61" s="6"/>
      <c r="H61" s="6"/>
      <c r="I61" s="6"/>
      <c r="J61" s="6"/>
      <c r="K61" s="6"/>
      <c r="L61" s="6"/>
      <c r="M61" s="5"/>
      <c r="O61"/>
    </row>
    <row r="62" spans="1:15" ht="15">
      <c r="A62" s="6"/>
      <c r="B62" s="145" t="s">
        <v>122</v>
      </c>
      <c r="C62" s="146">
        <v>45</v>
      </c>
      <c r="D62" s="147">
        <v>45</v>
      </c>
      <c r="E62" s="6"/>
      <c r="F62" s="6"/>
      <c r="G62" s="6"/>
      <c r="H62" s="6"/>
      <c r="I62" s="6"/>
      <c r="J62" s="6"/>
      <c r="K62" s="6"/>
      <c r="L62" s="6"/>
      <c r="M62" s="5"/>
      <c r="O62"/>
    </row>
    <row r="63" spans="1:15" ht="15">
      <c r="A63" s="6"/>
      <c r="B63" s="148" t="s">
        <v>123</v>
      </c>
      <c r="C63" s="146">
        <v>45</v>
      </c>
      <c r="D63" s="147">
        <v>27</v>
      </c>
      <c r="E63" s="6"/>
      <c r="F63" s="6"/>
      <c r="G63" s="6"/>
      <c r="H63" s="129"/>
      <c r="I63" s="129"/>
      <c r="J63" s="6"/>
      <c r="K63" s="6"/>
      <c r="L63" s="6"/>
      <c r="M63" s="5"/>
      <c r="O63"/>
    </row>
    <row r="64" spans="1:15" ht="15">
      <c r="A64" s="6"/>
      <c r="B64" s="149" t="s">
        <v>124</v>
      </c>
      <c r="C64" s="150"/>
      <c r="D64" s="151"/>
      <c r="E64" s="6"/>
      <c r="F64" s="6"/>
      <c r="G64" s="6"/>
      <c r="H64" s="129"/>
      <c r="I64" s="129"/>
      <c r="J64" s="6"/>
      <c r="K64" s="6"/>
      <c r="L64" s="6"/>
      <c r="M64" s="5"/>
      <c r="O64"/>
    </row>
    <row r="65" spans="1:13" ht="15">
      <c r="A65" s="6"/>
      <c r="B65" s="6"/>
      <c r="C65" s="6"/>
      <c r="D65" s="6"/>
      <c r="E65" s="6"/>
      <c r="F65" s="6"/>
      <c r="G65" s="6"/>
      <c r="H65" s="6"/>
      <c r="I65" s="6"/>
      <c r="J65" s="6"/>
      <c r="K65" s="6"/>
      <c r="L65" s="6"/>
      <c r="M65" s="6"/>
    </row>
    <row r="66" spans="1:30" ht="15">
      <c r="A66" s="6"/>
      <c r="B66" s="6"/>
      <c r="C66" s="6"/>
      <c r="D66" s="6"/>
      <c r="E66" s="6"/>
      <c r="F66" s="6"/>
      <c r="G66" s="6"/>
      <c r="H66" s="6"/>
      <c r="I66" s="6"/>
      <c r="J66" s="6"/>
      <c r="K66" s="6"/>
      <c r="L66" s="152"/>
      <c r="M66" s="6"/>
      <c r="AC66" s="10"/>
      <c r="AD66" s="10"/>
    </row>
    <row r="67" spans="1:30" ht="18.75">
      <c r="A67" s="6"/>
      <c r="B67" s="153" t="s">
        <v>125</v>
      </c>
      <c r="C67" s="154"/>
      <c r="D67" s="154"/>
      <c r="E67" s="154"/>
      <c r="F67" s="154"/>
      <c r="G67" s="154"/>
      <c r="H67" s="155" t="s">
        <v>126</v>
      </c>
      <c r="I67" s="154"/>
      <c r="J67" s="156"/>
      <c r="K67" s="156"/>
      <c r="L67" s="157"/>
      <c r="M67" s="158"/>
      <c r="N67" s="159"/>
      <c r="O67" s="159"/>
      <c r="P67" s="159"/>
      <c r="S67" s="55"/>
      <c r="AC67" s="10"/>
      <c r="AD67" s="10"/>
    </row>
    <row r="68" spans="1:30" ht="18.75">
      <c r="A68" s="6"/>
      <c r="B68" s="160"/>
      <c r="C68" s="161"/>
      <c r="D68" s="161"/>
      <c r="E68" s="161"/>
      <c r="F68" s="161"/>
      <c r="G68" s="161"/>
      <c r="H68" s="161"/>
      <c r="I68" s="161"/>
      <c r="J68" s="161"/>
      <c r="K68" s="162"/>
      <c r="L68" s="162"/>
      <c r="M68" s="161"/>
      <c r="N68" s="159"/>
      <c r="O68" s="159"/>
      <c r="P68" s="159"/>
      <c r="S68" s="55"/>
      <c r="AC68" s="10"/>
      <c r="AD68" s="10"/>
    </row>
    <row r="69" spans="1:30" ht="18.75">
      <c r="A69" s="6"/>
      <c r="B69" s="160" t="s">
        <v>127</v>
      </c>
      <c r="C69" s="161"/>
      <c r="D69" s="161"/>
      <c r="E69" s="161"/>
      <c r="F69" s="161"/>
      <c r="G69" s="161"/>
      <c r="H69" s="161"/>
      <c r="I69" s="161"/>
      <c r="J69" s="161"/>
      <c r="K69" s="162"/>
      <c r="L69" s="162"/>
      <c r="M69" s="161"/>
      <c r="N69" s="159"/>
      <c r="O69" s="159"/>
      <c r="P69" s="159"/>
      <c r="S69" s="55"/>
      <c r="AC69" s="10"/>
      <c r="AD69" s="10"/>
    </row>
    <row r="70" spans="1:30" ht="15">
      <c r="A70" s="6"/>
      <c r="B70" s="163"/>
      <c r="C70" s="164"/>
      <c r="D70" s="164"/>
      <c r="E70" s="164"/>
      <c r="F70" s="164"/>
      <c r="G70" s="164"/>
      <c r="H70" s="163"/>
      <c r="I70" s="164"/>
      <c r="J70" s="163"/>
      <c r="K70" s="163"/>
      <c r="L70" s="163"/>
      <c r="M70" s="163"/>
      <c r="N70" s="49"/>
      <c r="O70" s="10"/>
      <c r="P70" s="10"/>
      <c r="Q70" s="10"/>
      <c r="R70" s="10"/>
      <c r="S70" s="10"/>
      <c r="AD70" s="10"/>
    </row>
    <row r="71" spans="1:19" ht="69.75" customHeight="1">
      <c r="A71" s="6"/>
      <c r="B71" s="523"/>
      <c r="C71" s="523"/>
      <c r="D71" s="165" t="s">
        <v>128</v>
      </c>
      <c r="E71" s="166" t="s">
        <v>129</v>
      </c>
      <c r="F71" s="166" t="s">
        <v>130</v>
      </c>
      <c r="G71" s="167" t="s">
        <v>110</v>
      </c>
      <c r="H71" s="168"/>
      <c r="I71" s="169"/>
      <c r="J71" s="106"/>
      <c r="K71" s="163"/>
      <c r="L71" s="163"/>
      <c r="M71" s="163"/>
      <c r="N71" s="49"/>
      <c r="O71" s="10"/>
      <c r="P71" s="10"/>
      <c r="Q71" s="10"/>
      <c r="R71" s="10"/>
      <c r="S71" s="10"/>
    </row>
    <row r="72" spans="1:19" ht="15">
      <c r="A72" s="6"/>
      <c r="B72" s="524" t="s">
        <v>131</v>
      </c>
      <c r="C72" s="524"/>
      <c r="D72" s="171">
        <v>8</v>
      </c>
      <c r="E72" s="171">
        <v>12</v>
      </c>
      <c r="F72" s="171">
        <v>0</v>
      </c>
      <c r="G72" s="172">
        <f>SUM(D72:F72)</f>
        <v>20</v>
      </c>
      <c r="H72" s="112"/>
      <c r="I72" s="173"/>
      <c r="J72" s="173"/>
      <c r="K72" s="163"/>
      <c r="L72" s="163"/>
      <c r="M72" s="163"/>
      <c r="N72" s="49"/>
      <c r="O72" s="10"/>
      <c r="P72" s="10"/>
      <c r="Q72" s="10"/>
      <c r="R72" s="10"/>
      <c r="S72" s="10"/>
    </row>
    <row r="73" spans="1:19" ht="15.75" customHeight="1">
      <c r="A73" s="6"/>
      <c r="B73" s="525" t="s">
        <v>132</v>
      </c>
      <c r="C73" s="525"/>
      <c r="D73" s="175"/>
      <c r="E73" s="175"/>
      <c r="F73" s="175"/>
      <c r="G73" s="176">
        <f>SUM(D73:F73)</f>
        <v>0</v>
      </c>
      <c r="H73" s="112"/>
      <c r="I73" s="106"/>
      <c r="J73" s="106"/>
      <c r="K73" s="163"/>
      <c r="L73" s="163"/>
      <c r="M73" s="163"/>
      <c r="N73" s="10"/>
      <c r="O73" s="10"/>
      <c r="P73" s="10"/>
      <c r="Q73" s="10"/>
      <c r="R73" s="10"/>
      <c r="S73" s="10"/>
    </row>
    <row r="74" spans="1:19" ht="15">
      <c r="A74" s="6"/>
      <c r="B74" s="163"/>
      <c r="C74" s="163"/>
      <c r="D74" s="163"/>
      <c r="E74" s="163"/>
      <c r="F74" s="163"/>
      <c r="G74" s="163"/>
      <c r="H74" s="163"/>
      <c r="I74" s="163"/>
      <c r="J74" s="163"/>
      <c r="K74" s="163"/>
      <c r="L74" s="163"/>
      <c r="M74" s="163"/>
      <c r="N74" s="10"/>
      <c r="O74" s="10"/>
      <c r="P74" s="10"/>
      <c r="Q74" s="10"/>
      <c r="R74" s="10"/>
      <c r="S74" s="10"/>
    </row>
    <row r="75" spans="1:19" ht="15">
      <c r="A75" s="6"/>
      <c r="B75" s="163"/>
      <c r="C75" s="163"/>
      <c r="D75" s="163"/>
      <c r="E75" s="163"/>
      <c r="F75" s="163"/>
      <c r="G75" s="163"/>
      <c r="H75" s="163"/>
      <c r="I75" s="163"/>
      <c r="J75" s="163"/>
      <c r="K75" s="163"/>
      <c r="L75" s="163"/>
      <c r="M75" s="163"/>
      <c r="N75" s="10"/>
      <c r="O75" s="10"/>
      <c r="P75" s="10"/>
      <c r="S75" s="10"/>
    </row>
    <row r="76" spans="1:19" ht="18.75">
      <c r="A76" s="6"/>
      <c r="B76" s="160" t="s">
        <v>133</v>
      </c>
      <c r="C76" s="163"/>
      <c r="D76" s="163"/>
      <c r="E76" s="163"/>
      <c r="F76" s="163"/>
      <c r="G76" s="163"/>
      <c r="H76" s="163"/>
      <c r="I76" s="163"/>
      <c r="J76" s="163"/>
      <c r="K76" s="163"/>
      <c r="L76" s="163"/>
      <c r="M76" s="163"/>
      <c r="N76" s="10"/>
      <c r="O76" s="10"/>
      <c r="P76" s="10"/>
      <c r="S76" s="10"/>
    </row>
    <row r="77" spans="1:19" ht="15">
      <c r="A77" s="6"/>
      <c r="B77" s="163"/>
      <c r="C77" s="163"/>
      <c r="D77" s="163"/>
      <c r="E77" s="163"/>
      <c r="F77" s="163"/>
      <c r="G77" s="163"/>
      <c r="H77" s="163"/>
      <c r="I77" s="163"/>
      <c r="J77" s="163"/>
      <c r="K77" s="163"/>
      <c r="L77" s="163"/>
      <c r="M77" s="163"/>
      <c r="N77" s="10"/>
      <c r="O77" s="10"/>
      <c r="P77" s="10"/>
      <c r="S77" s="10"/>
    </row>
    <row r="78" spans="1:19" ht="15">
      <c r="A78" s="6"/>
      <c r="B78" s="177"/>
      <c r="C78" s="178" t="s">
        <v>134</v>
      </c>
      <c r="D78" s="178" t="s">
        <v>135</v>
      </c>
      <c r="E78" s="179" t="s">
        <v>136</v>
      </c>
      <c r="F78" s="106"/>
      <c r="G78" s="106"/>
      <c r="H78" s="106"/>
      <c r="I78" s="169"/>
      <c r="J78" s="163"/>
      <c r="K78" s="163"/>
      <c r="L78" s="163"/>
      <c r="M78" s="163"/>
      <c r="N78" s="10"/>
      <c r="O78" s="10"/>
      <c r="P78" s="10"/>
      <c r="S78" s="10"/>
    </row>
    <row r="79" spans="1:19" ht="15">
      <c r="A79" s="6"/>
      <c r="B79" s="174" t="s">
        <v>137</v>
      </c>
      <c r="C79" s="180">
        <v>4</v>
      </c>
      <c r="D79" s="180">
        <v>4</v>
      </c>
      <c r="E79" s="181">
        <f>+C79-D79</f>
        <v>0</v>
      </c>
      <c r="F79" s="182"/>
      <c r="G79" s="183"/>
      <c r="H79" s="106"/>
      <c r="I79" s="173"/>
      <c r="J79" s="163"/>
      <c r="K79" s="163"/>
      <c r="L79" s="163"/>
      <c r="M79" s="163"/>
      <c r="N79" s="10"/>
      <c r="O79" s="10"/>
      <c r="P79" s="10"/>
      <c r="S79" s="10"/>
    </row>
    <row r="80" spans="1:19" ht="15">
      <c r="A80" s="6"/>
      <c r="B80" s="163"/>
      <c r="C80" s="163"/>
      <c r="D80" s="163"/>
      <c r="E80" s="163"/>
      <c r="F80" s="163"/>
      <c r="G80" s="163"/>
      <c r="H80" s="163"/>
      <c r="I80" s="163"/>
      <c r="J80" s="163"/>
      <c r="K80" s="163"/>
      <c r="L80" s="163"/>
      <c r="M80" s="163"/>
      <c r="N80" s="10"/>
      <c r="O80" s="10"/>
      <c r="P80" s="10"/>
      <c r="S80" s="10"/>
    </row>
    <row r="81" spans="1:19" ht="18.75">
      <c r="A81" s="6"/>
      <c r="B81" s="160" t="s">
        <v>138</v>
      </c>
      <c r="C81" s="163"/>
      <c r="D81" s="163"/>
      <c r="E81" s="163"/>
      <c r="F81" s="163"/>
      <c r="G81" s="163"/>
      <c r="H81" s="163"/>
      <c r="I81" s="163"/>
      <c r="J81" s="163"/>
      <c r="K81" s="163"/>
      <c r="L81" s="163"/>
      <c r="M81" s="163"/>
      <c r="N81" s="10"/>
      <c r="O81" s="10"/>
      <c r="P81" s="10"/>
      <c r="S81" s="10"/>
    </row>
    <row r="82" spans="1:19" ht="15">
      <c r="A82" s="6"/>
      <c r="B82" s="163"/>
      <c r="C82" s="163"/>
      <c r="D82" s="163"/>
      <c r="E82" s="163"/>
      <c r="F82" s="163"/>
      <c r="G82" s="163"/>
      <c r="H82" s="163"/>
      <c r="I82" s="163"/>
      <c r="J82" s="163"/>
      <c r="K82" s="163"/>
      <c r="L82" s="163"/>
      <c r="M82" s="163"/>
      <c r="N82" s="10"/>
      <c r="O82" s="10"/>
      <c r="P82" s="10"/>
      <c r="S82" s="10"/>
    </row>
    <row r="83" spans="1:19" ht="15">
      <c r="A83" s="6"/>
      <c r="B83" s="177"/>
      <c r="C83" s="178" t="s">
        <v>139</v>
      </c>
      <c r="D83" s="178" t="s">
        <v>140</v>
      </c>
      <c r="E83" s="178" t="s">
        <v>141</v>
      </c>
      <c r="F83" s="178" t="s">
        <v>142</v>
      </c>
      <c r="G83" s="184" t="s">
        <v>143</v>
      </c>
      <c r="H83" s="185"/>
      <c r="I83" s="169"/>
      <c r="J83" s="163"/>
      <c r="K83" s="163"/>
      <c r="L83" s="163"/>
      <c r="M83" s="163"/>
      <c r="N83" s="10"/>
      <c r="O83" s="10"/>
      <c r="P83" s="10"/>
      <c r="S83" s="10"/>
    </row>
    <row r="84" spans="1:19" ht="15">
      <c r="A84" s="6"/>
      <c r="B84" s="174" t="s">
        <v>144</v>
      </c>
      <c r="C84" s="180" t="s">
        <v>145</v>
      </c>
      <c r="D84" s="180" t="s">
        <v>145</v>
      </c>
      <c r="E84" s="180" t="s">
        <v>145</v>
      </c>
      <c r="F84" s="180" t="s">
        <v>145</v>
      </c>
      <c r="G84" s="186" t="s">
        <v>145</v>
      </c>
      <c r="H84" s="187"/>
      <c r="I84" s="112"/>
      <c r="J84" s="163"/>
      <c r="K84" s="163"/>
      <c r="L84" s="163"/>
      <c r="M84" s="163"/>
      <c r="N84" s="10"/>
      <c r="O84" s="10"/>
      <c r="P84" s="10"/>
      <c r="S84" s="10"/>
    </row>
    <row r="85" spans="1:19" ht="15">
      <c r="A85" s="6"/>
      <c r="B85" s="163"/>
      <c r="C85" s="163"/>
      <c r="D85" s="163"/>
      <c r="E85" s="163"/>
      <c r="F85" s="163"/>
      <c r="G85" s="163"/>
      <c r="H85" s="163"/>
      <c r="J85" s="163"/>
      <c r="K85" s="163"/>
      <c r="L85" s="163"/>
      <c r="M85" s="163"/>
      <c r="N85" s="10"/>
      <c r="O85" s="10"/>
      <c r="P85" s="10"/>
      <c r="S85" s="10"/>
    </row>
    <row r="86" spans="1:19" ht="18.75">
      <c r="A86" s="6"/>
      <c r="B86" s="160" t="s">
        <v>146</v>
      </c>
      <c r="C86" s="163"/>
      <c r="D86" s="163"/>
      <c r="E86" s="163"/>
      <c r="F86" s="163"/>
      <c r="G86" s="163"/>
      <c r="H86" s="163"/>
      <c r="I86" s="163"/>
      <c r="J86" s="163"/>
      <c r="K86" s="163"/>
      <c r="L86" s="163"/>
      <c r="M86" s="163"/>
      <c r="N86" s="10"/>
      <c r="O86" s="10"/>
      <c r="P86" s="10"/>
      <c r="S86" s="10"/>
    </row>
    <row r="87" spans="1:19" ht="15">
      <c r="A87" s="6"/>
      <c r="B87" s="163"/>
      <c r="C87" s="163"/>
      <c r="D87" s="163"/>
      <c r="E87" s="163"/>
      <c r="F87" s="163"/>
      <c r="G87" s="163"/>
      <c r="H87" s="163"/>
      <c r="I87" s="163"/>
      <c r="J87" s="163"/>
      <c r="K87" s="163"/>
      <c r="L87" s="163"/>
      <c r="M87" s="163"/>
      <c r="N87" s="10"/>
      <c r="O87" s="10"/>
      <c r="P87" s="10"/>
      <c r="S87" s="10"/>
    </row>
    <row r="88" spans="1:36" ht="15">
      <c r="A88" s="6"/>
      <c r="B88" s="177"/>
      <c r="C88" s="188" t="s">
        <v>147</v>
      </c>
      <c r="D88" s="188" t="s">
        <v>148</v>
      </c>
      <c r="E88" s="189" t="s">
        <v>149</v>
      </c>
      <c r="F88" s="163"/>
      <c r="G88" s="163"/>
      <c r="H88" s="163"/>
      <c r="I88" s="163"/>
      <c r="J88" s="10"/>
      <c r="K88" s="10"/>
      <c r="L88" s="10"/>
      <c r="N88"/>
      <c r="O88" s="10"/>
      <c r="AG88" s="5"/>
      <c r="AJ88"/>
    </row>
    <row r="89" spans="1:36" ht="15">
      <c r="A89" s="6"/>
      <c r="B89" s="170" t="s">
        <v>150</v>
      </c>
      <c r="C89" s="171" t="s">
        <v>145</v>
      </c>
      <c r="D89" s="190" t="s">
        <v>145</v>
      </c>
      <c r="E89" s="191" t="s">
        <v>145</v>
      </c>
      <c r="F89" s="163"/>
      <c r="G89" s="163"/>
      <c r="H89" s="163"/>
      <c r="I89" s="163"/>
      <c r="J89" s="10"/>
      <c r="K89" s="10"/>
      <c r="L89" s="10"/>
      <c r="N89"/>
      <c r="O89" s="10"/>
      <c r="AG89" s="5"/>
      <c r="AJ89"/>
    </row>
    <row r="90" spans="1:36" ht="15">
      <c r="A90" s="6"/>
      <c r="B90" s="174" t="s">
        <v>151</v>
      </c>
      <c r="C90" s="175" t="s">
        <v>145</v>
      </c>
      <c r="D90" s="192" t="s">
        <v>145</v>
      </c>
      <c r="E90" s="191" t="s">
        <v>145</v>
      </c>
      <c r="F90" s="163"/>
      <c r="G90" s="163"/>
      <c r="H90" s="163"/>
      <c r="I90" s="163"/>
      <c r="J90" s="10"/>
      <c r="K90" s="10"/>
      <c r="L90" s="10"/>
      <c r="N90"/>
      <c r="O90" s="10"/>
      <c r="AG90" s="5"/>
      <c r="AJ90"/>
    </row>
    <row r="91" spans="1:19" ht="15">
      <c r="A91" s="6"/>
      <c r="B91" s="163"/>
      <c r="C91" s="163"/>
      <c r="D91" s="163"/>
      <c r="E91" s="163"/>
      <c r="F91" s="163"/>
      <c r="G91" s="163"/>
      <c r="H91" s="163"/>
      <c r="I91" s="163"/>
      <c r="J91" s="163"/>
      <c r="K91" s="163"/>
      <c r="L91" s="163"/>
      <c r="M91" s="163"/>
      <c r="N91" s="10"/>
      <c r="O91" s="10"/>
      <c r="P91" s="10"/>
      <c r="S91" s="10"/>
    </row>
    <row r="92" spans="1:19" ht="18.75">
      <c r="A92" s="6"/>
      <c r="B92" s="160" t="s">
        <v>152</v>
      </c>
      <c r="C92" s="163"/>
      <c r="D92" s="163"/>
      <c r="E92" s="163"/>
      <c r="F92" s="163"/>
      <c r="G92" s="163"/>
      <c r="H92" s="163"/>
      <c r="I92" s="163"/>
      <c r="J92" s="163"/>
      <c r="K92" s="163"/>
      <c r="L92" s="163"/>
      <c r="M92" s="163"/>
      <c r="N92" s="10"/>
      <c r="O92" s="10"/>
      <c r="P92" s="10"/>
      <c r="S92" s="10"/>
    </row>
    <row r="93" spans="1:19" ht="15">
      <c r="A93" s="6"/>
      <c r="B93" s="163"/>
      <c r="C93" s="163"/>
      <c r="D93" s="163"/>
      <c r="E93" s="163"/>
      <c r="F93" s="163"/>
      <c r="G93" s="163"/>
      <c r="H93" s="163"/>
      <c r="I93" s="106"/>
      <c r="J93" s="106"/>
      <c r="K93" s="106"/>
      <c r="L93" s="106"/>
      <c r="M93" s="106"/>
      <c r="N93" s="49"/>
      <c r="O93" s="49"/>
      <c r="P93" s="49"/>
      <c r="S93" s="10"/>
    </row>
    <row r="94" spans="1:19" ht="15">
      <c r="A94" s="6"/>
      <c r="B94" s="193"/>
      <c r="C94" s="194" t="s">
        <v>89</v>
      </c>
      <c r="D94" s="194" t="s">
        <v>90</v>
      </c>
      <c r="E94" s="194" t="s">
        <v>72</v>
      </c>
      <c r="F94" s="194" t="s">
        <v>91</v>
      </c>
      <c r="G94" s="194" t="s">
        <v>92</v>
      </c>
      <c r="H94" s="194" t="s">
        <v>93</v>
      </c>
      <c r="I94" s="194" t="s">
        <v>94</v>
      </c>
      <c r="J94" s="194" t="s">
        <v>95</v>
      </c>
      <c r="K94" s="194" t="s">
        <v>96</v>
      </c>
      <c r="L94" s="194" t="s">
        <v>97</v>
      </c>
      <c r="M94" s="194" t="s">
        <v>98</v>
      </c>
      <c r="N94" s="195" t="s">
        <v>99</v>
      </c>
      <c r="O94" s="49"/>
      <c r="P94" s="49"/>
      <c r="S94" s="10"/>
    </row>
    <row r="95" spans="1:19" ht="15" customHeight="1">
      <c r="A95" s="6"/>
      <c r="B95" s="196" t="s">
        <v>153</v>
      </c>
      <c r="C95" s="197">
        <v>3206603</v>
      </c>
      <c r="D95" s="198">
        <v>10487</v>
      </c>
      <c r="E95" s="198">
        <v>392159</v>
      </c>
      <c r="F95" s="198">
        <v>2562883</v>
      </c>
      <c r="G95" s="198"/>
      <c r="H95" s="198"/>
      <c r="I95" s="198"/>
      <c r="J95" s="198"/>
      <c r="K95" s="198"/>
      <c r="L95" s="198"/>
      <c r="M95" s="198"/>
      <c r="N95" s="198"/>
      <c r="O95" s="49"/>
      <c r="P95" s="49"/>
      <c r="S95" s="10"/>
    </row>
    <row r="96" spans="1:19" ht="15" customHeight="1">
      <c r="A96" s="6"/>
      <c r="B96" s="196" t="s">
        <v>154</v>
      </c>
      <c r="C96" s="197"/>
      <c r="D96" s="198"/>
      <c r="E96" s="198">
        <v>1421382.21</v>
      </c>
      <c r="F96" s="198"/>
      <c r="G96" s="198"/>
      <c r="H96" s="198"/>
      <c r="I96" s="198"/>
      <c r="J96" s="198"/>
      <c r="K96" s="198"/>
      <c r="L96" s="198"/>
      <c r="M96" s="198"/>
      <c r="N96" s="198"/>
      <c r="O96" s="49"/>
      <c r="P96" s="49"/>
      <c r="S96" s="10"/>
    </row>
    <row r="97" spans="1:19" ht="15" customHeight="1">
      <c r="A97" s="6"/>
      <c r="B97" s="196" t="s">
        <v>155</v>
      </c>
      <c r="C97" s="197">
        <v>3414952</v>
      </c>
      <c r="D97" s="199">
        <v>21237</v>
      </c>
      <c r="E97" s="198">
        <v>377134</v>
      </c>
      <c r="F97" s="198">
        <v>918836.65</v>
      </c>
      <c r="G97" s="198"/>
      <c r="H97" s="198"/>
      <c r="I97" s="198"/>
      <c r="J97" s="198"/>
      <c r="K97" s="198"/>
      <c r="L97" s="198"/>
      <c r="M97" s="198"/>
      <c r="N97" s="198"/>
      <c r="O97" s="49"/>
      <c r="P97" s="49"/>
      <c r="S97" s="10"/>
    </row>
    <row r="98" spans="1:19" ht="15" customHeight="1">
      <c r="A98" s="6"/>
      <c r="B98" s="200" t="s">
        <v>156</v>
      </c>
      <c r="C98" s="201">
        <v>3414952</v>
      </c>
      <c r="D98" s="202">
        <f>+C98+D95</f>
        <v>3425439</v>
      </c>
      <c r="E98" s="202">
        <f>+D98+E95</f>
        <v>3817598</v>
      </c>
      <c r="F98" s="202">
        <f aca="true" t="shared" si="3" ref="F98:N98">+E98+F95</f>
        <v>6380481</v>
      </c>
      <c r="G98" s="202">
        <f t="shared" si="3"/>
        <v>6380481</v>
      </c>
      <c r="H98" s="202">
        <f t="shared" si="3"/>
        <v>6380481</v>
      </c>
      <c r="I98" s="202">
        <f t="shared" si="3"/>
        <v>6380481</v>
      </c>
      <c r="J98" s="202">
        <f t="shared" si="3"/>
        <v>6380481</v>
      </c>
      <c r="K98" s="202">
        <f t="shared" si="3"/>
        <v>6380481</v>
      </c>
      <c r="L98" s="202">
        <f t="shared" si="3"/>
        <v>6380481</v>
      </c>
      <c r="M98" s="202">
        <f t="shared" si="3"/>
        <v>6380481</v>
      </c>
      <c r="N98" s="202">
        <f t="shared" si="3"/>
        <v>6380481</v>
      </c>
      <c r="O98" s="49"/>
      <c r="P98" s="49"/>
      <c r="S98" s="10"/>
    </row>
    <row r="99" spans="1:19" ht="15" customHeight="1">
      <c r="A99" s="6"/>
      <c r="B99" s="200" t="s">
        <v>157</v>
      </c>
      <c r="C99" s="203">
        <v>0</v>
      </c>
      <c r="D99" s="202">
        <v>0</v>
      </c>
      <c r="E99" s="202">
        <v>0</v>
      </c>
      <c r="F99" s="202">
        <v>0</v>
      </c>
      <c r="G99" s="202">
        <v>0</v>
      </c>
      <c r="H99" s="202">
        <v>0</v>
      </c>
      <c r="I99" s="204">
        <f aca="true" t="shared" si="4" ref="I99:N99">+H99+I96</f>
        <v>0</v>
      </c>
      <c r="J99" s="204">
        <f t="shared" si="4"/>
        <v>0</v>
      </c>
      <c r="K99" s="204">
        <f t="shared" si="4"/>
        <v>0</v>
      </c>
      <c r="L99" s="204">
        <f t="shared" si="4"/>
        <v>0</v>
      </c>
      <c r="M99" s="204">
        <f t="shared" si="4"/>
        <v>0</v>
      </c>
      <c r="N99" s="204">
        <f t="shared" si="4"/>
        <v>0</v>
      </c>
      <c r="O99" s="49"/>
      <c r="P99" s="49"/>
      <c r="S99" s="10"/>
    </row>
    <row r="100" spans="1:19" ht="15">
      <c r="A100" s="6"/>
      <c r="B100" s="205" t="s">
        <v>158</v>
      </c>
      <c r="C100" s="201">
        <v>3414952</v>
      </c>
      <c r="D100" s="202">
        <f>+C100+D97</f>
        <v>3436189</v>
      </c>
      <c r="E100" s="202">
        <f>+D100+E97</f>
        <v>3813323</v>
      </c>
      <c r="F100" s="202">
        <f>+E100+F97</f>
        <v>4732159.65</v>
      </c>
      <c r="G100" s="202">
        <f>+F100+G97</f>
        <v>4732159.65</v>
      </c>
      <c r="H100" s="202">
        <f>+G100+H97</f>
        <v>4732159.65</v>
      </c>
      <c r="I100" s="204">
        <f aca="true" t="shared" si="5" ref="I100:N100">+H100+I97</f>
        <v>4732159.65</v>
      </c>
      <c r="J100" s="204">
        <f t="shared" si="5"/>
        <v>4732159.65</v>
      </c>
      <c r="K100" s="204">
        <f t="shared" si="5"/>
        <v>4732159.65</v>
      </c>
      <c r="L100" s="204">
        <f t="shared" si="5"/>
        <v>4732159.65</v>
      </c>
      <c r="M100" s="204">
        <f t="shared" si="5"/>
        <v>4732159.65</v>
      </c>
      <c r="N100" s="204">
        <f t="shared" si="5"/>
        <v>4732159.65</v>
      </c>
      <c r="O100" s="49"/>
      <c r="P100" s="49"/>
      <c r="S100" s="10"/>
    </row>
    <row r="101" spans="1:19" ht="15">
      <c r="A101" s="6"/>
      <c r="B101" s="6"/>
      <c r="C101" s="163"/>
      <c r="D101" s="163"/>
      <c r="E101" s="163"/>
      <c r="F101" s="163"/>
      <c r="G101" s="163"/>
      <c r="H101" s="163"/>
      <c r="I101" s="106"/>
      <c r="J101" s="206"/>
      <c r="K101" s="207"/>
      <c r="L101" s="106"/>
      <c r="M101" s="208"/>
      <c r="N101" s="49"/>
      <c r="O101" s="49"/>
      <c r="P101" s="49"/>
      <c r="S101" s="10"/>
    </row>
    <row r="102" spans="1:19" ht="15">
      <c r="A102" s="6"/>
      <c r="B102" s="209" t="s">
        <v>159</v>
      </c>
      <c r="C102" s="163"/>
      <c r="D102" s="163"/>
      <c r="E102" s="163"/>
      <c r="F102" s="163"/>
      <c r="G102" s="163"/>
      <c r="H102" s="163"/>
      <c r="I102" s="106"/>
      <c r="J102" s="206"/>
      <c r="K102" s="207"/>
      <c r="L102" s="106"/>
      <c r="M102" s="208"/>
      <c r="N102" s="49"/>
      <c r="O102" s="49"/>
      <c r="P102" s="49"/>
      <c r="S102" s="10"/>
    </row>
    <row r="103" spans="1:19" ht="15">
      <c r="A103" s="6"/>
      <c r="C103" s="163"/>
      <c r="D103" s="163"/>
      <c r="E103" s="163"/>
      <c r="F103" s="163"/>
      <c r="G103" s="163"/>
      <c r="H103" s="163"/>
      <c r="I103" s="106"/>
      <c r="J103" s="206"/>
      <c r="K103" s="208"/>
      <c r="L103" s="106"/>
      <c r="M103" s="208"/>
      <c r="N103" s="49"/>
      <c r="O103" s="49"/>
      <c r="P103" s="49"/>
      <c r="S103" s="10"/>
    </row>
    <row r="104" spans="1:16" ht="15">
      <c r="A104" s="6"/>
      <c r="B104" s="6"/>
      <c r="C104" s="6"/>
      <c r="D104" s="6"/>
      <c r="E104" s="6"/>
      <c r="F104" s="6"/>
      <c r="G104" s="6"/>
      <c r="H104" s="6"/>
      <c r="I104" s="106"/>
      <c r="J104" s="106"/>
      <c r="K104" s="106"/>
      <c r="L104" s="106"/>
      <c r="M104" s="106"/>
      <c r="N104" s="49"/>
      <c r="O104" s="49"/>
      <c r="P104" s="49"/>
    </row>
    <row r="105" spans="1:16" ht="18.75">
      <c r="A105" s="6"/>
      <c r="B105" s="160" t="s">
        <v>160</v>
      </c>
      <c r="C105" s="6"/>
      <c r="D105" s="6"/>
      <c r="E105" s="6"/>
      <c r="F105" s="6"/>
      <c r="G105" s="6"/>
      <c r="H105" s="6"/>
      <c r="I105" s="106"/>
      <c r="J105" s="106"/>
      <c r="K105" s="106"/>
      <c r="L105" s="106"/>
      <c r="M105" s="106"/>
      <c r="N105" s="49"/>
      <c r="O105" s="49"/>
      <c r="P105" s="49"/>
    </row>
    <row r="106" spans="1:19" ht="15">
      <c r="A106" s="6"/>
      <c r="B106" s="6"/>
      <c r="C106" s="106"/>
      <c r="D106" s="106"/>
      <c r="E106" s="106"/>
      <c r="F106" s="106"/>
      <c r="G106" s="163"/>
      <c r="H106" s="163"/>
      <c r="I106" s="163"/>
      <c r="J106" s="106"/>
      <c r="K106" s="163"/>
      <c r="L106" s="106"/>
      <c r="M106" s="106"/>
      <c r="N106" s="49"/>
      <c r="O106" s="49"/>
      <c r="P106" s="49"/>
      <c r="Q106" s="10"/>
      <c r="S106" s="49"/>
    </row>
    <row r="107" spans="1:18" ht="135" customHeight="1">
      <c r="A107" s="6"/>
      <c r="B107" s="210" t="s">
        <v>161</v>
      </c>
      <c r="C107" s="211" t="s">
        <v>162</v>
      </c>
      <c r="D107" s="212" t="s">
        <v>163</v>
      </c>
      <c r="E107" s="212" t="s">
        <v>164</v>
      </c>
      <c r="F107" s="213" t="s">
        <v>165</v>
      </c>
      <c r="G107" s="213" t="s">
        <v>166</v>
      </c>
      <c r="H107" s="212" t="s">
        <v>167</v>
      </c>
      <c r="I107" s="212" t="s">
        <v>168</v>
      </c>
      <c r="J107" s="212" t="s">
        <v>169</v>
      </c>
      <c r="K107" s="214" t="s">
        <v>170</v>
      </c>
      <c r="L107" s="163"/>
      <c r="M107" s="49"/>
      <c r="N107" s="49"/>
      <c r="O107" s="49"/>
      <c r="P107" s="10"/>
      <c r="R107" s="49"/>
    </row>
    <row r="108" spans="1:18" ht="21.75" customHeight="1">
      <c r="A108" s="6"/>
      <c r="B108" s="526" t="s">
        <v>171</v>
      </c>
      <c r="C108" s="215" t="s">
        <v>172</v>
      </c>
      <c r="D108" s="216"/>
      <c r="E108" s="217"/>
      <c r="F108" s="218"/>
      <c r="G108" s="219"/>
      <c r="H108" s="218"/>
      <c r="I108" s="220"/>
      <c r="J108" s="221"/>
      <c r="K108" s="222"/>
      <c r="L108" s="163"/>
      <c r="M108" s="49"/>
      <c r="N108" s="49"/>
      <c r="O108" s="49"/>
      <c r="P108" s="10"/>
      <c r="R108" s="49"/>
    </row>
    <row r="109" spans="1:16" ht="15">
      <c r="A109" s="6"/>
      <c r="B109" s="526"/>
      <c r="C109" s="215" t="s">
        <v>173</v>
      </c>
      <c r="D109" s="216"/>
      <c r="E109" s="217"/>
      <c r="F109" s="218"/>
      <c r="G109" s="219"/>
      <c r="H109" s="218"/>
      <c r="I109" s="220"/>
      <c r="J109" s="221"/>
      <c r="K109" s="222"/>
      <c r="L109" s="163"/>
      <c r="M109" s="49"/>
      <c r="N109" s="49"/>
      <c r="O109" s="49"/>
      <c r="P109" s="10"/>
    </row>
    <row r="110" spans="1:18" ht="15">
      <c r="A110" s="6"/>
      <c r="B110" s="526"/>
      <c r="C110" s="223" t="s">
        <v>174</v>
      </c>
      <c r="D110" s="216"/>
      <c r="E110" s="217"/>
      <c r="F110" s="218"/>
      <c r="G110" s="219"/>
      <c r="H110" s="218"/>
      <c r="I110" s="220"/>
      <c r="J110" s="221"/>
      <c r="K110" s="222"/>
      <c r="L110" s="163"/>
      <c r="M110" s="49"/>
      <c r="N110" s="49"/>
      <c r="O110" s="49"/>
      <c r="P110" s="10"/>
      <c r="R110" s="49"/>
    </row>
    <row r="111" spans="1:18" ht="15">
      <c r="A111" s="6"/>
      <c r="B111" s="526"/>
      <c r="C111" s="224" t="s">
        <v>175</v>
      </c>
      <c r="D111" s="216"/>
      <c r="E111" s="217"/>
      <c r="F111" s="218"/>
      <c r="G111" s="219"/>
      <c r="H111" s="218"/>
      <c r="I111" s="220"/>
      <c r="J111" s="221"/>
      <c r="K111" s="222"/>
      <c r="L111" s="163"/>
      <c r="M111" s="49"/>
      <c r="N111" s="49"/>
      <c r="O111" s="49"/>
      <c r="P111" s="10"/>
      <c r="R111" s="49"/>
    </row>
    <row r="112" spans="1:19" ht="15">
      <c r="A112" s="6"/>
      <c r="B112" s="6"/>
      <c r="C112" s="6"/>
      <c r="D112" s="6"/>
      <c r="E112" s="6"/>
      <c r="F112" s="6"/>
      <c r="G112" s="163"/>
      <c r="H112" s="163"/>
      <c r="I112" s="163"/>
      <c r="J112" s="6"/>
      <c r="K112" s="6"/>
      <c r="L112" s="163"/>
      <c r="M112" s="163"/>
      <c r="N112" s="49"/>
      <c r="O112" s="49"/>
      <c r="P112" s="49"/>
      <c r="Q112" s="10"/>
      <c r="S112" s="49"/>
    </row>
    <row r="113" spans="1:13" ht="15">
      <c r="A113" s="6"/>
      <c r="B113" s="6"/>
      <c r="C113" s="6"/>
      <c r="D113" s="6"/>
      <c r="E113" s="6"/>
      <c r="F113" s="6"/>
      <c r="G113" s="6"/>
      <c r="H113" s="6"/>
      <c r="I113" s="163"/>
      <c r="J113" s="161"/>
      <c r="K113" s="161"/>
      <c r="L113" s="6"/>
      <c r="M113" s="6"/>
    </row>
    <row r="114" spans="1:17" ht="18.75">
      <c r="A114" s="6"/>
      <c r="B114" s="225" t="s">
        <v>176</v>
      </c>
      <c r="C114" s="226"/>
      <c r="D114" s="226"/>
      <c r="E114" s="227"/>
      <c r="F114" s="227"/>
      <c r="G114" s="227"/>
      <c r="H114" s="228"/>
      <c r="I114" s="229"/>
      <c r="J114" s="230"/>
      <c r="K114" s="231" t="s">
        <v>177</v>
      </c>
      <c r="L114" s="227"/>
      <c r="M114" s="232"/>
      <c r="N114" s="233"/>
      <c r="O114" s="233"/>
      <c r="P114" s="234"/>
      <c r="Q114" s="5"/>
    </row>
    <row r="115" spans="1:17" ht="15">
      <c r="A115" s="6"/>
      <c r="B115" s="6"/>
      <c r="C115" s="6"/>
      <c r="D115" s="6"/>
      <c r="E115" s="6"/>
      <c r="F115" s="6"/>
      <c r="G115" s="6"/>
      <c r="H115" s="6"/>
      <c r="I115" s="6"/>
      <c r="J115" s="6"/>
      <c r="K115" s="6"/>
      <c r="L115" s="6"/>
      <c r="M115" s="6"/>
      <c r="N115"/>
      <c r="O115"/>
      <c r="P115" s="5"/>
      <c r="Q115" s="5"/>
    </row>
    <row r="116" spans="1:20" ht="25.5">
      <c r="A116" s="6"/>
      <c r="B116" s="527" t="s">
        <v>178</v>
      </c>
      <c r="C116" s="527"/>
      <c r="D116" s="527"/>
      <c r="E116" s="235" t="s">
        <v>179</v>
      </c>
      <c r="F116" s="236" t="s">
        <v>180</v>
      </c>
      <c r="G116" s="237"/>
      <c r="H116" s="238" t="s">
        <v>89</v>
      </c>
      <c r="I116" s="238" t="s">
        <v>90</v>
      </c>
      <c r="J116" s="238" t="s">
        <v>72</v>
      </c>
      <c r="K116" s="238" t="s">
        <v>91</v>
      </c>
      <c r="L116" s="238" t="s">
        <v>92</v>
      </c>
      <c r="M116" s="238" t="s">
        <v>93</v>
      </c>
      <c r="N116" s="238" t="s">
        <v>94</v>
      </c>
      <c r="O116" s="238" t="s">
        <v>95</v>
      </c>
      <c r="P116" s="238" t="s">
        <v>96</v>
      </c>
      <c r="Q116" s="238" t="s">
        <v>97</v>
      </c>
      <c r="R116" s="238" t="s">
        <v>98</v>
      </c>
      <c r="S116" s="239" t="s">
        <v>99</v>
      </c>
      <c r="T116" s="239" t="s">
        <v>181</v>
      </c>
    </row>
    <row r="117" spans="1:20" ht="15">
      <c r="A117" s="6"/>
      <c r="B117" s="240"/>
      <c r="C117" s="241"/>
      <c r="D117" s="241"/>
      <c r="E117" s="242"/>
      <c r="F117" s="243"/>
      <c r="G117" s="244"/>
      <c r="H117" s="245"/>
      <c r="I117" s="245"/>
      <c r="J117" s="245"/>
      <c r="K117" s="245"/>
      <c r="L117" s="245"/>
      <c r="M117" s="245"/>
      <c r="N117" s="245"/>
      <c r="O117" s="245"/>
      <c r="P117" s="245"/>
      <c r="Q117" s="245"/>
      <c r="R117" s="245"/>
      <c r="S117" s="246"/>
      <c r="T117" s="246"/>
    </row>
    <row r="118" spans="1:20" ht="43.5" customHeight="1">
      <c r="A118" s="528" t="s">
        <v>182</v>
      </c>
      <c r="B118" s="529" t="s">
        <v>183</v>
      </c>
      <c r="C118" s="529"/>
      <c r="D118" s="529"/>
      <c r="E118" s="530" t="s">
        <v>184</v>
      </c>
      <c r="F118" s="531" t="s">
        <v>185</v>
      </c>
      <c r="G118" s="247" t="s">
        <v>186</v>
      </c>
      <c r="H118" s="248">
        <v>8443</v>
      </c>
      <c r="I118" s="248">
        <v>9043</v>
      </c>
      <c r="J118" s="249">
        <v>9643</v>
      </c>
      <c r="K118" s="465">
        <v>10243</v>
      </c>
      <c r="L118" s="250"/>
      <c r="M118" s="250"/>
      <c r="N118" s="250"/>
      <c r="O118" s="250"/>
      <c r="P118" s="250"/>
      <c r="Q118" s="250"/>
      <c r="R118" s="250"/>
      <c r="S118" s="251"/>
      <c r="T118" s="532" t="s">
        <v>187</v>
      </c>
    </row>
    <row r="119" spans="1:20" ht="43.5" customHeight="1">
      <c r="A119" s="528"/>
      <c r="B119" s="529"/>
      <c r="C119" s="529"/>
      <c r="D119" s="529"/>
      <c r="E119" s="530"/>
      <c r="F119" s="531"/>
      <c r="G119" s="247" t="s">
        <v>188</v>
      </c>
      <c r="H119" s="248">
        <v>7220</v>
      </c>
      <c r="I119" s="248">
        <v>7688</v>
      </c>
      <c r="J119" s="249">
        <v>7950</v>
      </c>
      <c r="K119" s="465">
        <v>8329</v>
      </c>
      <c r="L119" s="250"/>
      <c r="M119" s="250"/>
      <c r="N119" s="250"/>
      <c r="O119" s="250"/>
      <c r="P119" s="250"/>
      <c r="Q119" s="250"/>
      <c r="R119" s="250"/>
      <c r="S119" s="251"/>
      <c r="T119" s="532"/>
    </row>
    <row r="120" spans="1:20" ht="30.75" customHeight="1">
      <c r="A120" s="528"/>
      <c r="B120" s="529" t="s">
        <v>189</v>
      </c>
      <c r="C120" s="529"/>
      <c r="D120" s="529"/>
      <c r="E120" s="530" t="s">
        <v>190</v>
      </c>
      <c r="F120" s="531" t="s">
        <v>185</v>
      </c>
      <c r="G120" s="252" t="s">
        <v>186</v>
      </c>
      <c r="H120" s="248">
        <v>30</v>
      </c>
      <c r="I120" s="248">
        <v>171</v>
      </c>
      <c r="J120" s="249">
        <v>100</v>
      </c>
      <c r="K120" s="466">
        <v>56</v>
      </c>
      <c r="L120" s="253"/>
      <c r="M120" s="253"/>
      <c r="N120" s="253"/>
      <c r="O120" s="253"/>
      <c r="P120" s="253"/>
      <c r="Q120" s="253"/>
      <c r="R120" s="253"/>
      <c r="S120" s="254"/>
      <c r="T120" s="533" t="s">
        <v>191</v>
      </c>
    </row>
    <row r="121" spans="1:20" ht="42" customHeight="1">
      <c r="A121" s="528"/>
      <c r="B121" s="529"/>
      <c r="C121" s="529"/>
      <c r="D121" s="529"/>
      <c r="E121" s="530"/>
      <c r="F121" s="531"/>
      <c r="G121" s="252" t="s">
        <v>188</v>
      </c>
      <c r="H121" s="248">
        <v>17</v>
      </c>
      <c r="I121" s="248">
        <v>170</v>
      </c>
      <c r="J121" s="249">
        <v>100</v>
      </c>
      <c r="K121" s="466">
        <v>53</v>
      </c>
      <c r="L121" s="253"/>
      <c r="M121" s="253"/>
      <c r="N121" s="253"/>
      <c r="O121" s="253"/>
      <c r="P121" s="253"/>
      <c r="Q121" s="253"/>
      <c r="R121" s="253"/>
      <c r="S121" s="254"/>
      <c r="T121" s="533"/>
    </row>
    <row r="122" spans="1:20" ht="44.25" customHeight="1">
      <c r="A122" s="528"/>
      <c r="B122" s="529" t="s">
        <v>192</v>
      </c>
      <c r="C122" s="529"/>
      <c r="D122" s="529"/>
      <c r="E122" s="530" t="s">
        <v>193</v>
      </c>
      <c r="F122" s="531" t="s">
        <v>185</v>
      </c>
      <c r="G122" s="247" t="s">
        <v>186</v>
      </c>
      <c r="H122" s="248">
        <v>6093</v>
      </c>
      <c r="I122" s="248">
        <v>12185</v>
      </c>
      <c r="J122" s="249">
        <v>6651</v>
      </c>
      <c r="K122" s="465">
        <v>13301</v>
      </c>
      <c r="L122" s="250"/>
      <c r="M122" s="250"/>
      <c r="N122" s="250"/>
      <c r="O122" s="250"/>
      <c r="P122" s="250"/>
      <c r="Q122" s="250"/>
      <c r="R122" s="250"/>
      <c r="S122" s="251"/>
      <c r="T122" s="532" t="s">
        <v>194</v>
      </c>
    </row>
    <row r="123" spans="1:20" ht="48.75" customHeight="1">
      <c r="A123" s="528"/>
      <c r="B123" s="529"/>
      <c r="C123" s="529"/>
      <c r="D123" s="529"/>
      <c r="E123" s="530"/>
      <c r="F123" s="531"/>
      <c r="G123" s="247" t="s">
        <v>188</v>
      </c>
      <c r="H123" s="248">
        <v>199</v>
      </c>
      <c r="I123" s="248">
        <v>985</v>
      </c>
      <c r="J123" s="249">
        <v>882</v>
      </c>
      <c r="K123" s="465">
        <v>2187</v>
      </c>
      <c r="L123" s="250"/>
      <c r="M123" s="250"/>
      <c r="N123" s="250"/>
      <c r="O123" s="250"/>
      <c r="P123" s="250"/>
      <c r="Q123" s="250"/>
      <c r="R123" s="250"/>
      <c r="S123" s="251"/>
      <c r="T123" s="532"/>
    </row>
    <row r="124" spans="1:20" ht="35.25" customHeight="1">
      <c r="A124" s="6"/>
      <c r="B124" s="534" t="s">
        <v>195</v>
      </c>
      <c r="C124" s="534"/>
      <c r="D124" s="534"/>
      <c r="E124" s="530" t="s">
        <v>196</v>
      </c>
      <c r="F124" s="531" t="s">
        <v>185</v>
      </c>
      <c r="G124" s="252" t="s">
        <v>186</v>
      </c>
      <c r="H124" s="255">
        <v>4638</v>
      </c>
      <c r="I124" s="253">
        <v>9275</v>
      </c>
      <c r="J124" s="249">
        <v>37.4</v>
      </c>
      <c r="K124" s="466">
        <v>9940</v>
      </c>
      <c r="L124" s="253"/>
      <c r="M124" s="253"/>
      <c r="N124" s="253"/>
      <c r="O124" s="253"/>
      <c r="P124" s="253"/>
      <c r="Q124" s="253"/>
      <c r="R124" s="253"/>
      <c r="S124" s="254"/>
      <c r="T124" s="532"/>
    </row>
    <row r="125" spans="1:20" ht="34.5" customHeight="1">
      <c r="A125" s="6"/>
      <c r="B125" s="534"/>
      <c r="C125" s="534"/>
      <c r="D125" s="534"/>
      <c r="E125" s="530"/>
      <c r="F125" s="531"/>
      <c r="G125" s="252" t="s">
        <v>188</v>
      </c>
      <c r="H125" s="255">
        <v>743</v>
      </c>
      <c r="I125" s="253">
        <v>2715</v>
      </c>
      <c r="J125" s="249">
        <v>14.13</v>
      </c>
      <c r="K125" s="466">
        <v>2972</v>
      </c>
      <c r="L125" s="253"/>
      <c r="M125" s="253"/>
      <c r="N125" s="253"/>
      <c r="O125" s="253"/>
      <c r="P125" s="253"/>
      <c r="Q125" s="253"/>
      <c r="R125" s="253"/>
      <c r="S125" s="254"/>
      <c r="T125" s="532"/>
    </row>
    <row r="126" spans="1:20" ht="42.75" customHeight="1">
      <c r="A126" s="6"/>
      <c r="B126" s="529" t="s">
        <v>197</v>
      </c>
      <c r="C126" s="529"/>
      <c r="D126" s="529"/>
      <c r="E126" s="530" t="s">
        <v>198</v>
      </c>
      <c r="F126" s="531" t="s">
        <v>185</v>
      </c>
      <c r="G126" s="247" t="s">
        <v>186</v>
      </c>
      <c r="H126" s="248">
        <v>922</v>
      </c>
      <c r="I126" s="253">
        <v>1843</v>
      </c>
      <c r="J126" s="249">
        <v>35.9</v>
      </c>
      <c r="K126" s="467">
        <v>1444</v>
      </c>
      <c r="L126" s="250"/>
      <c r="M126" s="250"/>
      <c r="N126" s="250"/>
      <c r="O126" s="250"/>
      <c r="P126" s="250"/>
      <c r="Q126" s="250"/>
      <c r="R126" s="250"/>
      <c r="S126" s="251"/>
      <c r="T126" s="532"/>
    </row>
    <row r="127" spans="1:20" ht="42" customHeight="1">
      <c r="A127" s="6"/>
      <c r="B127" s="529"/>
      <c r="C127" s="529"/>
      <c r="D127" s="529"/>
      <c r="E127" s="530"/>
      <c r="F127" s="531"/>
      <c r="G127" s="247" t="s">
        <v>188</v>
      </c>
      <c r="H127" s="248">
        <v>33</v>
      </c>
      <c r="I127" s="253">
        <v>103</v>
      </c>
      <c r="J127" s="249">
        <v>6.36</v>
      </c>
      <c r="K127" s="467">
        <v>459</v>
      </c>
      <c r="L127" s="250"/>
      <c r="M127" s="250"/>
      <c r="N127" s="250"/>
      <c r="O127" s="250"/>
      <c r="P127" s="250"/>
      <c r="Q127" s="250"/>
      <c r="R127" s="250"/>
      <c r="S127" s="251"/>
      <c r="T127" s="532"/>
    </row>
    <row r="128" spans="1:20" ht="47.25" customHeight="1">
      <c r="A128" s="6"/>
      <c r="B128" s="534" t="s">
        <v>199</v>
      </c>
      <c r="C128" s="534"/>
      <c r="D128" s="534"/>
      <c r="E128" s="530">
        <v>2.1</v>
      </c>
      <c r="F128" s="531" t="s">
        <v>185</v>
      </c>
      <c r="G128" s="252" t="s">
        <v>186</v>
      </c>
      <c r="H128" s="255">
        <v>232</v>
      </c>
      <c r="I128" s="256">
        <v>6575</v>
      </c>
      <c r="J128" s="249">
        <v>15</v>
      </c>
      <c r="K128" s="466"/>
      <c r="L128" s="253"/>
      <c r="M128" s="253"/>
      <c r="N128" s="253"/>
      <c r="O128" s="253"/>
      <c r="P128" s="253"/>
      <c r="Q128" s="253"/>
      <c r="R128" s="253"/>
      <c r="S128" s="254"/>
      <c r="T128" s="535" t="s">
        <v>200</v>
      </c>
    </row>
    <row r="129" spans="1:20" ht="33" customHeight="1">
      <c r="A129" s="6"/>
      <c r="B129" s="534"/>
      <c r="C129" s="534"/>
      <c r="D129" s="534"/>
      <c r="E129" s="530"/>
      <c r="F129" s="531"/>
      <c r="G129" s="247" t="s">
        <v>188</v>
      </c>
      <c r="H129" s="255">
        <v>3218</v>
      </c>
      <c r="I129" s="256">
        <v>5089</v>
      </c>
      <c r="J129" s="249">
        <v>74.4</v>
      </c>
      <c r="K129" s="468"/>
      <c r="L129" s="257"/>
      <c r="M129" s="257"/>
      <c r="N129" s="257"/>
      <c r="O129" s="257"/>
      <c r="P129" s="257"/>
      <c r="Q129" s="257"/>
      <c r="R129" s="257"/>
      <c r="S129" s="258"/>
      <c r="T129" s="535"/>
    </row>
    <row r="130" spans="1:20" ht="64.5" customHeight="1">
      <c r="A130" s="6"/>
      <c r="B130" s="534" t="s">
        <v>201</v>
      </c>
      <c r="C130" s="534"/>
      <c r="D130" s="534"/>
      <c r="E130" s="536">
        <v>2.9</v>
      </c>
      <c r="F130" s="537" t="s">
        <v>185</v>
      </c>
      <c r="G130" s="252" t="s">
        <v>186</v>
      </c>
      <c r="H130" s="248" t="s">
        <v>145</v>
      </c>
      <c r="I130" s="253">
        <v>302</v>
      </c>
      <c r="J130" s="249">
        <v>50</v>
      </c>
      <c r="K130" s="467">
        <v>52.5</v>
      </c>
      <c r="L130" s="250"/>
      <c r="M130" s="250"/>
      <c r="N130" s="250"/>
      <c r="O130" s="250"/>
      <c r="P130" s="250"/>
      <c r="Q130" s="250"/>
      <c r="R130" s="250"/>
      <c r="S130" s="251"/>
      <c r="T130" s="538" t="s">
        <v>202</v>
      </c>
    </row>
    <row r="131" spans="1:20" ht="64.5" customHeight="1">
      <c r="A131" s="6"/>
      <c r="B131" s="534"/>
      <c r="C131" s="534"/>
      <c r="D131" s="534"/>
      <c r="E131" s="536"/>
      <c r="F131" s="537"/>
      <c r="G131" s="247" t="s">
        <v>188</v>
      </c>
      <c r="H131" s="248" t="s">
        <v>145</v>
      </c>
      <c r="I131" s="253">
        <v>280</v>
      </c>
      <c r="J131" s="249">
        <v>59</v>
      </c>
      <c r="K131" s="467">
        <v>55</v>
      </c>
      <c r="L131" s="250"/>
      <c r="M131" s="250"/>
      <c r="N131" s="250"/>
      <c r="O131" s="250"/>
      <c r="P131" s="250"/>
      <c r="Q131" s="250"/>
      <c r="R131" s="250"/>
      <c r="S131" s="251"/>
      <c r="T131" s="538"/>
    </row>
    <row r="132" spans="1:20" ht="43.5" customHeight="1">
      <c r="A132" s="6"/>
      <c r="B132" s="529" t="s">
        <v>203</v>
      </c>
      <c r="C132" s="529"/>
      <c r="D132" s="529"/>
      <c r="E132" s="530">
        <v>2.5</v>
      </c>
      <c r="F132" s="531" t="s">
        <v>185</v>
      </c>
      <c r="G132" s="252" t="s">
        <v>186</v>
      </c>
      <c r="H132" s="248" t="s">
        <v>145</v>
      </c>
      <c r="I132" s="253">
        <v>0</v>
      </c>
      <c r="J132" s="249">
        <v>20</v>
      </c>
      <c r="K132" s="467"/>
      <c r="L132" s="250"/>
      <c r="M132" s="250"/>
      <c r="N132" s="250"/>
      <c r="O132" s="250"/>
      <c r="P132" s="250"/>
      <c r="Q132" s="250"/>
      <c r="R132" s="250"/>
      <c r="S132" s="251"/>
      <c r="T132" s="532" t="s">
        <v>204</v>
      </c>
    </row>
    <row r="133" spans="1:21" ht="43.5" customHeight="1">
      <c r="A133" s="6"/>
      <c r="B133" s="529"/>
      <c r="C133" s="529"/>
      <c r="D133" s="529"/>
      <c r="E133" s="530"/>
      <c r="F133" s="531"/>
      <c r="G133" s="247" t="s">
        <v>188</v>
      </c>
      <c r="H133" s="248" t="s">
        <v>145</v>
      </c>
      <c r="I133" s="253">
        <v>5</v>
      </c>
      <c r="J133" s="249">
        <v>6</v>
      </c>
      <c r="K133" s="467"/>
      <c r="L133" s="250"/>
      <c r="M133" s="250"/>
      <c r="N133" s="250"/>
      <c r="O133" s="250"/>
      <c r="P133" s="250"/>
      <c r="Q133" s="250"/>
      <c r="R133" s="250"/>
      <c r="S133" s="251"/>
      <c r="T133" s="532"/>
      <c r="U133" s="5"/>
    </row>
    <row r="134" spans="1:21" ht="59.25" customHeight="1">
      <c r="A134" s="6"/>
      <c r="B134" s="534" t="s">
        <v>205</v>
      </c>
      <c r="C134" s="534"/>
      <c r="D134" s="534"/>
      <c r="E134" s="530">
        <v>2.6</v>
      </c>
      <c r="F134" s="531" t="s">
        <v>185</v>
      </c>
      <c r="G134" s="247" t="s">
        <v>186</v>
      </c>
      <c r="H134" s="255">
        <v>42291</v>
      </c>
      <c r="I134" s="253">
        <v>84581</v>
      </c>
      <c r="J134" s="249">
        <v>72</v>
      </c>
      <c r="K134" s="467">
        <v>35349</v>
      </c>
      <c r="L134" s="250"/>
      <c r="M134" s="250"/>
      <c r="N134" s="250"/>
      <c r="O134" s="250"/>
      <c r="P134" s="250"/>
      <c r="Q134" s="250"/>
      <c r="R134" s="250"/>
      <c r="S134" s="251"/>
      <c r="T134" s="532" t="s">
        <v>206</v>
      </c>
      <c r="U134" s="5"/>
    </row>
    <row r="135" spans="1:21" ht="77.25" customHeight="1">
      <c r="A135" s="6"/>
      <c r="B135" s="534"/>
      <c r="C135" s="534"/>
      <c r="D135" s="534"/>
      <c r="E135" s="530"/>
      <c r="F135" s="531"/>
      <c r="G135" s="247" t="s">
        <v>188</v>
      </c>
      <c r="H135" s="255">
        <v>34209</v>
      </c>
      <c r="I135" s="253">
        <v>65433</v>
      </c>
      <c r="J135" s="249">
        <v>72</v>
      </c>
      <c r="K135" s="467">
        <v>25048</v>
      </c>
      <c r="L135" s="250"/>
      <c r="M135" s="250"/>
      <c r="N135" s="250"/>
      <c r="O135" s="250"/>
      <c r="P135" s="250"/>
      <c r="Q135" s="250"/>
      <c r="R135" s="250"/>
      <c r="S135" s="251"/>
      <c r="T135" s="532"/>
      <c r="U135" s="5"/>
    </row>
    <row r="136" spans="1:21" ht="45.75" customHeight="1">
      <c r="A136" s="6"/>
      <c r="B136" s="534" t="s">
        <v>207</v>
      </c>
      <c r="C136" s="534"/>
      <c r="D136" s="534"/>
      <c r="E136" s="530">
        <v>2.8</v>
      </c>
      <c r="F136" s="531" t="s">
        <v>185</v>
      </c>
      <c r="G136" s="252" t="s">
        <v>186</v>
      </c>
      <c r="H136" s="255">
        <v>12000</v>
      </c>
      <c r="I136" s="253">
        <v>27000</v>
      </c>
      <c r="J136" s="249">
        <v>44.4</v>
      </c>
      <c r="K136" s="466">
        <v>24000</v>
      </c>
      <c r="L136" s="253"/>
      <c r="M136" s="253"/>
      <c r="N136" s="253"/>
      <c r="O136" s="253"/>
      <c r="P136" s="253"/>
      <c r="Q136" s="253"/>
      <c r="R136" s="253"/>
      <c r="S136" s="254"/>
      <c r="T136" s="539" t="s">
        <v>208</v>
      </c>
      <c r="U136" s="5"/>
    </row>
    <row r="137" spans="1:21" ht="40.5" customHeight="1">
      <c r="A137" s="6"/>
      <c r="B137" s="534"/>
      <c r="C137" s="534"/>
      <c r="D137" s="534"/>
      <c r="E137" s="530"/>
      <c r="F137" s="531"/>
      <c r="G137" s="259" t="s">
        <v>188</v>
      </c>
      <c r="H137" s="255">
        <v>13310</v>
      </c>
      <c r="I137" s="253">
        <v>27253</v>
      </c>
      <c r="J137" s="249">
        <v>65</v>
      </c>
      <c r="K137" s="468">
        <v>30846</v>
      </c>
      <c r="L137" s="257"/>
      <c r="M137" s="257"/>
      <c r="N137" s="257"/>
      <c r="O137" s="257"/>
      <c r="P137" s="257"/>
      <c r="Q137" s="257"/>
      <c r="R137" s="257"/>
      <c r="S137" s="258"/>
      <c r="T137" s="539"/>
      <c r="U137" s="5"/>
    </row>
    <row r="138" spans="1:17" ht="15">
      <c r="A138" s="6"/>
      <c r="B138" s="6"/>
      <c r="C138" s="6"/>
      <c r="D138" s="6"/>
      <c r="E138" s="6"/>
      <c r="F138" s="6"/>
      <c r="G138" s="6"/>
      <c r="H138" s="6"/>
      <c r="I138" s="6"/>
      <c r="J138" s="6"/>
      <c r="K138" s="6"/>
      <c r="L138" s="6"/>
      <c r="M138" s="6"/>
      <c r="N138"/>
      <c r="O138"/>
      <c r="P138" s="5"/>
      <c r="Q138" s="5"/>
    </row>
    <row r="139" spans="2:20" ht="63.75" customHeight="1">
      <c r="B139" s="540" t="s">
        <v>209</v>
      </c>
      <c r="C139" s="540"/>
      <c r="D139" s="540"/>
      <c r="E139" s="540"/>
      <c r="F139" s="540"/>
      <c r="G139" s="540"/>
      <c r="H139" s="540"/>
      <c r="I139" s="540"/>
      <c r="J139" s="540"/>
      <c r="K139" s="540"/>
      <c r="L139" s="540"/>
      <c r="M139" s="540"/>
      <c r="N139" s="540"/>
      <c r="O139" s="540"/>
      <c r="P139" s="540"/>
      <c r="Q139" s="540"/>
      <c r="R139" s="540"/>
      <c r="S139" s="540"/>
      <c r="T139" s="540"/>
    </row>
    <row r="140" spans="1:20" ht="36.75" customHeight="1">
      <c r="A140" s="6"/>
      <c r="B140" s="529" t="s">
        <v>210</v>
      </c>
      <c r="C140" s="529"/>
      <c r="D140" s="529"/>
      <c r="E140" s="530" t="s">
        <v>211</v>
      </c>
      <c r="F140" s="531" t="s">
        <v>185</v>
      </c>
      <c r="G140" s="252" t="s">
        <v>186</v>
      </c>
      <c r="H140" s="248" t="s">
        <v>145</v>
      </c>
      <c r="I140" s="256">
        <v>9.7</v>
      </c>
      <c r="J140" s="256">
        <v>9.7</v>
      </c>
      <c r="K140" s="466"/>
      <c r="L140" s="253"/>
      <c r="M140" s="253"/>
      <c r="N140" s="253"/>
      <c r="O140" s="253"/>
      <c r="P140" s="253"/>
      <c r="Q140" s="253"/>
      <c r="R140" s="253"/>
      <c r="S140" s="254"/>
      <c r="T140" s="539" t="s">
        <v>212</v>
      </c>
    </row>
    <row r="141" spans="1:20" ht="40.5" customHeight="1">
      <c r="A141" s="6"/>
      <c r="B141" s="529"/>
      <c r="C141" s="529"/>
      <c r="D141" s="529"/>
      <c r="E141" s="530"/>
      <c r="F141" s="531"/>
      <c r="G141" s="252" t="s">
        <v>188</v>
      </c>
      <c r="H141" s="248" t="s">
        <v>145</v>
      </c>
      <c r="I141" s="253">
        <v>7</v>
      </c>
      <c r="J141" s="260">
        <v>6.44</v>
      </c>
      <c r="K141" s="466"/>
      <c r="L141" s="253"/>
      <c r="M141" s="253"/>
      <c r="N141" s="253"/>
      <c r="O141" s="253"/>
      <c r="P141" s="253"/>
      <c r="Q141" s="253"/>
      <c r="R141" s="253"/>
      <c r="S141" s="254"/>
      <c r="T141" s="539"/>
    </row>
    <row r="142" spans="1:20" ht="33.75" customHeight="1">
      <c r="A142" s="6"/>
      <c r="B142" s="534" t="s">
        <v>213</v>
      </c>
      <c r="C142" s="534"/>
      <c r="D142" s="534"/>
      <c r="E142" s="530" t="s">
        <v>211</v>
      </c>
      <c r="F142" s="531" t="s">
        <v>185</v>
      </c>
      <c r="G142" s="247" t="s">
        <v>186</v>
      </c>
      <c r="H142" s="248" t="s">
        <v>145</v>
      </c>
      <c r="I142" s="250" t="s">
        <v>214</v>
      </c>
      <c r="J142" s="261">
        <v>3.1</v>
      </c>
      <c r="K142" s="467"/>
      <c r="L142" s="250"/>
      <c r="M142" s="250"/>
      <c r="N142" s="250"/>
      <c r="O142" s="250"/>
      <c r="P142" s="250"/>
      <c r="Q142" s="250"/>
      <c r="R142" s="250"/>
      <c r="S142" s="251"/>
      <c r="T142" s="539"/>
    </row>
    <row r="143" spans="1:20" ht="30" customHeight="1">
      <c r="A143" s="6"/>
      <c r="B143" s="534"/>
      <c r="C143" s="534"/>
      <c r="D143" s="534"/>
      <c r="E143" s="530"/>
      <c r="F143" s="531"/>
      <c r="G143" s="247" t="s">
        <v>188</v>
      </c>
      <c r="H143" s="248" t="s">
        <v>145</v>
      </c>
      <c r="I143" s="250" t="s">
        <v>215</v>
      </c>
      <c r="J143" s="261">
        <v>1.65</v>
      </c>
      <c r="K143" s="467"/>
      <c r="L143" s="250"/>
      <c r="M143" s="250"/>
      <c r="N143" s="250"/>
      <c r="O143" s="250"/>
      <c r="P143" s="250"/>
      <c r="Q143" s="250"/>
      <c r="R143" s="250"/>
      <c r="S143" s="251"/>
      <c r="T143" s="539"/>
    </row>
    <row r="144" spans="1:20" ht="40.5" customHeight="1">
      <c r="A144" s="6"/>
      <c r="B144" s="534" t="s">
        <v>216</v>
      </c>
      <c r="C144" s="534"/>
      <c r="D144" s="534"/>
      <c r="E144" s="530" t="s">
        <v>211</v>
      </c>
      <c r="F144" s="531" t="s">
        <v>185</v>
      </c>
      <c r="G144" s="252" t="s">
        <v>186</v>
      </c>
      <c r="H144" s="248" t="s">
        <v>145</v>
      </c>
      <c r="I144" s="253" t="s">
        <v>145</v>
      </c>
      <c r="J144" s="249"/>
      <c r="K144" s="466"/>
      <c r="L144" s="253"/>
      <c r="M144" s="253"/>
      <c r="N144" s="253"/>
      <c r="O144" s="253"/>
      <c r="P144" s="253"/>
      <c r="Q144" s="253"/>
      <c r="R144" s="253"/>
      <c r="S144" s="254"/>
      <c r="T144" s="539"/>
    </row>
    <row r="145" spans="1:20" ht="43.5" customHeight="1">
      <c r="A145" s="6"/>
      <c r="B145" s="534"/>
      <c r="C145" s="534"/>
      <c r="D145" s="534"/>
      <c r="E145" s="530"/>
      <c r="F145" s="531"/>
      <c r="G145" s="252" t="s">
        <v>188</v>
      </c>
      <c r="H145" s="248" t="s">
        <v>145</v>
      </c>
      <c r="I145" s="253" t="s">
        <v>145</v>
      </c>
      <c r="J145" s="249"/>
      <c r="K145" s="466"/>
      <c r="L145" s="253"/>
      <c r="M145" s="253"/>
      <c r="N145" s="253"/>
      <c r="O145" s="253"/>
      <c r="P145" s="253"/>
      <c r="Q145" s="253"/>
      <c r="R145" s="253"/>
      <c r="S145" s="254"/>
      <c r="T145" s="539"/>
    </row>
    <row r="146" spans="1:20" ht="36" customHeight="1">
      <c r="A146" s="6"/>
      <c r="B146" s="534" t="s">
        <v>217</v>
      </c>
      <c r="C146" s="534"/>
      <c r="D146" s="534"/>
      <c r="E146" s="530" t="s">
        <v>211</v>
      </c>
      <c r="F146" s="531" t="s">
        <v>185</v>
      </c>
      <c r="G146" s="247" t="s">
        <v>186</v>
      </c>
      <c r="H146" s="248" t="s">
        <v>145</v>
      </c>
      <c r="I146" s="253">
        <v>7</v>
      </c>
      <c r="J146" s="249"/>
      <c r="K146" s="467">
        <v>4</v>
      </c>
      <c r="L146" s="250"/>
      <c r="M146" s="250"/>
      <c r="N146" s="250"/>
      <c r="O146" s="250"/>
      <c r="P146" s="250"/>
      <c r="Q146" s="250"/>
      <c r="R146" s="250"/>
      <c r="S146" s="251"/>
      <c r="T146" s="539"/>
    </row>
    <row r="147" spans="1:20" ht="33.75" customHeight="1">
      <c r="A147" s="6"/>
      <c r="B147" s="534"/>
      <c r="C147" s="534"/>
      <c r="D147" s="534"/>
      <c r="E147" s="530"/>
      <c r="F147" s="531"/>
      <c r="G147" s="247" t="s">
        <v>188</v>
      </c>
      <c r="H147" s="248" t="s">
        <v>145</v>
      </c>
      <c r="I147" s="253">
        <v>3</v>
      </c>
      <c r="J147" s="249"/>
      <c r="K147" s="467">
        <v>2</v>
      </c>
      <c r="L147" s="250"/>
      <c r="M147" s="250"/>
      <c r="N147" s="250"/>
      <c r="O147" s="250"/>
      <c r="P147" s="250"/>
      <c r="Q147" s="250"/>
      <c r="R147" s="250"/>
      <c r="S147" s="251"/>
      <c r="T147" s="539"/>
    </row>
    <row r="148" spans="1:20" ht="38.25" customHeight="1">
      <c r="A148" s="6"/>
      <c r="B148" s="529" t="s">
        <v>218</v>
      </c>
      <c r="C148" s="529"/>
      <c r="D148" s="529"/>
      <c r="E148" s="530" t="s">
        <v>211</v>
      </c>
      <c r="F148" s="531" t="s">
        <v>185</v>
      </c>
      <c r="G148" s="247" t="s">
        <v>186</v>
      </c>
      <c r="H148" s="248" t="s">
        <v>145</v>
      </c>
      <c r="I148" s="253">
        <v>87</v>
      </c>
      <c r="J148" s="249"/>
      <c r="K148" s="467">
        <v>88</v>
      </c>
      <c r="L148" s="250"/>
      <c r="M148" s="250"/>
      <c r="N148" s="250"/>
      <c r="O148" s="250"/>
      <c r="P148" s="250"/>
      <c r="Q148" s="250"/>
      <c r="R148" s="250"/>
      <c r="S148" s="251"/>
      <c r="T148" s="539"/>
    </row>
    <row r="149" spans="1:20" ht="39" customHeight="1">
      <c r="A149" s="6"/>
      <c r="B149" s="529"/>
      <c r="C149" s="529"/>
      <c r="D149" s="529"/>
      <c r="E149" s="530" t="s">
        <v>211</v>
      </c>
      <c r="F149" s="531"/>
      <c r="G149" s="247" t="s">
        <v>188</v>
      </c>
      <c r="H149" s="248" t="s">
        <v>145</v>
      </c>
      <c r="I149" s="253">
        <v>81</v>
      </c>
      <c r="J149" s="249"/>
      <c r="K149" s="467">
        <v>82.8</v>
      </c>
      <c r="L149" s="250"/>
      <c r="M149" s="250"/>
      <c r="N149" s="250"/>
      <c r="O149" s="250"/>
      <c r="P149" s="250"/>
      <c r="Q149" s="250"/>
      <c r="R149" s="250"/>
      <c r="S149" s="251"/>
      <c r="T149" s="539"/>
    </row>
    <row r="150" spans="1:20" ht="36.75" customHeight="1">
      <c r="A150" s="6"/>
      <c r="B150" s="529" t="s">
        <v>219</v>
      </c>
      <c r="C150" s="529"/>
      <c r="D150" s="529"/>
      <c r="E150" s="530" t="s">
        <v>211</v>
      </c>
      <c r="F150" s="531" t="s">
        <v>185</v>
      </c>
      <c r="G150" s="252" t="s">
        <v>186</v>
      </c>
      <c r="H150" s="248" t="s">
        <v>145</v>
      </c>
      <c r="I150" s="256">
        <v>68.75</v>
      </c>
      <c r="J150" s="249"/>
      <c r="K150" s="466">
        <v>73.75</v>
      </c>
      <c r="L150" s="253"/>
      <c r="M150" s="253"/>
      <c r="N150" s="253"/>
      <c r="O150" s="253"/>
      <c r="P150" s="253"/>
      <c r="Q150" s="253"/>
      <c r="R150" s="253"/>
      <c r="S150" s="254"/>
      <c r="T150" s="539"/>
    </row>
    <row r="151" spans="1:20" ht="41.25" customHeight="1">
      <c r="A151" s="6"/>
      <c r="B151" s="529"/>
      <c r="C151" s="529"/>
      <c r="D151" s="529"/>
      <c r="E151" s="530"/>
      <c r="F151" s="531"/>
      <c r="G151" s="247" t="s">
        <v>188</v>
      </c>
      <c r="H151" s="248" t="s">
        <v>145</v>
      </c>
      <c r="I151" s="256">
        <v>75.2</v>
      </c>
      <c r="J151" s="249"/>
      <c r="K151" s="468">
        <v>73.3</v>
      </c>
      <c r="L151" s="257"/>
      <c r="M151" s="257"/>
      <c r="N151" s="257"/>
      <c r="O151" s="257"/>
      <c r="P151" s="257"/>
      <c r="Q151" s="257"/>
      <c r="R151" s="257"/>
      <c r="S151" s="258"/>
      <c r="T151" s="539"/>
    </row>
  </sheetData>
  <sheetProtection selectLockedCells="1" selectUnlockedCells="1"/>
  <mergeCells count="92">
    <mergeCell ref="B148:D149"/>
    <mergeCell ref="E148:E149"/>
    <mergeCell ref="F148:F149"/>
    <mergeCell ref="B150:D151"/>
    <mergeCell ref="E150:E151"/>
    <mergeCell ref="F150:F151"/>
    <mergeCell ref="E142:E143"/>
    <mergeCell ref="F142:F143"/>
    <mergeCell ref="B144:D145"/>
    <mergeCell ref="E144:E145"/>
    <mergeCell ref="F144:F145"/>
    <mergeCell ref="B146:D147"/>
    <mergeCell ref="E146:E147"/>
    <mergeCell ref="F146:F147"/>
    <mergeCell ref="B136:D137"/>
    <mergeCell ref="E136:E137"/>
    <mergeCell ref="F136:F137"/>
    <mergeCell ref="T136:T137"/>
    <mergeCell ref="B139:T139"/>
    <mergeCell ref="B140:D141"/>
    <mergeCell ref="E140:E141"/>
    <mergeCell ref="F140:F141"/>
    <mergeCell ref="T140:T151"/>
    <mergeCell ref="B142:D143"/>
    <mergeCell ref="B132:D133"/>
    <mergeCell ref="E132:E133"/>
    <mergeCell ref="F132:F133"/>
    <mergeCell ref="T132:T133"/>
    <mergeCell ref="B134:D135"/>
    <mergeCell ref="E134:E135"/>
    <mergeCell ref="F134:F135"/>
    <mergeCell ref="T134:T135"/>
    <mergeCell ref="B128:D129"/>
    <mergeCell ref="E128:E129"/>
    <mergeCell ref="F128:F129"/>
    <mergeCell ref="T128:T129"/>
    <mergeCell ref="B130:D131"/>
    <mergeCell ref="E130:E131"/>
    <mergeCell ref="F130:F131"/>
    <mergeCell ref="T130:T131"/>
    <mergeCell ref="E122:E123"/>
    <mergeCell ref="F122:F123"/>
    <mergeCell ref="T122:T127"/>
    <mergeCell ref="B124:D125"/>
    <mergeCell ref="E124:E125"/>
    <mergeCell ref="F124:F125"/>
    <mergeCell ref="B126:D127"/>
    <mergeCell ref="E126:E127"/>
    <mergeCell ref="F126:F127"/>
    <mergeCell ref="E118:E119"/>
    <mergeCell ref="F118:F119"/>
    <mergeCell ref="T118:T119"/>
    <mergeCell ref="B120:D121"/>
    <mergeCell ref="E120:E121"/>
    <mergeCell ref="F120:F121"/>
    <mergeCell ref="T120:T121"/>
    <mergeCell ref="B72:C72"/>
    <mergeCell ref="B73:C73"/>
    <mergeCell ref="B108:B111"/>
    <mergeCell ref="B116:D116"/>
    <mergeCell ref="A118:A123"/>
    <mergeCell ref="B118:D119"/>
    <mergeCell ref="B122:D123"/>
    <mergeCell ref="B26:C26"/>
    <mergeCell ref="B29:N29"/>
    <mergeCell ref="O31:O34"/>
    <mergeCell ref="F47:I47"/>
    <mergeCell ref="B60:D60"/>
    <mergeCell ref="B71:C71"/>
    <mergeCell ref="B14:J14"/>
    <mergeCell ref="H16:I16"/>
    <mergeCell ref="B18:C18"/>
    <mergeCell ref="D18:F18"/>
    <mergeCell ref="B21:J21"/>
    <mergeCell ref="D24:E24"/>
    <mergeCell ref="G24:H24"/>
    <mergeCell ref="I24:J24"/>
    <mergeCell ref="C8:D8"/>
    <mergeCell ref="I8:J8"/>
    <mergeCell ref="C10:D10"/>
    <mergeCell ref="E10:F10"/>
    <mergeCell ref="G10:J10"/>
    <mergeCell ref="C12:D12"/>
    <mergeCell ref="E12:F12"/>
    <mergeCell ref="G12:J12"/>
    <mergeCell ref="B2:J2"/>
    <mergeCell ref="C4:D4"/>
    <mergeCell ref="E4:F4"/>
    <mergeCell ref="G4:J4"/>
    <mergeCell ref="C6:D6"/>
    <mergeCell ref="E6:F6"/>
    <mergeCell ref="I6:J6"/>
  </mergeCells>
  <conditionalFormatting sqref="B34 B32 I33:N33 C31 C32:H33">
    <cfRule type="expression" priority="1" dxfId="38" stopIfTrue="1">
      <formula>+AND(B30&gt;=#REF!,B30&lt;=#REF!)</formula>
    </cfRule>
  </conditionalFormatting>
  <conditionalFormatting sqref="C34:N34">
    <cfRule type="expression" priority="2" dxfId="38" stopIfTrue="1">
      <formula>+AND(C32&gt;=#REF!,C32&lt;=#REF!)</formula>
    </cfRule>
  </conditionalFormatting>
  <conditionalFormatting sqref="C30:N30 C94:N94">
    <cfRule type="cellIs" priority="3" dxfId="39" operator="equal" stopIfTrue="1">
      <formula>$C$16</formula>
    </cfRule>
  </conditionalFormatting>
  <conditionalFormatting sqref="C12:D12">
    <cfRule type="cellIs" priority="4" dxfId="40" operator="equal" stopIfTrue="1">
      <formula>"C"</formula>
    </cfRule>
    <cfRule type="cellIs" priority="5" dxfId="41" operator="equal" stopIfTrue="1">
      <formula>"B2"</formula>
    </cfRule>
    <cfRule type="cellIs" priority="6" dxfId="42" operator="equal" stopIfTrue="1">
      <formula>"B1"</formula>
    </cfRule>
  </conditionalFormatting>
  <conditionalFormatting sqref="H116:T117">
    <cfRule type="cellIs" priority="7" dxfId="43" operator="equal" stopIfTrue="1">
      <formula>$C$16</formula>
    </cfRule>
  </conditionalFormatting>
  <conditionalFormatting sqref="F47:I47">
    <cfRule type="expression" priority="8" dxfId="44" stopIfTrue="1">
      <formula>LEFT($F$47,2)="OK"</formula>
    </cfRule>
  </conditionalFormatting>
  <dataValidations count="9">
    <dataValidation type="list" allowBlank="1" showErrorMessage="1" sqref="G6">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B108:C108 C109:C111">
      <formula1>NA()</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scale="22" r:id="rId4"/>
  <headerFooter alignWithMargins="0">
    <oddFooter>&amp;L&amp;F&amp;C&amp;A&amp;R&amp;D</oddFooter>
  </headerFooter>
  <rowBreaks count="1" manualBreakCount="1">
    <brk id="48"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110" zoomScaleNormal="110" zoomScaleSheetLayoutView="100" zoomScalePageLayoutView="0" workbookViewId="0" topLeftCell="A1">
      <selection activeCell="G11" sqref="G11"/>
    </sheetView>
  </sheetViews>
  <sheetFormatPr defaultColWidth="11.421875" defaultRowHeight="15"/>
  <cols>
    <col min="1" max="1" width="21.140625" style="6" customWidth="1"/>
    <col min="2" max="2" width="12.57421875" style="6" customWidth="1"/>
    <col min="3" max="3" width="20.57421875" style="6" customWidth="1"/>
    <col min="4" max="4" width="19.28125" style="6" customWidth="1"/>
    <col min="5" max="5" width="11.7109375" style="6" customWidth="1"/>
    <col min="6" max="6" width="18.7109375" style="6" customWidth="1"/>
    <col min="7" max="7" width="11.710937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63"/>
      <c r="B1" s="163"/>
      <c r="C1" s="163"/>
      <c r="D1" s="163"/>
      <c r="E1" s="163"/>
      <c r="F1" s="163"/>
      <c r="G1" s="40"/>
      <c r="H1" s="163"/>
      <c r="I1" s="163"/>
      <c r="J1" s="163"/>
    </row>
    <row r="2" ht="25.5" customHeight="1"/>
    <row r="3" spans="2:20" ht="36">
      <c r="B3" s="541" t="str">
        <f>+"Tablero de mando: "&amp;" "&amp;+'Introducción de datos'!C4&amp;" - "&amp;+'Introducción de datos'!G6</f>
        <v>Tablero de mando:  El Salvador - VIH / SIDA</v>
      </c>
      <c r="C3" s="541"/>
      <c r="D3" s="541"/>
      <c r="E3" s="541"/>
      <c r="F3" s="541"/>
      <c r="G3" s="541"/>
      <c r="H3" s="541"/>
      <c r="I3" s="541"/>
      <c r="J3" s="541"/>
      <c r="K3" s="262"/>
      <c r="L3" s="262"/>
      <c r="M3" s="262"/>
      <c r="N3" s="263"/>
      <c r="O3" s="263"/>
      <c r="P3" s="263"/>
      <c r="Q3" s="263"/>
      <c r="R3" s="263"/>
      <c r="S3" s="263"/>
      <c r="T3" s="263"/>
    </row>
    <row r="4" spans="12:20" ht="15" customHeight="1">
      <c r="L4" s="263"/>
      <c r="M4" s="263"/>
      <c r="N4" s="263"/>
      <c r="O4" s="263"/>
      <c r="P4" s="263"/>
      <c r="Q4" s="263"/>
      <c r="R4" s="263"/>
      <c r="S4" s="263"/>
      <c r="T4" s="263"/>
    </row>
    <row r="5" spans="12:20" ht="15">
      <c r="L5" s="263"/>
      <c r="M5" s="263"/>
      <c r="N5" s="263"/>
      <c r="O5" s="263"/>
      <c r="P5" s="263"/>
      <c r="Q5" s="263"/>
      <c r="R5" s="263"/>
      <c r="S5" s="263"/>
      <c r="T5" s="263"/>
    </row>
    <row r="6" spans="1:21" ht="32.25" customHeight="1">
      <c r="A6" s="264" t="s">
        <v>47</v>
      </c>
      <c r="B6" s="542" t="str">
        <f>+'Introducción de datos'!C4</f>
        <v>El Salvador</v>
      </c>
      <c r="C6" s="542"/>
      <c r="D6" s="543" t="s">
        <v>49</v>
      </c>
      <c r="E6" s="543"/>
      <c r="F6" s="544" t="str">
        <f>+'Introducción de datos'!G4</f>
        <v>INNOVANDO SERVICIOS, REDUCIENDO RIESGOS, RENOVANDO VIDAS EN EL SALVADOR</v>
      </c>
      <c r="G6" s="544"/>
      <c r="H6" s="544"/>
      <c r="I6" s="544"/>
      <c r="J6" s="544"/>
      <c r="K6" s="265"/>
      <c r="L6" s="266"/>
      <c r="M6" s="265"/>
      <c r="N6" s="265"/>
      <c r="O6" s="265"/>
      <c r="P6" s="267"/>
      <c r="Q6" s="268"/>
      <c r="R6" s="268"/>
      <c r="S6" s="268"/>
      <c r="T6" s="268"/>
      <c r="U6" s="268"/>
    </row>
    <row r="7" spans="2:21" ht="8.25" customHeight="1">
      <c r="B7" s="269"/>
      <c r="C7" s="270"/>
      <c r="D7" s="270"/>
      <c r="E7" s="271"/>
      <c r="F7" s="271"/>
      <c r="G7" s="272"/>
      <c r="H7" s="272"/>
      <c r="K7" s="265"/>
      <c r="L7" s="265"/>
      <c r="M7" s="265"/>
      <c r="N7" s="265"/>
      <c r="O7" s="265"/>
      <c r="P7" s="267"/>
      <c r="Q7" s="268"/>
      <c r="R7" s="268"/>
      <c r="S7" s="268"/>
      <c r="T7" s="268"/>
      <c r="U7" s="268"/>
    </row>
    <row r="8" spans="3:21" ht="3.75" customHeight="1">
      <c r="C8" s="273"/>
      <c r="D8" s="273"/>
      <c r="E8" s="273"/>
      <c r="F8" s="273"/>
      <c r="G8" s="273"/>
      <c r="H8" s="273"/>
      <c r="I8" s="273"/>
      <c r="J8" s="273"/>
      <c r="K8" s="265"/>
      <c r="L8" s="265"/>
      <c r="M8" s="265"/>
      <c r="N8" s="265"/>
      <c r="O8" s="274"/>
      <c r="P8" s="267"/>
      <c r="Q8" s="274"/>
      <c r="R8" s="275"/>
      <c r="S8" s="268"/>
      <c r="T8" s="268"/>
      <c r="U8" s="268"/>
    </row>
    <row r="9" spans="1:24" ht="25.5" customHeight="1">
      <c r="A9" s="276" t="s">
        <v>53</v>
      </c>
      <c r="B9" s="277" t="str">
        <f>+'Introducción de datos'!G6</f>
        <v>VIH / SIDA</v>
      </c>
      <c r="C9" s="278" t="s">
        <v>51</v>
      </c>
      <c r="D9" s="279" t="str">
        <f>+'Introducción de datos'!C6</f>
        <v>SLV - H - MINSAL</v>
      </c>
      <c r="E9" s="545" t="s">
        <v>220</v>
      </c>
      <c r="F9" s="545"/>
      <c r="G9" s="280" t="str">
        <f>+'Introducción de datos'!C10</f>
        <v>01 de enero del 2014</v>
      </c>
      <c r="H9" s="276" t="s">
        <v>221</v>
      </c>
      <c r="I9" s="546">
        <f>+'Introducción de datos'!I6</f>
        <v>0</v>
      </c>
      <c r="J9" s="546"/>
      <c r="K9" s="265"/>
      <c r="L9" s="265"/>
      <c r="M9" s="265"/>
      <c r="N9" s="265"/>
      <c r="O9" s="274"/>
      <c r="P9" s="267"/>
      <c r="Q9" s="274"/>
      <c r="R9" s="275"/>
      <c r="S9" s="268"/>
      <c r="T9" s="281"/>
      <c r="U9" s="281"/>
      <c r="V9" s="273"/>
      <c r="W9" s="273"/>
      <c r="X9" s="273"/>
    </row>
    <row r="10" spans="1:21" ht="25.5" customHeight="1">
      <c r="A10" s="276" t="s">
        <v>58</v>
      </c>
      <c r="B10" s="282" t="str">
        <f>IF(ISBLANK('Introducción de datos'!G8),"",'Introducción de datos'!G8)</f>
        <v>SSF/NMF</v>
      </c>
      <c r="C10" s="278" t="s">
        <v>60</v>
      </c>
      <c r="D10" s="283" t="str">
        <f>+'Introducción de datos'!I8</f>
        <v>Fase 1</v>
      </c>
      <c r="E10" s="545" t="s">
        <v>222</v>
      </c>
      <c r="F10" s="545"/>
      <c r="G10" s="547" t="str">
        <f>+'Introducción de datos'!C8</f>
        <v>Ministerio de Salud </v>
      </c>
      <c r="H10" s="547"/>
      <c r="I10" s="547"/>
      <c r="J10" s="547"/>
      <c r="K10" s="285"/>
      <c r="L10" s="285"/>
      <c r="M10" s="265"/>
      <c r="N10" s="285"/>
      <c r="O10" s="274"/>
      <c r="P10" s="267"/>
      <c r="Q10" s="281"/>
      <c r="R10" s="275"/>
      <c r="S10" s="268"/>
      <c r="T10" s="281"/>
      <c r="U10" s="281"/>
    </row>
    <row r="11" spans="1:21" ht="25.5" customHeight="1">
      <c r="A11" s="276" t="s">
        <v>223</v>
      </c>
      <c r="B11" s="284" t="str">
        <f>+'Introducción de datos'!C16</f>
        <v>P4</v>
      </c>
      <c r="C11" s="278" t="s">
        <v>224</v>
      </c>
      <c r="D11" s="286">
        <f>+'Introducción de datos'!E16</f>
        <v>42186</v>
      </c>
      <c r="E11" s="545" t="s">
        <v>225</v>
      </c>
      <c r="F11" s="545"/>
      <c r="G11" s="286">
        <f>+'Introducción de datos'!G16</f>
        <v>42369</v>
      </c>
      <c r="H11" s="276" t="s">
        <v>226</v>
      </c>
      <c r="I11" s="549" t="str">
        <f>+'Introducción de datos'!C12</f>
        <v>B2</v>
      </c>
      <c r="J11" s="549"/>
      <c r="K11" s="287"/>
      <c r="L11" s="285"/>
      <c r="M11" s="265"/>
      <c r="N11" s="285"/>
      <c r="O11" s="285"/>
      <c r="P11" s="267"/>
      <c r="Q11" s="281"/>
      <c r="R11" s="275"/>
      <c r="S11" s="268"/>
      <c r="T11" s="288"/>
      <c r="U11" s="281"/>
    </row>
    <row r="12" spans="1:24" ht="25.5" customHeight="1">
      <c r="A12" s="276" t="s">
        <v>64</v>
      </c>
      <c r="B12" s="547" t="str">
        <f>+'Introducción de datos'!G10</f>
        <v>JACOBS</v>
      </c>
      <c r="C12" s="547"/>
      <c r="D12" s="547"/>
      <c r="E12" s="545" t="s">
        <v>68</v>
      </c>
      <c r="F12" s="545"/>
      <c r="G12" s="547" t="str">
        <f>+'Introducción de datos'!G12</f>
        <v>Giulia, Perrone</v>
      </c>
      <c r="H12" s="547"/>
      <c r="I12" s="547"/>
      <c r="J12" s="547"/>
      <c r="K12" s="285"/>
      <c r="L12" s="285"/>
      <c r="M12" s="265"/>
      <c r="N12" s="285"/>
      <c r="O12" s="268"/>
      <c r="P12" s="267"/>
      <c r="Q12" s="281"/>
      <c r="R12" s="275"/>
      <c r="S12" s="268"/>
      <c r="T12" s="281"/>
      <c r="U12" s="289"/>
      <c r="V12" s="281"/>
      <c r="W12" s="288"/>
      <c r="X12" s="281"/>
    </row>
    <row r="13" spans="1:21" ht="25.5" customHeight="1">
      <c r="A13" s="276" t="s">
        <v>76</v>
      </c>
      <c r="B13" s="547" t="str">
        <f>+'Introducción de datos'!D18</f>
        <v>UCP/FE/MINSAL.</v>
      </c>
      <c r="C13" s="547"/>
      <c r="D13" s="547"/>
      <c r="E13" s="545" t="s">
        <v>227</v>
      </c>
      <c r="F13" s="545"/>
      <c r="G13" s="548">
        <f>+'Introducción de datos'!J16</f>
        <v>42422</v>
      </c>
      <c r="H13" s="548"/>
      <c r="I13" s="548"/>
      <c r="J13" s="548"/>
      <c r="K13" s="268"/>
      <c r="L13" s="290"/>
      <c r="M13" s="290"/>
      <c r="N13" s="290"/>
      <c r="O13" s="268"/>
      <c r="P13" s="290"/>
      <c r="Q13" s="290"/>
      <c r="R13" s="275"/>
      <c r="S13" s="268"/>
      <c r="T13" s="290"/>
      <c r="U13" s="291"/>
    </row>
  </sheetData>
  <sheetProtection password="CFC9" sheet="1" objects="1" scenarios="1"/>
  <mergeCells count="16">
    <mergeCell ref="B13:D13"/>
    <mergeCell ref="E13:F13"/>
    <mergeCell ref="G13:J13"/>
    <mergeCell ref="E10:F10"/>
    <mergeCell ref="G10:J10"/>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5" operator="equal" stopIfTrue="1">
      <formula>"C"</formula>
    </cfRule>
    <cfRule type="cellIs" priority="2" dxfId="41" operator="equal" stopIfTrue="1">
      <formula>"B2"</formula>
    </cfRule>
    <cfRule type="cellIs" priority="3" dxfId="42"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scale="77" r:id="rId2"/>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120" zoomScaleNormal="120" zoomScalePageLayoutView="0" workbookViewId="0" topLeftCell="C13">
      <selection activeCell="K5" sqref="K5"/>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0.421875" style="0" customWidth="1"/>
    <col min="9" max="9" width="14.7109375" style="0" customWidth="1"/>
    <col min="10" max="10" width="12.00390625" style="0" customWidth="1"/>
    <col min="11" max="11" width="11.7109375" style="0" customWidth="1"/>
    <col min="12" max="12" width="3.7109375" style="0" customWidth="1"/>
  </cols>
  <sheetData>
    <row r="1" spans="2:11" ht="30.75" customHeight="1">
      <c r="B1" s="6"/>
      <c r="C1" s="6"/>
      <c r="D1" s="6"/>
      <c r="E1" s="6"/>
      <c r="F1" s="6"/>
      <c r="G1" s="6"/>
      <c r="H1" s="6"/>
      <c r="I1" s="6"/>
      <c r="J1" s="6"/>
      <c r="K1" s="6"/>
    </row>
    <row r="2" spans="2:15" ht="27.75" customHeight="1">
      <c r="B2" s="506" t="str">
        <f>+"Cuadro de mando:  "&amp;"  "&amp;+'Introducción de datos'!C4&amp;" - "&amp;'Introducción de datos'!G6</f>
        <v>Cuadro de mando:    El Salvador - VIH / SIDA</v>
      </c>
      <c r="C2" s="506"/>
      <c r="D2" s="506"/>
      <c r="E2" s="506"/>
      <c r="F2" s="506"/>
      <c r="G2" s="506"/>
      <c r="H2" s="506"/>
      <c r="I2" s="506"/>
      <c r="J2" s="506"/>
      <c r="K2" s="506"/>
      <c r="L2" s="292"/>
      <c r="M2" s="292"/>
      <c r="N2" s="292"/>
      <c r="O2" s="292"/>
    </row>
    <row r="3" spans="2:12" ht="15">
      <c r="B3" s="293" t="str">
        <f>+'Introducción de datos'!G8</f>
        <v>SSF/NMF</v>
      </c>
      <c r="C3" s="551" t="str">
        <f>+'Introducción de datos'!I8</f>
        <v>Fase 1</v>
      </c>
      <c r="D3" s="551"/>
      <c r="E3" s="552"/>
      <c r="F3" s="552"/>
      <c r="G3" s="552"/>
      <c r="H3" s="552"/>
      <c r="I3" s="553" t="str">
        <f>+'Introducción de datos'!B16</f>
        <v>Periodo:</v>
      </c>
      <c r="J3" s="553"/>
      <c r="K3" s="295" t="str">
        <f>+'Introducción de datos'!C16</f>
        <v>P4</v>
      </c>
      <c r="L3" s="296"/>
    </row>
    <row r="4" spans="2:11" ht="15">
      <c r="B4" s="293" t="str">
        <f>+'Introducción de datos'!B12</f>
        <v>Ultima calificación:</v>
      </c>
      <c r="C4" s="554" t="str">
        <f>+'Introducción de datos'!C12</f>
        <v>B2</v>
      </c>
      <c r="D4" s="554"/>
      <c r="E4" s="552" t="str">
        <f>+'Introducción de datos'!C8</f>
        <v>Ministerio de Salud </v>
      </c>
      <c r="F4" s="552"/>
      <c r="G4" s="552"/>
      <c r="H4" s="552"/>
      <c r="I4" s="553" t="str">
        <f>+'Introducción de datos'!D16</f>
        <v>Desde:</v>
      </c>
      <c r="J4" s="553"/>
      <c r="K4" s="297">
        <f>+'Introducción de datos'!E16</f>
        <v>42186</v>
      </c>
    </row>
    <row r="5" spans="2:11" ht="18.75" customHeight="1">
      <c r="B5" s="293"/>
      <c r="C5" s="293"/>
      <c r="D5" s="559" t="str">
        <f>+'Introducción de datos'!G4</f>
        <v>INNOVANDO SERVICIOS, REDUCIENDO RIESGOS, RENOVANDO VIDAS EN EL SALVADOR</v>
      </c>
      <c r="E5" s="559"/>
      <c r="F5" s="559"/>
      <c r="G5" s="559"/>
      <c r="H5" s="559"/>
      <c r="I5" s="559"/>
      <c r="J5" s="293" t="str">
        <f>+'Introducción de datos'!F16</f>
        <v>Hasta:</v>
      </c>
      <c r="K5" s="297">
        <f>+'Introducción de datos'!G16</f>
        <v>42369</v>
      </c>
    </row>
    <row r="6" spans="2:11" ht="18.75">
      <c r="B6" s="298"/>
      <c r="C6" s="293"/>
      <c r="D6" s="299"/>
      <c r="E6" s="560" t="s">
        <v>228</v>
      </c>
      <c r="F6" s="560"/>
      <c r="G6" s="560"/>
      <c r="H6" s="560"/>
      <c r="I6" s="6"/>
      <c r="J6" s="6"/>
      <c r="K6" s="6"/>
    </row>
    <row r="7" spans="2:11" ht="10.5" customHeight="1">
      <c r="B7" s="300"/>
      <c r="C7" s="294"/>
      <c r="D7" s="299"/>
      <c r="E7" s="301"/>
      <c r="F7" s="301"/>
      <c r="G7" s="302"/>
      <c r="H7" s="302"/>
      <c r="I7" s="303"/>
      <c r="J7" s="303"/>
      <c r="K7" s="304"/>
    </row>
    <row r="8" spans="2:11" ht="15">
      <c r="B8" s="305" t="str">
        <f>+'Introducción de datos'!B27&amp;" - en ("&amp;'Introducción de datos'!D26&amp;")         "&amp;+I3&amp;" "&amp;+K3</f>
        <v>F1: Presupuesto y desembolsos del Fondo Mundial - en ($)         Periodo: P4</v>
      </c>
      <c r="C8" s="306"/>
      <c r="D8" s="163"/>
      <c r="E8" s="163"/>
      <c r="F8" s="163"/>
      <c r="H8" s="305" t="str">
        <f>+'Introducción de datos'!B49&amp;" - en ("&amp;'Introducción de datos'!D26&amp;")         "&amp;+I3&amp;" "&amp;+K3</f>
        <v>F3: Desembolsos y gastos - en ($)         Periodo: P4</v>
      </c>
      <c r="I8" s="6"/>
      <c r="J8" s="6"/>
      <c r="K8" s="6"/>
    </row>
    <row r="9" spans="2:11" ht="45.75" customHeight="1">
      <c r="B9" s="307" t="s">
        <v>229</v>
      </c>
      <c r="C9" s="561" t="s">
        <v>382</v>
      </c>
      <c r="D9" s="561"/>
      <c r="E9" s="561"/>
      <c r="F9" s="561"/>
      <c r="H9" s="308" t="s">
        <v>229</v>
      </c>
      <c r="I9" s="550" t="s">
        <v>383</v>
      </c>
      <c r="J9" s="550"/>
      <c r="K9" s="550"/>
    </row>
    <row r="10" spans="2:11" ht="15">
      <c r="B10" s="163"/>
      <c r="C10" s="163"/>
      <c r="D10" s="163"/>
      <c r="E10" s="163"/>
      <c r="F10" s="163"/>
      <c r="G10" s="6"/>
      <c r="H10" s="6"/>
      <c r="I10" s="6"/>
      <c r="J10" s="6"/>
      <c r="K10" s="6"/>
    </row>
    <row r="11" spans="2:11" ht="15">
      <c r="B11" s="163"/>
      <c r="C11" s="163"/>
      <c r="D11" s="163"/>
      <c r="E11" s="163"/>
      <c r="F11" s="163"/>
      <c r="G11" s="6"/>
      <c r="H11" s="6"/>
      <c r="I11" s="6"/>
      <c r="J11" s="6"/>
      <c r="K11" s="6"/>
    </row>
    <row r="12" spans="2:11" ht="15">
      <c r="B12" s="163"/>
      <c r="C12" s="163"/>
      <c r="D12" s="163"/>
      <c r="E12" s="163"/>
      <c r="F12" s="163"/>
      <c r="G12" s="6"/>
      <c r="H12" s="6"/>
      <c r="I12" s="6"/>
      <c r="J12" s="6"/>
      <c r="K12" s="6"/>
    </row>
    <row r="13" spans="2:11" ht="15">
      <c r="B13" s="163"/>
      <c r="C13" s="163"/>
      <c r="D13" s="163"/>
      <c r="E13" s="163"/>
      <c r="F13" s="163"/>
      <c r="G13" s="6"/>
      <c r="H13" s="6"/>
      <c r="I13" s="6"/>
      <c r="J13" s="6"/>
      <c r="K13" s="6"/>
    </row>
    <row r="14" spans="2:11" ht="15">
      <c r="B14" s="163"/>
      <c r="C14" s="163"/>
      <c r="D14" s="163"/>
      <c r="E14" s="163"/>
      <c r="F14" s="163"/>
      <c r="G14" s="6"/>
      <c r="H14" s="6"/>
      <c r="I14" s="6"/>
      <c r="J14" s="6"/>
      <c r="K14" s="6"/>
    </row>
    <row r="15" spans="2:13" ht="15">
      <c r="B15" s="163"/>
      <c r="C15" s="163"/>
      <c r="D15" s="163"/>
      <c r="E15" s="163"/>
      <c r="F15" s="163"/>
      <c r="G15" s="6"/>
      <c r="H15" s="6"/>
      <c r="I15" s="6"/>
      <c r="J15" s="6"/>
      <c r="K15" s="6"/>
      <c r="M15" s="309" t="s">
        <v>230</v>
      </c>
    </row>
    <row r="16" spans="2:13" ht="15">
      <c r="B16" s="163"/>
      <c r="C16" s="163"/>
      <c r="D16" s="163"/>
      <c r="E16" s="163"/>
      <c r="F16" s="163"/>
      <c r="G16" s="6"/>
      <c r="H16" s="6"/>
      <c r="I16" s="6"/>
      <c r="J16" s="6"/>
      <c r="K16" s="6"/>
      <c r="M16" s="309" t="s">
        <v>231</v>
      </c>
    </row>
    <row r="17" spans="2:11" ht="15">
      <c r="B17" s="163"/>
      <c r="C17" s="163"/>
      <c r="D17" s="163"/>
      <c r="E17" s="163"/>
      <c r="F17" s="163"/>
      <c r="G17" s="6"/>
      <c r="H17" s="6"/>
      <c r="I17" s="6"/>
      <c r="J17" s="6"/>
      <c r="K17" s="6"/>
    </row>
    <row r="18" spans="2:11" ht="15">
      <c r="B18" s="163"/>
      <c r="C18" s="163"/>
      <c r="D18" s="163"/>
      <c r="E18" s="163"/>
      <c r="F18" s="163"/>
      <c r="G18" s="6"/>
      <c r="H18" s="6"/>
      <c r="I18" s="6"/>
      <c r="J18" s="6"/>
      <c r="K18" s="6"/>
    </row>
    <row r="19" spans="2:11" ht="15">
      <c r="B19" s="163"/>
      <c r="C19" s="163"/>
      <c r="D19" s="163"/>
      <c r="E19" s="163"/>
      <c r="F19" s="163"/>
      <c r="G19" s="6"/>
      <c r="H19" s="6"/>
      <c r="I19" s="6"/>
      <c r="J19" s="6"/>
      <c r="K19" s="6"/>
    </row>
    <row r="20" spans="2:11" ht="15">
      <c r="B20" s="163"/>
      <c r="C20" s="163"/>
      <c r="D20" s="163"/>
      <c r="E20" s="163"/>
      <c r="F20" s="163"/>
      <c r="G20" s="6"/>
      <c r="H20" s="6"/>
      <c r="I20" s="6"/>
      <c r="J20" s="6"/>
      <c r="K20" s="6"/>
    </row>
    <row r="21" spans="1:11" ht="24" customHeight="1">
      <c r="A21" s="10"/>
      <c r="B21" s="10"/>
      <c r="C21" s="10"/>
      <c r="D21" s="10"/>
      <c r="E21" s="10"/>
      <c r="F21" s="10"/>
      <c r="G21" s="10"/>
      <c r="H21" s="10"/>
      <c r="I21" s="10"/>
      <c r="J21" s="10"/>
      <c r="K21" s="10"/>
    </row>
    <row r="22" spans="2:11" ht="23.25" customHeight="1">
      <c r="B22" s="310" t="str">
        <f>+'Introducción de datos'!B36&amp;" - en ("&amp;'Introducción de datos'!D26&amp;")  "&amp;+I3&amp;" "&amp;+K3</f>
        <v>F2: Presupuesto y gastos reales por objetivo de la subvención - en ($)  Periodo: P4</v>
      </c>
      <c r="C22" s="163"/>
      <c r="D22" s="163"/>
      <c r="E22" s="163"/>
      <c r="F22" s="163"/>
      <c r="H22" s="310" t="str">
        <f>+'Introducción de datos'!B58&amp;"   "&amp;+I3&amp;" "&amp;+K3</f>
        <v>F4: Último ciclo de información y desembolso del RP   Periodo: P4</v>
      </c>
      <c r="J22" s="6"/>
      <c r="K22" s="6"/>
    </row>
    <row r="23" spans="2:11" ht="45.75" customHeight="1">
      <c r="B23" s="308" t="s">
        <v>232</v>
      </c>
      <c r="C23" s="550" t="s">
        <v>384</v>
      </c>
      <c r="D23" s="550"/>
      <c r="E23" s="550"/>
      <c r="F23" s="550"/>
      <c r="G23" s="311"/>
      <c r="H23" s="308" t="s">
        <v>229</v>
      </c>
      <c r="I23" s="550"/>
      <c r="J23" s="550"/>
      <c r="K23" s="550"/>
    </row>
    <row r="24" spans="2:11" ht="15">
      <c r="B24" s="312"/>
      <c r="C24" s="312"/>
      <c r="D24" s="312"/>
      <c r="E24" s="312"/>
      <c r="F24" s="312"/>
      <c r="G24" s="312"/>
      <c r="H24" s="313"/>
      <c r="I24" s="313"/>
      <c r="J24" s="312"/>
      <c r="K24" s="312"/>
    </row>
    <row r="25" spans="2:11" ht="29.25" customHeight="1">
      <c r="B25" s="6"/>
      <c r="C25" s="6"/>
      <c r="D25" s="6"/>
      <c r="E25" s="6"/>
      <c r="F25" s="6"/>
      <c r="G25" s="314"/>
      <c r="H25" s="555" t="s">
        <v>233</v>
      </c>
      <c r="I25" s="555"/>
      <c r="J25" s="555"/>
      <c r="K25" s="555"/>
    </row>
    <row r="26" spans="2:11" ht="24.75">
      <c r="B26" s="6"/>
      <c r="C26" s="6"/>
      <c r="D26" s="6"/>
      <c r="E26" s="6"/>
      <c r="F26" s="6"/>
      <c r="G26" s="44"/>
      <c r="H26" s="556"/>
      <c r="I26" s="556"/>
      <c r="J26" s="315" t="s">
        <v>120</v>
      </c>
      <c r="K26" s="316" t="s">
        <v>121</v>
      </c>
    </row>
    <row r="27" spans="2:11" ht="29.25" customHeight="1">
      <c r="B27" s="6"/>
      <c r="C27" s="6"/>
      <c r="D27" s="6"/>
      <c r="E27" s="6"/>
      <c r="F27" s="6"/>
      <c r="G27" s="317"/>
      <c r="H27" s="557" t="str">
        <f>'Introducción de datos'!B62</f>
        <v>Días tardados en presentar el informe de progreso actualizado y solicitud de desembolso al ALF</v>
      </c>
      <c r="I27" s="557"/>
      <c r="J27" s="318">
        <f>+'Introducción de datos'!C62</f>
        <v>45</v>
      </c>
      <c r="K27" s="319">
        <f>+'Introducción de datos'!D62</f>
        <v>45</v>
      </c>
    </row>
    <row r="28" spans="2:11" ht="21" customHeight="1">
      <c r="B28" s="6"/>
      <c r="C28" s="6"/>
      <c r="D28" s="6"/>
      <c r="E28" s="6"/>
      <c r="F28" s="6"/>
      <c r="G28" s="317"/>
      <c r="H28" s="557" t="str">
        <f>'Introducción de datos'!B63</f>
        <v>Días que el desembolso ha tardado en llegar al RP</v>
      </c>
      <c r="I28" s="557"/>
      <c r="J28" s="318">
        <f>+'Introducción de datos'!C63</f>
        <v>45</v>
      </c>
      <c r="K28" s="319">
        <f>+'Introducción de datos'!D63</f>
        <v>27</v>
      </c>
    </row>
    <row r="29" spans="2:11" ht="21" customHeight="1">
      <c r="B29" s="6"/>
      <c r="C29" s="6"/>
      <c r="D29" s="6"/>
      <c r="E29" s="6"/>
      <c r="F29" s="6"/>
      <c r="G29" s="317"/>
      <c r="H29" s="558" t="str">
        <f>'Introducción de datos'!B64</f>
        <v>Días que el desembolso ha tardado en llegar a los subreceptores </v>
      </c>
      <c r="I29" s="558"/>
      <c r="J29" s="320">
        <f>+'Introducción de datos'!C64</f>
        <v>0</v>
      </c>
      <c r="K29" s="321">
        <f>+'Introducción de datos'!D64</f>
        <v>0</v>
      </c>
    </row>
    <row r="30" spans="2:11" ht="15">
      <c r="B30" s="6"/>
      <c r="C30" s="6"/>
      <c r="D30" s="6"/>
      <c r="E30" s="6"/>
      <c r="F30" s="6"/>
      <c r="G30" s="6"/>
      <c r="H30" s="6"/>
      <c r="I30" s="6"/>
      <c r="J30" s="6"/>
      <c r="K30" s="6"/>
    </row>
    <row r="31" spans="2:11" ht="15">
      <c r="B31" s="6"/>
      <c r="C31" s="106"/>
      <c r="D31" s="322"/>
      <c r="E31" s="6"/>
      <c r="F31" s="6"/>
      <c r="G31" s="6"/>
      <c r="H31" s="6"/>
      <c r="I31" s="6"/>
      <c r="J31" s="6"/>
      <c r="K31" s="6"/>
    </row>
    <row r="32" spans="2:11" ht="15">
      <c r="B32" s="6"/>
      <c r="C32" s="285" t="s">
        <v>101</v>
      </c>
      <c r="D32" s="322"/>
      <c r="E32" s="6"/>
      <c r="F32" s="6"/>
      <c r="G32" s="6"/>
      <c r="H32" s="6"/>
      <c r="I32" s="6"/>
      <c r="J32" s="6"/>
      <c r="K32" s="6"/>
    </row>
    <row r="33" ht="15">
      <c r="C33" s="309" t="s">
        <v>158</v>
      </c>
    </row>
  </sheetData>
  <sheetProtection password="CF09" sheet="1" objects="1" scenarios="1"/>
  <mergeCells count="18">
    <mergeCell ref="H25:K25"/>
    <mergeCell ref="H26:I26"/>
    <mergeCell ref="H27:I27"/>
    <mergeCell ref="H28:I28"/>
    <mergeCell ref="H29:I29"/>
    <mergeCell ref="D5:I5"/>
    <mergeCell ref="E6:H6"/>
    <mergeCell ref="C9:F9"/>
    <mergeCell ref="I9:K9"/>
    <mergeCell ref="C23:F23"/>
    <mergeCell ref="I23:K23"/>
    <mergeCell ref="B2:K2"/>
    <mergeCell ref="C3:D3"/>
    <mergeCell ref="E3:H3"/>
    <mergeCell ref="I3:J3"/>
    <mergeCell ref="C4:D4"/>
    <mergeCell ref="E4:H4"/>
    <mergeCell ref="I4:J4"/>
  </mergeCells>
  <conditionalFormatting sqref="K27:K29">
    <cfRule type="cellIs" priority="1" dxfId="46" operator="greaterThan" stopIfTrue="1">
      <formula>J27</formula>
    </cfRule>
    <cfRule type="cellIs" priority="2" dxfId="47" operator="between" stopIfTrue="1">
      <formula>J27</formula>
      <formula>1</formula>
    </cfRule>
    <cfRule type="cellIs" priority="3" dxfId="48" operator="equal" stopIfTrue="1">
      <formula>0</formula>
    </cfRule>
  </conditionalFormatting>
  <conditionalFormatting sqref="C4:D4">
    <cfRule type="cellIs" priority="4" dxfId="45" operator="equal" stopIfTrue="1">
      <formula>"C"</formula>
    </cfRule>
    <cfRule type="cellIs" priority="5" dxfId="41" operator="equal" stopIfTrue="1">
      <formula>"B2"</formula>
    </cfRule>
    <cfRule type="cellIs" priority="6" dxfId="4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r:id="rId2"/>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4"/>
  <sheetViews>
    <sheetView showGridLines="0" zoomScalePageLayoutView="0" workbookViewId="0" topLeftCell="A19">
      <selection activeCell="C8" sqref="C8:F8"/>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39.00390625" style="0" customWidth="1"/>
    <col min="10" max="10" width="13.7109375" style="0" customWidth="1"/>
    <col min="11" max="11" width="13.57421875" style="0" customWidth="1"/>
    <col min="12" max="12" width="14.140625" style="0" customWidth="1"/>
  </cols>
  <sheetData>
    <row r="1" spans="3:5" ht="28.5" customHeight="1">
      <c r="C1" s="323"/>
      <c r="E1" s="323"/>
    </row>
    <row r="2" spans="2:16" ht="27.75" customHeight="1">
      <c r="B2" s="562" t="str">
        <f>+"Cuadro de mando:  "&amp;"  "&amp;+'Introducción de datos'!C4&amp;" - "&amp;'Introducción de datos'!G6</f>
        <v>Cuadro de mando:    El Salvador - VIH / SIDA</v>
      </c>
      <c r="C2" s="562"/>
      <c r="D2" s="562"/>
      <c r="E2" s="562"/>
      <c r="F2" s="562"/>
      <c r="G2" s="562"/>
      <c r="H2" s="562"/>
      <c r="I2" s="562"/>
      <c r="J2" s="562"/>
      <c r="K2" s="562"/>
      <c r="L2" s="562"/>
      <c r="M2" s="324"/>
      <c r="N2" s="324"/>
      <c r="O2" s="324"/>
      <c r="P2" s="324"/>
    </row>
    <row r="3" spans="2:12" ht="15">
      <c r="B3" s="325" t="str">
        <f>+'Introducción de datos'!G8</f>
        <v>SSF/NMF</v>
      </c>
      <c r="C3" s="563" t="str">
        <f>+'Introducción de datos'!I8</f>
        <v>Fase 1</v>
      </c>
      <c r="D3" s="563"/>
      <c r="E3" s="564"/>
      <c r="F3" s="564"/>
      <c r="G3" s="564"/>
      <c r="H3" s="564"/>
      <c r="I3" s="564"/>
      <c r="J3" s="565" t="str">
        <f>+'Introducción de datos'!B16</f>
        <v>Periodo:</v>
      </c>
      <c r="K3" s="565"/>
      <c r="L3" s="295" t="str">
        <f>+'Introducción de datos'!C16</f>
        <v>P4</v>
      </c>
    </row>
    <row r="4" spans="2:12" ht="15">
      <c r="B4" s="325" t="str">
        <f>+'Introducción de datos'!B12</f>
        <v>Ultima calificación:</v>
      </c>
      <c r="C4" s="554" t="str">
        <f>+'Introducción de datos'!C12</f>
        <v>B2</v>
      </c>
      <c r="D4" s="554"/>
      <c r="E4" s="564" t="str">
        <f>+'Introducción de datos'!C8</f>
        <v>Ministerio de Salud </v>
      </c>
      <c r="F4" s="564"/>
      <c r="G4" s="564"/>
      <c r="H4" s="564"/>
      <c r="I4" s="564"/>
      <c r="J4" s="565" t="str">
        <f>+'Introducción de datos'!D16</f>
        <v>Desde:</v>
      </c>
      <c r="K4" s="565"/>
      <c r="L4" s="297">
        <f>+'Introducción de datos'!E16</f>
        <v>42186</v>
      </c>
    </row>
    <row r="5" spans="2:12" ht="18.75" customHeight="1">
      <c r="B5" s="325"/>
      <c r="C5" s="325"/>
      <c r="D5" s="564" t="str">
        <f>+'Introducción de datos'!G4</f>
        <v>INNOVANDO SERVICIOS, REDUCIENDO RIESGOS, RENOVANDO VIDAS EN EL SALVADOR</v>
      </c>
      <c r="E5" s="564"/>
      <c r="F5" s="564"/>
      <c r="G5" s="564"/>
      <c r="H5" s="564"/>
      <c r="I5" s="564"/>
      <c r="J5" s="564"/>
      <c r="K5" s="325" t="str">
        <f>+'Introducción de datos'!F16</f>
        <v>Hasta:</v>
      </c>
      <c r="L5" s="297">
        <f>+'Introducción de datos'!G16</f>
        <v>42369</v>
      </c>
    </row>
    <row r="6" spans="2:9" ht="18.75">
      <c r="B6" s="326"/>
      <c r="C6" s="325"/>
      <c r="D6" s="299"/>
      <c r="E6" s="566" t="s">
        <v>20</v>
      </c>
      <c r="F6" s="566"/>
      <c r="G6" s="566"/>
      <c r="H6" s="566"/>
      <c r="I6" s="566"/>
    </row>
    <row r="7" spans="2:8" ht="15">
      <c r="B7" s="327" t="str">
        <f>+'Introducción de datos'!B69&amp;"     "&amp;+J3&amp;" "&amp;+L3</f>
        <v>M1: Estado de las condiciones precedentes y acciones con fecha límite     Periodo: P4</v>
      </c>
      <c r="C7" s="328"/>
      <c r="H7" s="327" t="str">
        <f>+'Introducción de datos'!B76&amp;"         "&amp;+J3&amp;"  "&amp;+L3</f>
        <v>M2: Estado de los principales puestos directivos del RP         Periodo:  P4</v>
      </c>
    </row>
    <row r="8" spans="2:12" ht="53.25" customHeight="1">
      <c r="B8" s="329" t="s">
        <v>229</v>
      </c>
      <c r="C8" s="550"/>
      <c r="D8" s="550"/>
      <c r="E8" s="550"/>
      <c r="F8" s="550"/>
      <c r="G8" s="330"/>
      <c r="H8" s="329" t="s">
        <v>229</v>
      </c>
      <c r="I8" s="550" t="s">
        <v>234</v>
      </c>
      <c r="J8" s="550"/>
      <c r="K8" s="550"/>
      <c r="L8" s="550"/>
    </row>
    <row r="9" spans="2:8" ht="15">
      <c r="B9" s="10"/>
      <c r="C9" s="10"/>
      <c r="D9" s="10"/>
      <c r="E9" s="10"/>
      <c r="F9" s="10"/>
      <c r="G9" s="10"/>
      <c r="H9" s="10"/>
    </row>
    <row r="10" spans="1:16" ht="15">
      <c r="A10" s="331"/>
      <c r="B10" s="10"/>
      <c r="C10" s="10"/>
      <c r="D10" s="567"/>
      <c r="E10" s="484"/>
      <c r="F10" s="484"/>
      <c r="G10" s="12"/>
      <c r="H10" s="10"/>
      <c r="N10" s="333"/>
      <c r="O10" s="333"/>
      <c r="P10" s="334"/>
    </row>
    <row r="11" spans="2:15" ht="15">
      <c r="B11" s="10"/>
      <c r="C11" s="332"/>
      <c r="D11" s="567"/>
      <c r="E11" s="332"/>
      <c r="F11" s="332"/>
      <c r="G11" s="332"/>
      <c r="H11" s="332"/>
      <c r="N11" s="10"/>
      <c r="O11" s="10"/>
    </row>
    <row r="12" spans="2:8" ht="15">
      <c r="B12" s="332"/>
      <c r="C12" s="335"/>
      <c r="D12" s="336"/>
      <c r="E12" s="336"/>
      <c r="F12" s="336"/>
      <c r="G12" s="336"/>
      <c r="H12" s="337"/>
    </row>
    <row r="13" spans="2:8" ht="15">
      <c r="B13" s="332"/>
      <c r="C13" s="335"/>
      <c r="D13" s="336"/>
      <c r="E13" s="336"/>
      <c r="F13" s="336"/>
      <c r="G13" s="336"/>
      <c r="H13" s="337"/>
    </row>
    <row r="15" spans="2:8" ht="27.75" customHeight="1">
      <c r="B15" s="327" t="str">
        <f>+'Introducción de datos'!B81&amp;"            "&amp;+J3&amp;" "&amp;+L3</f>
        <v>M3: Acuerdos contractuales (subreceptores)             Periodo: P4</v>
      </c>
      <c r="H15" s="327" t="str">
        <f>+'Introducción de datos'!B86&amp;"                "&amp;+J3&amp;" "&amp;+L3</f>
        <v>M4: Número de informes completos recibidos a tiempo                Periodo: P4</v>
      </c>
    </row>
    <row r="16" spans="2:12" ht="15" customHeight="1">
      <c r="B16" s="329" t="s">
        <v>229</v>
      </c>
      <c r="C16" s="550" t="s">
        <v>235</v>
      </c>
      <c r="D16" s="550"/>
      <c r="E16" s="550"/>
      <c r="F16" s="550"/>
      <c r="G16" s="330"/>
      <c r="H16" s="329" t="s">
        <v>229</v>
      </c>
      <c r="I16" s="550" t="s">
        <v>235</v>
      </c>
      <c r="J16" s="550"/>
      <c r="K16" s="550"/>
      <c r="L16" s="550"/>
    </row>
    <row r="17" spans="2:8" ht="15">
      <c r="B17" s="338"/>
      <c r="H17" s="339"/>
    </row>
    <row r="18" ht="15">
      <c r="M18" s="296"/>
    </row>
    <row r="25" ht="22.5" customHeight="1"/>
    <row r="26" spans="2:8" ht="15">
      <c r="B26" s="327" t="str">
        <f>+'Introducción de datos'!B92</f>
        <v>M5: Presupuesto y compra de productos y equipo sanitario, medicamentos y productos farmacéuticos</v>
      </c>
      <c r="H26" s="327" t="str">
        <f>+'Introducción de datos'!B105&amp;"    "&amp;+J3&amp;"  "&amp;+L3</f>
        <v>M6: Diferencia entre existencias actuales y existencias de seguridad    Periodo:  P4</v>
      </c>
    </row>
    <row r="27" spans="2:12" ht="57.75" customHeight="1">
      <c r="B27" s="329" t="s">
        <v>229</v>
      </c>
      <c r="C27" s="561"/>
      <c r="D27" s="561"/>
      <c r="E27" s="561"/>
      <c r="F27" s="561"/>
      <c r="G27" s="330"/>
      <c r="H27" s="329" t="s">
        <v>229</v>
      </c>
      <c r="I27" s="550"/>
      <c r="J27" s="550"/>
      <c r="K27" s="550"/>
      <c r="L27" s="550"/>
    </row>
    <row r="29" spans="6:12" ht="104.25" customHeight="1">
      <c r="F29" s="340"/>
      <c r="G29" s="340"/>
      <c r="H29" s="341" t="s">
        <v>161</v>
      </c>
      <c r="I29" s="342" t="s">
        <v>162</v>
      </c>
      <c r="J29" s="343" t="s">
        <v>236</v>
      </c>
      <c r="K29" s="344" t="s">
        <v>237</v>
      </c>
      <c r="L29" s="345" t="s">
        <v>238</v>
      </c>
    </row>
    <row r="30" spans="6:12" ht="15" customHeight="1">
      <c r="F30" s="340"/>
      <c r="G30" s="340"/>
      <c r="H30" s="568" t="str">
        <f>+'Introducción de datos'!B108</f>
        <v>VIH/SIDA</v>
      </c>
      <c r="I30" s="346" t="str">
        <f>+'Introducción de datos'!C108</f>
        <v>DDI 400 mg</v>
      </c>
      <c r="J30" s="347">
        <f>+'Introducción de datos'!I108</f>
        <v>0</v>
      </c>
      <c r="K30" s="348">
        <f>+'Introducción de datos'!J108</f>
        <v>0</v>
      </c>
      <c r="L30" s="349">
        <f>+'Introducción de datos'!K108</f>
        <v>0</v>
      </c>
    </row>
    <row r="31" spans="6:12" ht="15">
      <c r="F31" s="340"/>
      <c r="G31" s="340"/>
      <c r="H31" s="568"/>
      <c r="I31" s="346" t="str">
        <f>+'Introducción de datos'!C109</f>
        <v>AZT 300 mg</v>
      </c>
      <c r="J31" s="347">
        <f>+'Introducción de datos'!I109</f>
        <v>0</v>
      </c>
      <c r="K31" s="348">
        <f>+'Introducción de datos'!J109</f>
        <v>0</v>
      </c>
      <c r="L31" s="349">
        <f>+'Introducción de datos'!K109</f>
        <v>0</v>
      </c>
    </row>
    <row r="32" spans="6:12" ht="15">
      <c r="F32" s="340"/>
      <c r="G32" s="340"/>
      <c r="H32" s="568"/>
      <c r="I32" s="346" t="str">
        <f>+'Introducción de datos'!C110</f>
        <v>Zidovudina 300 mg + Laminvuidna</v>
      </c>
      <c r="J32" s="347">
        <f>+'Introducción de datos'!I110</f>
        <v>0</v>
      </c>
      <c r="K32" s="348">
        <f>+'Introducción de datos'!J110</f>
        <v>0</v>
      </c>
      <c r="L32" s="349">
        <f>+'Introducción de datos'!K110</f>
        <v>0</v>
      </c>
    </row>
    <row r="33" spans="6:12" ht="15">
      <c r="F33" s="340"/>
      <c r="G33" s="340"/>
      <c r="H33" s="568"/>
      <c r="I33" s="346" t="str">
        <f>+'Introducción de datos'!C111</f>
        <v>Lopinavir 200 mg Ritonavir 50 mg</v>
      </c>
      <c r="J33" s="347">
        <f>+'Introducción de datos'!I111</f>
        <v>0</v>
      </c>
      <c r="K33" s="348">
        <f>+'Introducción de datos'!J111</f>
        <v>0</v>
      </c>
      <c r="L33" s="349">
        <f>+'Introducción de datos'!K111</f>
        <v>0</v>
      </c>
    </row>
    <row r="34" spans="2:12" ht="39.75" customHeight="1">
      <c r="B34" s="569" t="str">
        <f>+'Introducción de datos'!B102</f>
        <v>* Incluye sólo los montos de las categorías 4 y 5 (Productos y equipamientos sanitarios y Medicamentos y productos farmacéuticos) de los  Informes Financieros Mejorados</v>
      </c>
      <c r="C34" s="569"/>
      <c r="D34" s="569"/>
      <c r="E34" s="569"/>
      <c r="F34" s="10"/>
      <c r="G34" s="10"/>
      <c r="H34" s="350"/>
      <c r="I34" s="351"/>
      <c r="J34" s="352"/>
      <c r="K34" s="12"/>
      <c r="L34" s="49"/>
    </row>
  </sheetData>
  <sheetProtection selectLockedCells="1" selectUnlockedCells="1"/>
  <mergeCells count="19">
    <mergeCell ref="C16:F16"/>
    <mergeCell ref="I16:L16"/>
    <mergeCell ref="C27:F27"/>
    <mergeCell ref="I27:L27"/>
    <mergeCell ref="H30:H33"/>
    <mergeCell ref="B34:E34"/>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1" dxfId="44" operator="greaterThan" stopIfTrue="1">
      <formula>0</formula>
    </cfRule>
  </conditionalFormatting>
  <conditionalFormatting sqref="E12:E13">
    <cfRule type="cellIs" priority="2" dxfId="49" operator="greaterThan" stopIfTrue="1">
      <formula>0</formula>
    </cfRule>
  </conditionalFormatting>
  <conditionalFormatting sqref="F12:G13">
    <cfRule type="cellIs" priority="3" dxfId="45" operator="greaterThan" stopIfTrue="1">
      <formula>0</formula>
    </cfRule>
  </conditionalFormatting>
  <conditionalFormatting sqref="C4:D4">
    <cfRule type="cellIs" priority="4" dxfId="45" operator="equal" stopIfTrue="1">
      <formula>"C"</formula>
    </cfRule>
    <cfRule type="cellIs" priority="5" dxfId="41" operator="equal" stopIfTrue="1">
      <formula>"B2"</formula>
    </cfRule>
    <cfRule type="cellIs" priority="6" dxfId="42" operator="equal" stopIfTrue="1">
      <formula>"B1"</formula>
    </cfRule>
  </conditionalFormatting>
  <conditionalFormatting sqref="L30:L33">
    <cfRule type="cellIs" priority="7" dxfId="50" operator="lessThan" stopIfTrue="1">
      <formula>1</formula>
    </cfRule>
    <cfRule type="cellIs" priority="8" dxfId="51" operator="between" stopIfTrue="1">
      <formula>3</formula>
      <formula>17</formula>
    </cfRule>
    <cfRule type="cellIs" priority="9" dxfId="52"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39"/>
  <sheetViews>
    <sheetView showGridLines="0" tabSelected="1" view="pageBreakPreview" zoomScale="110" zoomScaleNormal="170" zoomScaleSheetLayoutView="110" zoomScalePageLayoutView="0" workbookViewId="0" topLeftCell="A21">
      <selection activeCell="L25" sqref="L25:Q25"/>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14.00390625" style="0" customWidth="1"/>
    <col min="6" max="6" width="10.7109375" style="0" customWidth="1"/>
    <col min="7" max="7" width="5.7109375" style="0" customWidth="1"/>
    <col min="8" max="8" width="8.00390625" style="0" customWidth="1"/>
    <col min="9" max="9" width="6.7109375" style="0" customWidth="1"/>
    <col min="10" max="10" width="4.140625" style="0" customWidth="1"/>
    <col min="11" max="11" width="15.140625" style="0" customWidth="1"/>
    <col min="12" max="12" width="12.140625" style="0" customWidth="1"/>
    <col min="13" max="13" width="16.7109375" style="0" customWidth="1"/>
    <col min="14" max="14" width="12.421875" style="0" customWidth="1"/>
    <col min="15" max="15" width="14.57421875" style="0" customWidth="1"/>
    <col min="16" max="16" width="15.7109375" style="0" customWidth="1"/>
    <col min="17" max="17" width="15.00390625" style="0" customWidth="1"/>
    <col min="18" max="18" width="6.57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570" t="str">
        <f>+"Cuadro de mando:  "&amp;"  "&amp;+'Introducción de datos'!C4&amp;" - "&amp;'Introducción de datos'!G6</f>
        <v>Cuadro de mando:    El Salvador - VIH / SIDA</v>
      </c>
      <c r="C2" s="570"/>
      <c r="D2" s="570"/>
      <c r="E2" s="570"/>
      <c r="F2" s="570"/>
      <c r="G2" s="570"/>
      <c r="H2" s="570"/>
      <c r="I2" s="570"/>
      <c r="J2" s="570"/>
      <c r="K2" s="570"/>
      <c r="L2" s="570"/>
      <c r="M2" s="570"/>
      <c r="N2" s="570"/>
      <c r="O2" s="570"/>
      <c r="P2" s="570"/>
      <c r="Q2" s="570"/>
    </row>
    <row r="3" spans="1:17" ht="15">
      <c r="A3" s="6"/>
      <c r="B3" s="293" t="str">
        <f>+'Introducción de datos'!G8</f>
        <v>SSF/NMF</v>
      </c>
      <c r="C3" s="551" t="str">
        <f>+'Introducción de datos'!I8</f>
        <v>Fase 1</v>
      </c>
      <c r="D3" s="551"/>
      <c r="E3" s="552"/>
      <c r="F3" s="552"/>
      <c r="G3" s="552"/>
      <c r="H3" s="552"/>
      <c r="I3" s="552"/>
      <c r="J3" s="552"/>
      <c r="K3" s="552"/>
      <c r="L3" s="6"/>
      <c r="M3" s="6"/>
      <c r="O3" s="553" t="str">
        <f>+'Introducción de datos'!B16</f>
        <v>Periodo:</v>
      </c>
      <c r="P3" s="553"/>
      <c r="Q3" s="353" t="str">
        <f>+'Introducción de datos'!C16</f>
        <v>P4</v>
      </c>
    </row>
    <row r="4" spans="1:29" ht="12" customHeight="1">
      <c r="A4" s="6"/>
      <c r="B4" s="293" t="str">
        <f>+'Introducción de datos'!B12</f>
        <v>Ultima calificación:</v>
      </c>
      <c r="C4" s="571" t="str">
        <f>+'Introducción de datos'!C12</f>
        <v>B2</v>
      </c>
      <c r="D4" s="571"/>
      <c r="E4" s="552" t="str">
        <f>+'Introducción de datos'!C8</f>
        <v>Ministerio de Salud </v>
      </c>
      <c r="F4" s="552"/>
      <c r="G4" s="552"/>
      <c r="H4" s="552"/>
      <c r="I4" s="552"/>
      <c r="J4" s="552"/>
      <c r="K4" s="552"/>
      <c r="L4" s="552"/>
      <c r="M4" s="6"/>
      <c r="O4" s="354"/>
      <c r="P4" s="293" t="str">
        <f>+'Introducción de datos'!D16</f>
        <v>Desde:</v>
      </c>
      <c r="Q4" s="355">
        <f>+'Introducción de datos'!E16</f>
        <v>42186</v>
      </c>
      <c r="Y4" s="309"/>
      <c r="Z4" s="309"/>
      <c r="AA4" s="309"/>
      <c r="AB4" s="309"/>
      <c r="AC4" s="309"/>
    </row>
    <row r="5" spans="1:35" ht="15.75" customHeight="1">
      <c r="A5" s="6"/>
      <c r="B5" s="293"/>
      <c r="C5" s="293"/>
      <c r="D5" s="552" t="str">
        <f>+'Introducción de datos'!G4</f>
        <v>INNOVANDO SERVICIOS, REDUCIENDO RIESGOS, RENOVANDO VIDAS EN EL SALVADOR</v>
      </c>
      <c r="E5" s="552"/>
      <c r="F5" s="552"/>
      <c r="G5" s="552"/>
      <c r="H5" s="552"/>
      <c r="I5" s="552"/>
      <c r="J5" s="552"/>
      <c r="K5" s="552"/>
      <c r="L5" s="552"/>
      <c r="M5" s="552"/>
      <c r="N5" s="552"/>
      <c r="P5" s="293" t="str">
        <f>+'Introducción de datos'!F16</f>
        <v>Hasta:</v>
      </c>
      <c r="Q5" s="355">
        <f>+'Introducción de datos'!G16</f>
        <v>42369</v>
      </c>
      <c r="S5" s="356"/>
      <c r="T5" s="356"/>
      <c r="U5" s="356"/>
      <c r="V5" s="356"/>
      <c r="W5" s="356"/>
      <c r="X5" s="356"/>
      <c r="Y5" s="309"/>
      <c r="Z5" s="309"/>
      <c r="AA5" s="309" t="s">
        <v>239</v>
      </c>
      <c r="AB5" s="309"/>
      <c r="AC5" s="357" t="s">
        <v>240</v>
      </c>
      <c r="AD5" s="356"/>
      <c r="AE5" s="356"/>
      <c r="AF5" s="356"/>
      <c r="AG5" s="356"/>
      <c r="AH5" s="356"/>
      <c r="AI5" s="356"/>
    </row>
    <row r="6" spans="1:35" ht="15.75" customHeight="1">
      <c r="A6" s="6"/>
      <c r="B6" s="293"/>
      <c r="C6" s="293"/>
      <c r="D6" s="358"/>
      <c r="E6" s="358"/>
      <c r="F6" s="572" t="s">
        <v>241</v>
      </c>
      <c r="G6" s="572"/>
      <c r="H6" s="572"/>
      <c r="I6" s="572"/>
      <c r="J6" s="572"/>
      <c r="K6" s="572"/>
      <c r="L6" s="358"/>
      <c r="M6" s="6"/>
      <c r="N6" s="6"/>
      <c r="O6" s="359"/>
      <c r="P6" s="360"/>
      <c r="S6" s="356"/>
      <c r="T6" s="356"/>
      <c r="U6" s="356"/>
      <c r="V6" s="356"/>
      <c r="W6" s="356"/>
      <c r="X6" s="356"/>
      <c r="Y6" s="309"/>
      <c r="Z6" s="309"/>
      <c r="AA6" s="309"/>
      <c r="AB6" s="309"/>
      <c r="AC6" s="309"/>
      <c r="AD6" s="356"/>
      <c r="AE6" s="356"/>
      <c r="AF6" s="356"/>
      <c r="AG6" s="356"/>
      <c r="AH6" s="356"/>
      <c r="AI6" s="356"/>
    </row>
    <row r="7" spans="1:35" ht="3" customHeight="1">
      <c r="A7" s="6"/>
      <c r="B7" s="293"/>
      <c r="C7" s="293"/>
      <c r="D7" s="358"/>
      <c r="E7" s="358"/>
      <c r="F7" s="358"/>
      <c r="G7" s="358"/>
      <c r="H7" s="358"/>
      <c r="I7" s="358"/>
      <c r="J7" s="358"/>
      <c r="K7" s="358"/>
      <c r="L7" s="358"/>
      <c r="M7" s="6"/>
      <c r="N7" s="6"/>
      <c r="O7" s="359"/>
      <c r="P7" s="297"/>
      <c r="Q7" s="297"/>
      <c r="S7" s="356"/>
      <c r="T7" s="356"/>
      <c r="U7" s="356"/>
      <c r="V7" s="356"/>
      <c r="W7" s="356"/>
      <c r="X7" s="356"/>
      <c r="Y7" s="309"/>
      <c r="Z7" s="309"/>
      <c r="AA7" s="309"/>
      <c r="AB7" s="309"/>
      <c r="AC7" s="309"/>
      <c r="AD7" s="356"/>
      <c r="AE7" s="356"/>
      <c r="AF7" s="356"/>
      <c r="AG7" s="356"/>
      <c r="AH7" s="356"/>
      <c r="AI7" s="356"/>
    </row>
    <row r="8" spans="1:35" ht="42" customHeight="1">
      <c r="A8" s="6"/>
      <c r="B8" s="573" t="str">
        <f>+'Introducción de datos'!B118</f>
        <v>Número y porcentaje de adultos y niños elegible que actualmente recibe terapia antirretroviral</v>
      </c>
      <c r="C8" s="573"/>
      <c r="D8" s="573"/>
      <c r="E8" s="573"/>
      <c r="F8" s="573" t="str">
        <f>+'Introducción de datos'!B120</f>
        <v>Número y porcentaje de embarazadas con VIH que recibe medicamentos antirretrovirales, para reducir el riesgo de transmisión materno infantil</v>
      </c>
      <c r="G8" s="573"/>
      <c r="H8" s="573"/>
      <c r="I8" s="573"/>
      <c r="J8" s="573"/>
      <c r="K8" s="573"/>
      <c r="L8" s="573" t="str">
        <f>+'Introducción de datos'!B122</f>
        <v>Número y porcentaje de hombres que tienen sexo con hombres que se sometieron a las pruebas y consejería del VIH y que recibieron sus resultados</v>
      </c>
      <c r="M8" s="573"/>
      <c r="N8" s="573"/>
      <c r="O8" s="573"/>
      <c r="P8" s="573"/>
      <c r="Q8" s="573"/>
      <c r="S8" s="356"/>
      <c r="T8" s="356"/>
      <c r="U8" s="356"/>
      <c r="V8" s="356"/>
      <c r="W8" s="356"/>
      <c r="X8" s="356"/>
      <c r="Y8" s="309"/>
      <c r="Z8" s="309"/>
      <c r="AA8" s="309"/>
      <c r="AB8" s="309"/>
      <c r="AC8" s="309"/>
      <c r="AD8" s="356"/>
      <c r="AE8" s="356"/>
      <c r="AF8" s="356"/>
      <c r="AG8" s="356"/>
      <c r="AH8" s="356"/>
      <c r="AI8" s="356"/>
    </row>
    <row r="9" spans="1:35" ht="95.25" customHeight="1">
      <c r="A9" s="6"/>
      <c r="B9" s="361" t="s">
        <v>242</v>
      </c>
      <c r="C9" s="574" t="s">
        <v>385</v>
      </c>
      <c r="D9" s="574"/>
      <c r="E9" s="574"/>
      <c r="F9" s="361" t="s">
        <v>242</v>
      </c>
      <c r="G9" s="574" t="s">
        <v>386</v>
      </c>
      <c r="H9" s="574"/>
      <c r="I9" s="574"/>
      <c r="J9" s="574"/>
      <c r="K9" s="574"/>
      <c r="L9" s="361" t="s">
        <v>242</v>
      </c>
      <c r="M9" s="574" t="s">
        <v>387</v>
      </c>
      <c r="N9" s="574"/>
      <c r="O9" s="574"/>
      <c r="P9" s="574"/>
      <c r="Q9" s="574"/>
      <c r="S9" s="356"/>
      <c r="T9" s="356"/>
      <c r="U9" s="356"/>
      <c r="V9" s="356"/>
      <c r="W9" s="356"/>
      <c r="X9" s="356"/>
      <c r="Y9" s="356"/>
      <c r="Z9" s="356"/>
      <c r="AA9" s="356"/>
      <c r="AB9" s="356"/>
      <c r="AC9" s="356"/>
      <c r="AD9" s="356"/>
      <c r="AE9" s="356"/>
      <c r="AF9" s="356"/>
      <c r="AG9" s="356"/>
      <c r="AH9" s="356"/>
      <c r="AI9" s="356"/>
    </row>
    <row r="10" spans="1:35" ht="18.75" customHeight="1">
      <c r="A10" s="6"/>
      <c r="B10" s="293"/>
      <c r="C10" s="293"/>
      <c r="D10" s="358"/>
      <c r="E10" s="358"/>
      <c r="F10" s="358"/>
      <c r="G10" s="358"/>
      <c r="H10" s="358"/>
      <c r="I10" s="358"/>
      <c r="J10" s="358"/>
      <c r="K10" s="358"/>
      <c r="L10" s="358"/>
      <c r="M10" s="6"/>
      <c r="N10" s="6"/>
      <c r="O10" s="359"/>
      <c r="P10" s="297"/>
      <c r="S10" s="356"/>
      <c r="T10" s="356"/>
      <c r="U10" s="356"/>
      <c r="V10" s="356"/>
      <c r="W10" s="356"/>
      <c r="X10" s="356"/>
      <c r="Y10" s="356"/>
      <c r="Z10" s="356"/>
      <c r="AA10" s="356"/>
      <c r="AB10" s="356"/>
      <c r="AC10" s="356"/>
      <c r="AD10" s="356"/>
      <c r="AE10" s="356"/>
      <c r="AF10" s="356"/>
      <c r="AG10" s="356"/>
      <c r="AH10" s="356"/>
      <c r="AI10" s="356"/>
    </row>
    <row r="11" spans="1:35" ht="18.75" customHeight="1">
      <c r="A11" s="6"/>
      <c r="B11" s="293"/>
      <c r="C11" s="293"/>
      <c r="D11" s="358"/>
      <c r="E11" s="358"/>
      <c r="F11" s="358"/>
      <c r="G11" s="358"/>
      <c r="H11" s="358"/>
      <c r="I11" s="358"/>
      <c r="J11" s="358"/>
      <c r="K11" s="358"/>
      <c r="L11" s="358"/>
      <c r="M11" s="6"/>
      <c r="N11" s="6"/>
      <c r="O11" s="359"/>
      <c r="P11" s="297"/>
      <c r="S11" s="356"/>
      <c r="T11" s="356"/>
      <c r="U11" s="356"/>
      <c r="V11" s="356"/>
      <c r="W11" s="356"/>
      <c r="X11" s="356"/>
      <c r="Y11" s="356"/>
      <c r="Z11" s="356"/>
      <c r="AA11" s="356"/>
      <c r="AB11" s="356"/>
      <c r="AC11" s="356"/>
      <c r="AD11" s="356"/>
      <c r="AE11" s="356"/>
      <c r="AF11" s="356"/>
      <c r="AG11" s="356"/>
      <c r="AH11" s="356"/>
      <c r="AI11" s="356"/>
    </row>
    <row r="12" spans="1:35" ht="18.75" customHeight="1">
      <c r="A12" s="6"/>
      <c r="B12" s="293"/>
      <c r="C12" s="293"/>
      <c r="D12" s="358"/>
      <c r="E12" s="358"/>
      <c r="F12" s="358"/>
      <c r="G12" s="358"/>
      <c r="H12" s="358"/>
      <c r="I12" s="358"/>
      <c r="J12" s="358"/>
      <c r="K12" s="358"/>
      <c r="L12" s="358"/>
      <c r="M12" s="6"/>
      <c r="N12" s="6"/>
      <c r="O12" s="359"/>
      <c r="P12" s="297"/>
      <c r="S12" s="356"/>
      <c r="T12" s="356"/>
      <c r="U12" s="356"/>
      <c r="V12" s="356"/>
      <c r="W12" s="356"/>
      <c r="X12" s="356"/>
      <c r="Y12" s="356"/>
      <c r="Z12" s="356"/>
      <c r="AA12" s="356"/>
      <c r="AB12" s="356"/>
      <c r="AC12" s="356"/>
      <c r="AD12" s="356"/>
      <c r="AE12" s="356"/>
      <c r="AF12" s="356"/>
      <c r="AG12" s="356"/>
      <c r="AH12" s="356"/>
      <c r="AI12" s="356"/>
    </row>
    <row r="13" spans="1:35" ht="18.75" customHeight="1">
      <c r="A13" s="6"/>
      <c r="B13" s="293"/>
      <c r="C13" s="293"/>
      <c r="D13" s="358"/>
      <c r="E13" s="358"/>
      <c r="F13" s="358"/>
      <c r="G13" s="358"/>
      <c r="H13" s="358"/>
      <c r="I13" s="358"/>
      <c r="J13" s="358"/>
      <c r="K13" s="358"/>
      <c r="L13" s="358"/>
      <c r="M13" s="6"/>
      <c r="N13" s="6"/>
      <c r="O13" s="359"/>
      <c r="P13" s="297"/>
      <c r="S13" s="356"/>
      <c r="T13" s="356"/>
      <c r="U13" s="356"/>
      <c r="V13" s="356"/>
      <c r="W13" s="356"/>
      <c r="X13" s="356"/>
      <c r="Y13" s="356"/>
      <c r="Z13" s="356"/>
      <c r="AA13" s="356"/>
      <c r="AB13" s="356"/>
      <c r="AC13" s="356"/>
      <c r="AD13" s="356"/>
      <c r="AE13" s="356"/>
      <c r="AF13" s="356"/>
      <c r="AG13" s="356"/>
      <c r="AH13" s="356"/>
      <c r="AI13" s="356"/>
    </row>
    <row r="14" spans="1:35" ht="18.75" customHeight="1">
      <c r="A14" s="6"/>
      <c r="B14" s="293"/>
      <c r="C14" s="293"/>
      <c r="D14" s="358"/>
      <c r="E14" s="358"/>
      <c r="F14" s="358"/>
      <c r="G14" s="358"/>
      <c r="H14" s="358"/>
      <c r="I14" s="358"/>
      <c r="J14" s="358"/>
      <c r="K14" s="358"/>
      <c r="L14" s="358"/>
      <c r="M14" s="6"/>
      <c r="N14" s="6"/>
      <c r="O14" s="359"/>
      <c r="P14" s="297"/>
      <c r="S14" s="356"/>
      <c r="T14" s="356"/>
      <c r="U14" s="356"/>
      <c r="V14" s="356"/>
      <c r="W14" s="356"/>
      <c r="X14" s="356"/>
      <c r="Y14" s="356"/>
      <c r="Z14" s="356"/>
      <c r="AA14" s="356"/>
      <c r="AB14" s="356"/>
      <c r="AC14" s="356"/>
      <c r="AD14" s="356"/>
      <c r="AE14" s="356"/>
      <c r="AF14" s="356"/>
      <c r="AG14" s="356"/>
      <c r="AH14" s="356"/>
      <c r="AI14" s="356"/>
    </row>
    <row r="15" spans="1:35" ht="18.75" customHeight="1">
      <c r="A15" s="6"/>
      <c r="B15" s="293"/>
      <c r="C15" s="293"/>
      <c r="D15" s="358"/>
      <c r="E15" s="358"/>
      <c r="F15" s="358"/>
      <c r="G15" s="358"/>
      <c r="H15" s="358"/>
      <c r="I15" s="358"/>
      <c r="J15" s="358"/>
      <c r="K15" s="358"/>
      <c r="L15" s="358"/>
      <c r="M15" s="6"/>
      <c r="N15" s="6"/>
      <c r="O15" s="359"/>
      <c r="P15" s="297"/>
      <c r="S15" s="356"/>
      <c r="T15" s="356"/>
      <c r="U15" s="356"/>
      <c r="V15" s="356"/>
      <c r="W15" s="356"/>
      <c r="X15" s="356"/>
      <c r="Y15" s="356"/>
      <c r="Z15" s="356"/>
      <c r="AA15" s="356"/>
      <c r="AB15" s="356"/>
      <c r="AC15" s="356"/>
      <c r="AD15" s="356"/>
      <c r="AE15" s="356"/>
      <c r="AF15" s="356"/>
      <c r="AG15" s="356"/>
      <c r="AH15" s="356"/>
      <c r="AI15" s="356"/>
    </row>
    <row r="16" spans="1:35" ht="18.75" customHeight="1">
      <c r="A16" s="6"/>
      <c r="B16" s="293"/>
      <c r="C16" s="293"/>
      <c r="D16" s="358"/>
      <c r="E16" s="358"/>
      <c r="F16" s="358"/>
      <c r="G16" s="358"/>
      <c r="H16" s="358"/>
      <c r="I16" s="358"/>
      <c r="J16" s="358"/>
      <c r="K16" s="358"/>
      <c r="L16" s="358"/>
      <c r="M16" s="6"/>
      <c r="N16" s="6"/>
      <c r="O16" s="359"/>
      <c r="P16" s="297"/>
      <c r="S16" s="356"/>
      <c r="T16" s="356"/>
      <c r="U16" s="356"/>
      <c r="V16" s="356"/>
      <c r="W16" s="356"/>
      <c r="X16" s="356"/>
      <c r="Y16" s="356"/>
      <c r="Z16" s="356"/>
      <c r="AA16" s="356"/>
      <c r="AB16" s="356"/>
      <c r="AC16" s="356"/>
      <c r="AD16" s="356"/>
      <c r="AE16" s="356"/>
      <c r="AF16" s="356"/>
      <c r="AG16" s="356"/>
      <c r="AH16" s="356"/>
      <c r="AI16" s="356"/>
    </row>
    <row r="17" spans="1:35" ht="17.25" customHeight="1">
      <c r="A17" s="6"/>
      <c r="B17" s="293"/>
      <c r="C17" s="293"/>
      <c r="D17" s="358"/>
      <c r="E17" s="358"/>
      <c r="F17" s="358"/>
      <c r="G17" s="358"/>
      <c r="H17" s="358"/>
      <c r="I17" s="358"/>
      <c r="J17" s="358"/>
      <c r="K17" s="358"/>
      <c r="L17" s="358"/>
      <c r="M17" s="6"/>
      <c r="N17" s="6"/>
      <c r="O17" s="359"/>
      <c r="P17" s="297"/>
      <c r="S17" s="356"/>
      <c r="T17" s="356"/>
      <c r="U17" s="356"/>
      <c r="V17" s="356"/>
      <c r="W17" s="356"/>
      <c r="X17" s="356"/>
      <c r="Y17" s="356"/>
      <c r="Z17" s="356"/>
      <c r="AA17" s="356"/>
      <c r="AB17" s="356"/>
      <c r="AC17" s="356"/>
      <c r="AD17" s="356"/>
      <c r="AE17" s="356"/>
      <c r="AF17" s="356"/>
      <c r="AG17" s="356"/>
      <c r="AH17" s="356"/>
      <c r="AI17" s="356"/>
    </row>
    <row r="18" spans="1:35" ht="6" customHeight="1">
      <c r="A18" s="6"/>
      <c r="B18" s="298"/>
      <c r="C18" s="293"/>
      <c r="D18" s="299"/>
      <c r="E18" s="575"/>
      <c r="F18" s="575"/>
      <c r="G18" s="575"/>
      <c r="H18" s="575"/>
      <c r="I18" s="575"/>
      <c r="J18" s="575"/>
      <c r="K18" s="575"/>
      <c r="L18" s="6"/>
      <c r="M18" s="6"/>
      <c r="N18" s="6"/>
      <c r="O18" s="6"/>
      <c r="P18" s="6"/>
      <c r="S18" s="356"/>
      <c r="T18" s="356"/>
      <c r="U18" s="356"/>
      <c r="V18" s="356"/>
      <c r="W18" s="356"/>
      <c r="X18" s="356"/>
      <c r="Y18" s="356"/>
      <c r="Z18" s="356"/>
      <c r="AA18" s="356"/>
      <c r="AB18" s="356"/>
      <c r="AC18" s="356"/>
      <c r="AD18" s="356"/>
      <c r="AE18" s="356"/>
      <c r="AF18" s="356"/>
      <c r="AG18" s="356"/>
      <c r="AH18" s="356"/>
      <c r="AI18" s="356"/>
    </row>
    <row r="19" spans="1:35" ht="24" customHeight="1">
      <c r="A19" s="6"/>
      <c r="B19" s="576" t="s">
        <v>243</v>
      </c>
      <c r="C19" s="576"/>
      <c r="D19" s="576"/>
      <c r="E19" s="362" t="s">
        <v>186</v>
      </c>
      <c r="F19" s="362" t="s">
        <v>244</v>
      </c>
      <c r="G19" s="577" t="s">
        <v>245</v>
      </c>
      <c r="H19" s="577"/>
      <c r="I19" s="578" t="s">
        <v>246</v>
      </c>
      <c r="J19" s="578"/>
      <c r="K19" s="363" t="s">
        <v>247</v>
      </c>
      <c r="L19" s="579" t="s">
        <v>181</v>
      </c>
      <c r="M19" s="579"/>
      <c r="N19" s="579"/>
      <c r="O19" s="579"/>
      <c r="P19" s="579"/>
      <c r="Q19" s="579"/>
      <c r="S19" s="364" t="s">
        <v>248</v>
      </c>
      <c r="T19" s="365">
        <v>0</v>
      </c>
      <c r="U19" s="366">
        <v>0.3</v>
      </c>
      <c r="V19" s="366">
        <v>0.6</v>
      </c>
      <c r="W19" s="366">
        <v>0.9</v>
      </c>
      <c r="X19" s="366">
        <v>1</v>
      </c>
      <c r="Y19" s="309"/>
      <c r="Z19" s="309"/>
      <c r="AA19" s="364" t="s">
        <v>249</v>
      </c>
      <c r="AB19" s="365">
        <v>0</v>
      </c>
      <c r="AC19" s="366">
        <v>0.2</v>
      </c>
      <c r="AD19" s="366">
        <v>0.4</v>
      </c>
      <c r="AE19" s="366">
        <v>0.6</v>
      </c>
      <c r="AF19" s="366">
        <v>0.8</v>
      </c>
      <c r="AG19" s="309"/>
      <c r="AH19" s="309"/>
      <c r="AI19" s="309"/>
    </row>
    <row r="20" spans="1:35" ht="74.25" customHeight="1">
      <c r="A20" s="6"/>
      <c r="B20" s="580" t="str">
        <f>+'Introducción de datos'!B118</f>
        <v>Número y porcentaje de adultos y niños elegible que actualmente recibe terapia antirretroviral</v>
      </c>
      <c r="C20" s="580"/>
      <c r="D20" s="580"/>
      <c r="E20" s="367">
        <f ca="1">OFFSET('Introducción de datos'!$G$117,1,RIGHT('Introducción de datos'!$C$16,LEN('Introducción de datos'!$C$16)-1),1,1)</f>
        <v>10243</v>
      </c>
      <c r="F20" s="367">
        <f ca="1">OFFSET('Introducción de datos'!$G$117,2,RIGHT('Introducción de datos'!$C$16,LEN('Introducción de datos'!$C$16)-1),1,1)</f>
        <v>8329</v>
      </c>
      <c r="G20" s="581">
        <f aca="true" t="shared" si="0" ref="G20:G32">+IF(ISERROR(F20/E20),0,F20/E20)</f>
        <v>0.8131406814409841</v>
      </c>
      <c r="H20" s="581"/>
      <c r="I20" s="581"/>
      <c r="J20" s="581"/>
      <c r="K20" s="581"/>
      <c r="L20" s="582" t="s">
        <v>385</v>
      </c>
      <c r="M20" s="582"/>
      <c r="N20" s="582"/>
      <c r="O20" s="582"/>
      <c r="P20" s="582"/>
      <c r="Q20" s="582"/>
      <c r="S20" s="364" t="s">
        <v>250</v>
      </c>
      <c r="T20" s="368">
        <v>0.3</v>
      </c>
      <c r="U20" s="366">
        <v>0.6</v>
      </c>
      <c r="V20" s="366">
        <v>0.9</v>
      </c>
      <c r="W20" s="366">
        <v>1</v>
      </c>
      <c r="X20" s="366">
        <v>2</v>
      </c>
      <c r="Y20" s="309"/>
      <c r="Z20" s="309"/>
      <c r="AA20" s="364" t="s">
        <v>251</v>
      </c>
      <c r="AB20" s="368">
        <v>0.2</v>
      </c>
      <c r="AC20" s="366">
        <v>0.4</v>
      </c>
      <c r="AD20" s="366">
        <v>0.6</v>
      </c>
      <c r="AE20" s="366">
        <v>0.8</v>
      </c>
      <c r="AF20" s="366">
        <v>1</v>
      </c>
      <c r="AG20" s="309"/>
      <c r="AH20" s="309"/>
      <c r="AI20" s="309"/>
    </row>
    <row r="21" spans="1:35" ht="90" customHeight="1">
      <c r="A21" s="6"/>
      <c r="B21" s="580" t="str">
        <f>+'Introducción de datos'!B120</f>
        <v>Número y porcentaje de embarazadas con VIH que recibe medicamentos antirretrovirales, para reducir el riesgo de transmisión materno infantil</v>
      </c>
      <c r="C21" s="580"/>
      <c r="D21" s="580"/>
      <c r="E21" s="367">
        <f ca="1">OFFSET('Introducción de datos'!$G$117,3,RIGHT('Introducción de datos'!$C$16,LEN('Introducción de datos'!$C$16)-1),1,1)</f>
        <v>56</v>
      </c>
      <c r="F21" s="367">
        <f ca="1">OFFSET('Introducción de datos'!$G$117,4,RIGHT('Introducción de datos'!$C$16,LEN('Introducción de datos'!$C$16)-1),1,1)</f>
        <v>53</v>
      </c>
      <c r="G21" s="581">
        <f t="shared" si="0"/>
        <v>0.9464285714285714</v>
      </c>
      <c r="H21" s="581"/>
      <c r="I21" s="581"/>
      <c r="J21" s="581"/>
      <c r="K21" s="581"/>
      <c r="L21" s="582" t="s">
        <v>394</v>
      </c>
      <c r="M21" s="582"/>
      <c r="N21" s="582"/>
      <c r="O21" s="582"/>
      <c r="P21" s="582"/>
      <c r="Q21" s="582"/>
      <c r="S21" s="369"/>
      <c r="T21" s="370" t="str">
        <f>"de "&amp;T19&amp;" a "&amp;T20</f>
        <v>de 0 a 0,3</v>
      </c>
      <c r="U21" s="370" t="str">
        <f>"de "&amp;U19&amp;" a "&amp;U20</f>
        <v>de 0,3 a 0,6</v>
      </c>
      <c r="V21" s="370" t="str">
        <f>"de "&amp;V19&amp;" a "&amp;V20</f>
        <v>de 0,6 a 0,9</v>
      </c>
      <c r="W21" s="370" t="str">
        <f>"de "&amp;W19&amp;" a "&amp;W20</f>
        <v>de 0,9 a 1</v>
      </c>
      <c r="X21" s="370" t="str">
        <f>"de "&amp;X19&amp;" a "&amp;X20</f>
        <v>de 1 a 2</v>
      </c>
      <c r="Y21" s="309"/>
      <c r="Z21" s="371" t="s">
        <v>252</v>
      </c>
      <c r="AA21" s="372" t="s">
        <v>253</v>
      </c>
      <c r="AB21" s="370" t="str">
        <f>"de "&amp;AB19&amp;" a "&amp;AB20</f>
        <v>de 0 a 0,2</v>
      </c>
      <c r="AC21" s="370" t="str">
        <f>"de "&amp;AC19&amp;" a "&amp;AC20</f>
        <v>de 0,2 a 0,4</v>
      </c>
      <c r="AD21" s="370" t="str">
        <f>"de "&amp;AD19&amp;" a "&amp;AD20</f>
        <v>de 0,4 a 0,6</v>
      </c>
      <c r="AE21" s="370" t="str">
        <f>"de "&amp;AE19&amp;" a "&amp;AE20</f>
        <v>de 0,6 a 0,8</v>
      </c>
      <c r="AF21" s="370" t="str">
        <f>"de "&amp;AF19&amp;" a "&amp;AF20</f>
        <v>de 0,8 a 1</v>
      </c>
      <c r="AG21" s="309"/>
      <c r="AH21" s="309"/>
      <c r="AI21" s="309"/>
    </row>
    <row r="22" spans="1:35" ht="54" customHeight="1">
      <c r="A22" s="6"/>
      <c r="B22" s="580" t="str">
        <f>+'Introducción de datos'!B122</f>
        <v>Número y porcentaje de hombres que tienen sexo con hombres que se sometieron a las pruebas y consejería del VIH y que recibieron sus resultados</v>
      </c>
      <c r="C22" s="580"/>
      <c r="D22" s="580"/>
      <c r="E22" s="367">
        <f ca="1">OFFSET('Introducción de datos'!$G$117,5,RIGHT('Introducción de datos'!$C$16,LEN('Introducción de datos'!$C$16)-1),1,1)</f>
        <v>13301</v>
      </c>
      <c r="F22" s="367">
        <f ca="1">OFFSET('Introducción de datos'!$G$117,6,RIGHT('Introducción de datos'!$C$16,LEN('Introducción de datos'!$C$16)-1),1,1)</f>
        <v>2187</v>
      </c>
      <c r="G22" s="581">
        <f t="shared" si="0"/>
        <v>0.16442372753928275</v>
      </c>
      <c r="H22" s="581"/>
      <c r="I22" s="581"/>
      <c r="J22" s="581"/>
      <c r="K22" s="581"/>
      <c r="L22" s="583" t="s">
        <v>395</v>
      </c>
      <c r="M22" s="584"/>
      <c r="N22" s="584"/>
      <c r="O22" s="584"/>
      <c r="P22" s="584"/>
      <c r="Q22" s="585"/>
      <c r="S22" s="369"/>
      <c r="T22" s="366" t="e">
        <f aca="true" t="shared" si="1" ref="T22:W25">IF($K20&gt;T$19,IF($K20&lt;=T$20,$K20,NA()),NA())</f>
        <v>#N/A</v>
      </c>
      <c r="U22" s="366" t="e">
        <f t="shared" si="1"/>
        <v>#N/A</v>
      </c>
      <c r="V22" s="366" t="e">
        <f t="shared" si="1"/>
        <v>#N/A</v>
      </c>
      <c r="W22" s="366" t="e">
        <f t="shared" si="1"/>
        <v>#N/A</v>
      </c>
      <c r="X22" s="366" t="e">
        <f>IF($K20&gt;X$19,IF($K20&lt;=X$20,1,NA()),NA())</f>
        <v>#N/A</v>
      </c>
      <c r="Y22" s="309"/>
      <c r="Z22" s="373" t="e">
        <f>+'Información de la subvención'!#REF!</f>
        <v>#REF!</v>
      </c>
      <c r="AA22" s="366" t="e">
        <f>+IF(Z22="A1",1,IF(Z22="A2",0.8,IF(Z22="B1",0.6,IF(Z22="B2",0.4,0.2))))</f>
        <v>#REF!</v>
      </c>
      <c r="AB22" s="366" t="e">
        <f>IF($AA22&gt;AB$19,IF($AA22&lt;=AB$20,$AA22,NA()),NA())</f>
        <v>#REF!</v>
      </c>
      <c r="AC22" s="366" t="e">
        <f aca="true" t="shared" si="2" ref="AC22:AF24">IF($AA22&gt;AC$19,IF($AA22&lt;=AC$20,$AA22,NA()),NA())</f>
        <v>#REF!</v>
      </c>
      <c r="AD22" s="366" t="e">
        <f t="shared" si="2"/>
        <v>#REF!</v>
      </c>
      <c r="AE22" s="366" t="e">
        <f t="shared" si="2"/>
        <v>#REF!</v>
      </c>
      <c r="AF22" s="366" t="e">
        <f t="shared" si="2"/>
        <v>#REF!</v>
      </c>
      <c r="AG22" s="309"/>
      <c r="AH22" s="309"/>
      <c r="AI22" s="309"/>
    </row>
    <row r="23" spans="1:35" ht="49.5" customHeight="1">
      <c r="A23" s="6"/>
      <c r="B23" s="580" t="str">
        <f>+'Introducción de datos'!B124</f>
        <v>Número y porcentaje de trabajadores sexuales que se sometieron a las pruebas y consejería del VIH y que recibieron sus resultados</v>
      </c>
      <c r="C23" s="580"/>
      <c r="D23" s="580"/>
      <c r="E23" s="367">
        <f ca="1">OFFSET('Introducción de datos'!$G$117,7,RIGHT('Introducción de datos'!$C$16,LEN('Introducción de datos'!$C$16)-1),1,1)</f>
        <v>9940</v>
      </c>
      <c r="F23" s="367">
        <f ca="1">OFFSET('Introducción de datos'!$G$117,8,RIGHT('Introducción de datos'!$C$16,LEN('Introducción de datos'!$C$16)-1),1,1)</f>
        <v>2972</v>
      </c>
      <c r="G23" s="581">
        <f t="shared" si="0"/>
        <v>0.29899396378269616</v>
      </c>
      <c r="H23" s="581"/>
      <c r="I23" s="581"/>
      <c r="J23" s="581"/>
      <c r="K23" s="581"/>
      <c r="L23" s="586"/>
      <c r="M23" s="587"/>
      <c r="N23" s="587"/>
      <c r="O23" s="587"/>
      <c r="P23" s="587"/>
      <c r="Q23" s="588"/>
      <c r="S23" s="369"/>
      <c r="T23" s="366" t="e">
        <f t="shared" si="1"/>
        <v>#N/A</v>
      </c>
      <c r="U23" s="366" t="e">
        <f t="shared" si="1"/>
        <v>#N/A</v>
      </c>
      <c r="V23" s="366" t="e">
        <f t="shared" si="1"/>
        <v>#N/A</v>
      </c>
      <c r="W23" s="366" t="e">
        <f t="shared" si="1"/>
        <v>#N/A</v>
      </c>
      <c r="X23" s="366" t="e">
        <f>IF($K21&gt;X$19,IF($K21&lt;=X$20,1,1),NA())</f>
        <v>#N/A</v>
      </c>
      <c r="Y23" s="309"/>
      <c r="Z23" s="373" t="e">
        <f>+'Información de la subvención'!#REF!</f>
        <v>#REF!</v>
      </c>
      <c r="AA23" s="366" t="e">
        <f>+IF(Z23="A1",1,IF(Z23="A2",0.8,IF(Z23="B1",0.6,IF(Z23="B2",0.4,0.2))))</f>
        <v>#REF!</v>
      </c>
      <c r="AB23" s="366" t="e">
        <f>IF($AA23&gt;AB$19,IF($AA23&lt;=AB$20,$AA23,NA()),NA())</f>
        <v>#REF!</v>
      </c>
      <c r="AC23" s="366" t="e">
        <f t="shared" si="2"/>
        <v>#REF!</v>
      </c>
      <c r="AD23" s="366" t="e">
        <f t="shared" si="2"/>
        <v>#REF!</v>
      </c>
      <c r="AE23" s="366" t="e">
        <f t="shared" si="2"/>
        <v>#REF!</v>
      </c>
      <c r="AF23" s="366" t="e">
        <f t="shared" si="2"/>
        <v>#REF!</v>
      </c>
      <c r="AG23" s="309"/>
      <c r="AH23" s="309"/>
      <c r="AI23" s="309"/>
    </row>
    <row r="24" spans="1:35" ht="43.5" customHeight="1">
      <c r="A24" s="6"/>
      <c r="B24" s="580" t="str">
        <f>+'Introducción de datos'!B126</f>
        <v>Número y porcentaje de personas transgénero que se sometieron a las pruebas y consejería del VIH y que recibieron sus resultados</v>
      </c>
      <c r="C24" s="580"/>
      <c r="D24" s="580"/>
      <c r="E24" s="367">
        <f ca="1">OFFSET('Introducción de datos'!$G$117,9,RIGHT('Introducción de datos'!$C$16,LEN('Introducción de datos'!$C$16)-1),1,1)</f>
        <v>1444</v>
      </c>
      <c r="F24" s="367">
        <f ca="1">OFFSET('Introducción de datos'!$G$117,10,RIGHT('Introducción de datos'!$C$16,LEN('Introducción de datos'!$C$16)-1),1,1)</f>
        <v>459</v>
      </c>
      <c r="G24" s="581">
        <f t="shared" si="0"/>
        <v>0.31786703601108035</v>
      </c>
      <c r="H24" s="581"/>
      <c r="I24" s="581"/>
      <c r="J24" s="581"/>
      <c r="K24" s="581"/>
      <c r="L24" s="589"/>
      <c r="M24" s="590"/>
      <c r="N24" s="590"/>
      <c r="O24" s="590"/>
      <c r="P24" s="590"/>
      <c r="Q24" s="591"/>
      <c r="S24" s="369"/>
      <c r="T24" s="366" t="e">
        <f t="shared" si="1"/>
        <v>#N/A</v>
      </c>
      <c r="U24" s="366" t="e">
        <f t="shared" si="1"/>
        <v>#N/A</v>
      </c>
      <c r="V24" s="366" t="e">
        <f t="shared" si="1"/>
        <v>#N/A</v>
      </c>
      <c r="W24" s="366" t="e">
        <f t="shared" si="1"/>
        <v>#N/A</v>
      </c>
      <c r="X24" s="366" t="e">
        <f>IF($K22&gt;X$19,IF($K22&lt;=X$20,1,NA()),NA())</f>
        <v>#N/A</v>
      </c>
      <c r="Y24" s="309"/>
      <c r="Z24" s="373" t="e">
        <f>+'Información de la subvención'!#REF!</f>
        <v>#REF!</v>
      </c>
      <c r="AA24" s="366" t="e">
        <f>+IF(Z24="A1",1,IF(Z24="A2",0.8,IF(Z24="B1",0.6,IF(Z24="B2",0.4,0.2))))</f>
        <v>#REF!</v>
      </c>
      <c r="AB24" s="366" t="e">
        <f>IF($AA24&gt;AB$19,IF($AA24&lt;=AB$20,$AA24,NA()),NA())</f>
        <v>#REF!</v>
      </c>
      <c r="AC24" s="366" t="e">
        <f t="shared" si="2"/>
        <v>#REF!</v>
      </c>
      <c r="AD24" s="366" t="e">
        <f t="shared" si="2"/>
        <v>#REF!</v>
      </c>
      <c r="AE24" s="366" t="e">
        <f t="shared" si="2"/>
        <v>#REF!</v>
      </c>
      <c r="AF24" s="366" t="e">
        <f t="shared" si="2"/>
        <v>#REF!</v>
      </c>
      <c r="AG24" s="309"/>
      <c r="AH24" s="309"/>
      <c r="AI24" s="309"/>
    </row>
    <row r="25" spans="1:35" ht="60.75" customHeight="1">
      <c r="A25" s="6"/>
      <c r="B25" s="580" t="str">
        <f>+'Introducción de datos'!B128</f>
        <v>Número y porcentaje de adultos y niños con diagnostico positivo de VIH que se sometieron a pruebas de la TB y se registró dicha información durante su última visita durante el periodo de reporte, de entre todos los adultos y niños con diagnostico positivo de VIH durante el periodo de notificación</v>
      </c>
      <c r="C25" s="580"/>
      <c r="D25" s="580"/>
      <c r="E25" s="367">
        <f ca="1">OFFSET('Introducción de datos'!$G$117,11,RIGHT('Introducción de datos'!$C$16,LEN('Introducción de datos'!$C$16)-1),1,1)</f>
        <v>0</v>
      </c>
      <c r="F25" s="367">
        <f ca="1">OFFSET('Introducción de datos'!$G$117,12,RIGHT('Introducción de datos'!$C$16,LEN('Introducción de datos'!$C$16)-1),1,1)</f>
        <v>0</v>
      </c>
      <c r="G25" s="581"/>
      <c r="H25" s="581"/>
      <c r="I25" s="581"/>
      <c r="J25" s="581"/>
      <c r="K25" s="581"/>
      <c r="L25" s="582" t="s">
        <v>388</v>
      </c>
      <c r="M25" s="582"/>
      <c r="N25" s="582"/>
      <c r="O25" s="582"/>
      <c r="P25" s="582"/>
      <c r="Q25" s="582"/>
      <c r="S25" s="369"/>
      <c r="T25" s="366" t="e">
        <f t="shared" si="1"/>
        <v>#N/A</v>
      </c>
      <c r="U25" s="366" t="e">
        <f t="shared" si="1"/>
        <v>#N/A</v>
      </c>
      <c r="V25" s="366" t="e">
        <f t="shared" si="1"/>
        <v>#N/A</v>
      </c>
      <c r="W25" s="366" t="e">
        <f t="shared" si="1"/>
        <v>#N/A</v>
      </c>
      <c r="X25" s="366" t="e">
        <f>IF($K23&gt;X$19,IF($K23&lt;=X$20,1,NA()),NA())</f>
        <v>#N/A</v>
      </c>
      <c r="Y25" s="309"/>
      <c r="Z25" s="309"/>
      <c r="AA25" s="309"/>
      <c r="AB25" s="309"/>
      <c r="AC25" s="309"/>
      <c r="AD25" s="309"/>
      <c r="AE25" s="309"/>
      <c r="AF25" s="309"/>
      <c r="AG25" s="309"/>
      <c r="AH25" s="309"/>
      <c r="AI25" s="309"/>
    </row>
    <row r="26" spans="1:35" ht="91.5" customHeight="1">
      <c r="A26" s="6"/>
      <c r="B26" s="580" t="str">
        <f>+'Introducción de datos'!B130</f>
        <v>"Número de todos los adultos y niños seropositivos que reciben un recuento de células CD4 cada 6 meses"</v>
      </c>
      <c r="C26" s="580"/>
      <c r="D26" s="580"/>
      <c r="E26" s="367">
        <f ca="1">OFFSET('Introducción de datos'!$G$117,13,RIGHT('Introducción de datos'!$C$16,LEN('Introducción de datos'!$C$16)-1),1,1)</f>
        <v>52.5</v>
      </c>
      <c r="F26" s="367">
        <f ca="1">OFFSET('Introducción de datos'!$G$117,14,RIGHT('Introducción de datos'!$C$16,LEN('Introducción de datos'!$C$16)-1),1,1)</f>
        <v>55</v>
      </c>
      <c r="G26" s="581">
        <f>+IF(ISERROR(F26/E26),0,F26/E26)</f>
        <v>1.0476190476190477</v>
      </c>
      <c r="H26" s="581"/>
      <c r="I26" s="581"/>
      <c r="J26" s="581"/>
      <c r="K26" s="581"/>
      <c r="L26" s="582" t="s">
        <v>389</v>
      </c>
      <c r="M26" s="582"/>
      <c r="N26" s="582"/>
      <c r="O26" s="582"/>
      <c r="P26" s="582"/>
      <c r="Q26" s="582"/>
      <c r="S26" s="369"/>
      <c r="T26" s="366"/>
      <c r="U26" s="366"/>
      <c r="V26" s="366"/>
      <c r="W26" s="366"/>
      <c r="X26" s="366"/>
      <c r="Y26" s="309"/>
      <c r="Z26" s="309"/>
      <c r="AA26" s="309"/>
      <c r="AB26" s="309"/>
      <c r="AC26" s="309"/>
      <c r="AD26" s="309"/>
      <c r="AE26" s="309"/>
      <c r="AF26" s="309"/>
      <c r="AG26" s="309"/>
      <c r="AH26" s="309"/>
      <c r="AI26" s="309"/>
    </row>
    <row r="27" spans="1:35" ht="88.5" customHeight="1">
      <c r="A27" s="6"/>
      <c r="B27" s="580" t="str">
        <f>+'Introducción de datos'!B132</f>
        <v>Número y porcentaje de centros de salud que dispensan tratamiento antirretroviral que tuvieron ruptura de stock de por lo menos uno de los medicamentos antirretrovirales requeridos</v>
      </c>
      <c r="C27" s="580"/>
      <c r="D27" s="580"/>
      <c r="E27" s="367">
        <f ca="1">OFFSET('Introducción de datos'!$G$117,15,RIGHT('Introducción de datos'!$C$16,LEN('Introducción de datos'!$C$16)-1),1,1)</f>
        <v>0</v>
      </c>
      <c r="F27" s="367">
        <f ca="1">OFFSET('Introducción de datos'!$G$117,16,RIGHT('Introducción de datos'!$C$16,LEN('Introducción de datos'!$C$16)-1),1,1)</f>
        <v>0</v>
      </c>
      <c r="G27" s="581">
        <f>+IF(ISERROR(F27/E27),0,F27/E27)</f>
        <v>0</v>
      </c>
      <c r="H27" s="581"/>
      <c r="I27" s="581"/>
      <c r="J27" s="581"/>
      <c r="K27" s="581"/>
      <c r="L27" s="582" t="s">
        <v>390</v>
      </c>
      <c r="M27" s="582"/>
      <c r="N27" s="582"/>
      <c r="O27" s="582"/>
      <c r="P27" s="582"/>
      <c r="Q27" s="582"/>
      <c r="S27" s="369"/>
      <c r="T27" s="366"/>
      <c r="U27" s="366"/>
      <c r="V27" s="366"/>
      <c r="W27" s="366"/>
      <c r="X27" s="366"/>
      <c r="Y27" s="309"/>
      <c r="Z27" s="309"/>
      <c r="AA27" s="309"/>
      <c r="AB27" s="309"/>
      <c r="AC27" s="309"/>
      <c r="AD27" s="309"/>
      <c r="AE27" s="309"/>
      <c r="AF27" s="309"/>
      <c r="AG27" s="309"/>
      <c r="AH27" s="309"/>
      <c r="AI27" s="309"/>
    </row>
    <row r="28" spans="1:35" ht="71.25" customHeight="1">
      <c r="A28" s="6"/>
      <c r="B28" s="580" t="str">
        <f>+'Introducción de datos'!B134</f>
        <v>Número y porcentaje de mujeres embarazadas que se sometieron a las pruebas y consejería del VIH y que recibieron sus resultados</v>
      </c>
      <c r="C28" s="580"/>
      <c r="D28" s="580"/>
      <c r="E28" s="469">
        <f ca="1">OFFSET('Introducción de datos'!$G$117,17,RIGHT('Introducción de datos'!$C$16,LEN('Introducción de datos'!$C$16)-1),1,1)</f>
        <v>35349</v>
      </c>
      <c r="F28" s="469">
        <f ca="1">OFFSET('Introducción de datos'!$G$117,18,RIGHT('Introducción de datos'!$C$16,LEN('Introducción de datos'!$C$16)-1),1,1)</f>
        <v>25048</v>
      </c>
      <c r="G28" s="581">
        <f>+IF(ISERROR(F28/E28),0,F28/E28)</f>
        <v>0.7085914735918979</v>
      </c>
      <c r="H28" s="581"/>
      <c r="I28" s="581"/>
      <c r="J28" s="581"/>
      <c r="K28" s="581"/>
      <c r="L28" s="582" t="s">
        <v>391</v>
      </c>
      <c r="M28" s="582"/>
      <c r="N28" s="582"/>
      <c r="O28" s="582"/>
      <c r="P28" s="582"/>
      <c r="Q28" s="582"/>
      <c r="S28" s="369"/>
      <c r="T28" s="366"/>
      <c r="U28" s="366"/>
      <c r="V28" s="366"/>
      <c r="W28" s="366"/>
      <c r="X28" s="366"/>
      <c r="Y28" s="309"/>
      <c r="Z28" s="309"/>
      <c r="AA28" s="309"/>
      <c r="AB28" s="309"/>
      <c r="AC28" s="309"/>
      <c r="AD28" s="309"/>
      <c r="AE28" s="309"/>
      <c r="AF28" s="309"/>
      <c r="AG28" s="309"/>
      <c r="AH28" s="309"/>
      <c r="AI28" s="309"/>
    </row>
    <row r="29" spans="1:35" ht="99" customHeight="1">
      <c r="A29" s="6" t="s">
        <v>254</v>
      </c>
      <c r="B29" s="580" t="str">
        <f>+'Introducción de datos'!B136</f>
        <v>Número de personas privadas de libertad que se sometieron a las pruebas y consejería del VIH y que recibieron sus resultados</v>
      </c>
      <c r="C29" s="580"/>
      <c r="D29" s="580"/>
      <c r="E29" s="469">
        <f ca="1">OFFSET('Introducción de datos'!$G$117,19,RIGHT('Introducción de datos'!$C$16,LEN('Introducción de datos'!$C$16)-1),1,1)</f>
        <v>24000</v>
      </c>
      <c r="F29" s="469">
        <f ca="1">OFFSET('Introducción de datos'!$G$117,20,RIGHT('Introducción de datos'!$C$16,LEN('Introducción de datos'!$C$16)-1),1,1)</f>
        <v>30846</v>
      </c>
      <c r="G29" s="581">
        <f t="shared" si="0"/>
        <v>1.28525</v>
      </c>
      <c r="H29" s="581"/>
      <c r="I29" s="581"/>
      <c r="J29" s="581"/>
      <c r="K29" s="581"/>
      <c r="L29" s="592" t="s">
        <v>392</v>
      </c>
      <c r="M29" s="593"/>
      <c r="N29" s="593"/>
      <c r="O29" s="593"/>
      <c r="P29" s="593"/>
      <c r="Q29" s="594"/>
      <c r="S29" s="369"/>
      <c r="T29" s="366" t="e">
        <f>IF($K24&gt;T$19,IF($K24&lt;=T$20,$K24,NA()),NA())</f>
        <v>#N/A</v>
      </c>
      <c r="U29" s="366" t="e">
        <f>IF($K24&gt;U$19,IF($K24&lt;=U$20,$K24,NA()),NA())</f>
        <v>#N/A</v>
      </c>
      <c r="V29" s="366" t="e">
        <f>IF($K24&gt;V$19,IF($K24&lt;=V$20,$K24,NA()),NA())</f>
        <v>#N/A</v>
      </c>
      <c r="W29" s="366" t="e">
        <f>IF($K24&gt;W$19,IF($K24&lt;=W$20,$K24,NA()),NA())</f>
        <v>#N/A</v>
      </c>
      <c r="X29" s="366" t="e">
        <f>IF($K24&gt;X$19,IF($K24&lt;=X$20,1,NA()),NA())</f>
        <v>#N/A</v>
      </c>
      <c r="Y29" s="309"/>
      <c r="Z29" s="309"/>
      <c r="AA29" s="309"/>
      <c r="AB29" s="309"/>
      <c r="AC29" s="309"/>
      <c r="AD29" s="309"/>
      <c r="AE29" s="309"/>
      <c r="AF29" s="309"/>
      <c r="AG29" s="309"/>
      <c r="AH29" s="309"/>
      <c r="AI29" s="309"/>
    </row>
    <row r="30" spans="1:35" ht="19.5" customHeight="1">
      <c r="A30" s="6"/>
      <c r="B30" s="576"/>
      <c r="C30" s="576"/>
      <c r="D30" s="576"/>
      <c r="E30" s="576"/>
      <c r="F30" s="576"/>
      <c r="G30" s="576"/>
      <c r="H30" s="576"/>
      <c r="I30" s="576"/>
      <c r="J30" s="576"/>
      <c r="K30" s="576"/>
      <c r="L30" s="576"/>
      <c r="M30" s="576"/>
      <c r="N30" s="576"/>
      <c r="O30" s="576"/>
      <c r="P30" s="576"/>
      <c r="Q30" s="576"/>
      <c r="S30" s="369"/>
      <c r="T30" s="366"/>
      <c r="U30" s="366"/>
      <c r="V30" s="366"/>
      <c r="W30" s="366"/>
      <c r="X30" s="366"/>
      <c r="Y30" s="309"/>
      <c r="Z30" s="309"/>
      <c r="AA30" s="309"/>
      <c r="AB30" s="309"/>
      <c r="AC30" s="309"/>
      <c r="AD30" s="309"/>
      <c r="AE30" s="309"/>
      <c r="AF30" s="309"/>
      <c r="AG30" s="309"/>
      <c r="AH30" s="309"/>
      <c r="AI30" s="309"/>
    </row>
    <row r="31" spans="1:35" ht="28.5" customHeight="1">
      <c r="A31" s="6"/>
      <c r="B31" s="595" t="s">
        <v>209</v>
      </c>
      <c r="C31" s="595"/>
      <c r="D31" s="595"/>
      <c r="E31" s="595"/>
      <c r="F31" s="595"/>
      <c r="G31" s="595"/>
      <c r="H31" s="595"/>
      <c r="I31" s="595"/>
      <c r="J31" s="595"/>
      <c r="K31" s="595"/>
      <c r="L31" s="595"/>
      <c r="M31" s="595"/>
      <c r="N31" s="595"/>
      <c r="O31" s="595"/>
      <c r="P31" s="595"/>
      <c r="Q31" s="595"/>
      <c r="S31" s="369"/>
      <c r="T31" s="366"/>
      <c r="U31" s="366"/>
      <c r="V31" s="366"/>
      <c r="W31" s="366"/>
      <c r="X31" s="366"/>
      <c r="Y31" s="309"/>
      <c r="Z31" s="309"/>
      <c r="AA31" s="309"/>
      <c r="AB31" s="309"/>
      <c r="AC31" s="309"/>
      <c r="AD31" s="309"/>
      <c r="AE31" s="309"/>
      <c r="AF31" s="309"/>
      <c r="AG31" s="309"/>
      <c r="AH31" s="309"/>
      <c r="AI31" s="309"/>
    </row>
    <row r="32" spans="1:35" ht="113.25" customHeight="1">
      <c r="A32" s="6"/>
      <c r="B32" s="580" t="str">
        <f>+'Introducción de datos'!B140</f>
        <v>% de Hombres que tienen relaciones sexuales con hombres infectados por el VIH </v>
      </c>
      <c r="C32" s="580"/>
      <c r="D32" s="580"/>
      <c r="E32" s="374">
        <f ca="1">OFFSET('Introducción de datos'!$G$117,23,RIGHT('Introducción de datos'!$C$16,LEN('Introducción de datos'!$C$16)-1),1,1)</f>
        <v>0</v>
      </c>
      <c r="F32" s="374">
        <f ca="1">OFFSET('Introducción de datos'!$G$117,24,RIGHT('Introducción de datos'!$C$16,LEN('Introducción de datos'!$C$16)-1),1,1)</f>
        <v>0</v>
      </c>
      <c r="G32" s="581">
        <f t="shared" si="0"/>
        <v>0</v>
      </c>
      <c r="H32" s="581"/>
      <c r="I32" s="581"/>
      <c r="J32" s="581"/>
      <c r="K32" s="581"/>
      <c r="L32" s="596" t="s">
        <v>393</v>
      </c>
      <c r="M32" s="596"/>
      <c r="N32" s="596"/>
      <c r="O32" s="596"/>
      <c r="P32" s="596"/>
      <c r="Q32" s="596"/>
      <c r="S32" s="369"/>
      <c r="T32" s="366" t="e">
        <f>IF($K25&gt;T$19,IF($K25&lt;=T$20,$K25,NA()),NA())</f>
        <v>#N/A</v>
      </c>
      <c r="U32" s="366" t="e">
        <f>IF($K25&gt;U$19,IF($K25&lt;=U$20,$K25,NA()),NA())</f>
        <v>#N/A</v>
      </c>
      <c r="V32" s="366" t="e">
        <f>IF($K25&gt;V$19,IF($K25&lt;=V$20,$K25,NA()),NA())</f>
        <v>#N/A</v>
      </c>
      <c r="W32" s="366" t="e">
        <f>IF($K25&gt;W$19,IF($K25&lt;=W$20,$K25,NA()),NA())</f>
        <v>#N/A</v>
      </c>
      <c r="X32" s="366" t="e">
        <f>IF($K25&gt;X$19,IF($K25&lt;=X$20,1,NA()),NA())</f>
        <v>#N/A</v>
      </c>
      <c r="Y32" s="309"/>
      <c r="Z32" s="309"/>
      <c r="AA32" s="309"/>
      <c r="AB32" s="309"/>
      <c r="AC32" s="309"/>
      <c r="AD32" s="309"/>
      <c r="AE32" s="309"/>
      <c r="AF32" s="309"/>
      <c r="AG32" s="309"/>
      <c r="AH32" s="309"/>
      <c r="AI32" s="309"/>
    </row>
    <row r="33" spans="1:35" ht="114" customHeight="1">
      <c r="A33" s="6"/>
      <c r="B33" s="580" t="str">
        <f>+'Introducción de datos'!B142</f>
        <v>% de Trabajadoras sexuales  femeninas y masculinos infectados por el VIH</v>
      </c>
      <c r="C33" s="580"/>
      <c r="D33" s="580"/>
      <c r="E33" s="374">
        <f ca="1">OFFSET('Introducción de datos'!$G$117,25,RIGHT('Introducción de datos'!$C$16,LEN('Introducción de datos'!$C$16)-1),1,1)</f>
        <v>0</v>
      </c>
      <c r="F33" s="374">
        <f ca="1">OFFSET('Introducción de datos'!$G$117,26,RIGHT('Introducción de datos'!$C$16,LEN('Introducción de datos'!$C$16)-1),1,1)</f>
        <v>0</v>
      </c>
      <c r="G33" s="581">
        <f>+IF(ISERROR(F33/E33),0,F33/E33)</f>
        <v>0</v>
      </c>
      <c r="H33" s="581"/>
      <c r="I33" s="581"/>
      <c r="J33" s="581"/>
      <c r="K33" s="581"/>
      <c r="L33" s="596" t="s">
        <v>393</v>
      </c>
      <c r="M33" s="596"/>
      <c r="N33" s="596"/>
      <c r="O33" s="596"/>
      <c r="P33" s="596"/>
      <c r="Q33" s="596"/>
      <c r="S33" s="369"/>
      <c r="T33" s="366" t="e">
        <f>IF($K29&gt;T$19,IF($K29&lt;=T$20,$K29,NA()),NA())</f>
        <v>#N/A</v>
      </c>
      <c r="U33" s="366" t="e">
        <f>IF($K29&gt;U$19,IF($K29&lt;=U$20,$K29,NA()),NA())</f>
        <v>#N/A</v>
      </c>
      <c r="V33" s="366" t="e">
        <f>IF($K29&gt;V$19,IF($K29&lt;=V$20,$K29,NA()),NA())</f>
        <v>#N/A</v>
      </c>
      <c r="W33" s="366" t="e">
        <f>IF($K29&gt;W$19,IF($K29&lt;=W$20,$K29,NA()),NA())</f>
        <v>#N/A</v>
      </c>
      <c r="X33" s="366" t="e">
        <f>IF($K29&gt;X$19,IF($K29&lt;=X$20,1,NA()),NA())</f>
        <v>#N/A</v>
      </c>
      <c r="Y33" s="309"/>
      <c r="Z33" s="309"/>
      <c r="AA33" s="309"/>
      <c r="AB33" s="309"/>
      <c r="AC33" s="309"/>
      <c r="AD33" s="309"/>
      <c r="AE33" s="309"/>
      <c r="AF33" s="309"/>
      <c r="AG33" s="309"/>
      <c r="AH33" s="309"/>
      <c r="AI33" s="309"/>
    </row>
    <row r="34" spans="1:35" ht="111" customHeight="1" hidden="1">
      <c r="A34" s="6"/>
      <c r="B34" s="597" t="str">
        <f>+'Introducción de datos'!B144</f>
        <v>% de Poblacion Transgenero infectada por el VIH</v>
      </c>
      <c r="C34" s="597"/>
      <c r="D34" s="597"/>
      <c r="E34" s="375">
        <f ca="1">OFFSET('Introducción de datos'!$G$117,19,RIGHT('Introducción de datos'!$C$16,LEN('Introducción de datos'!$C$16)-1),1,1)</f>
        <v>24000</v>
      </c>
      <c r="F34" s="375">
        <f ca="1">OFFSET('Introducción de datos'!$G$117,20,RIGHT('Introducción de datos'!$C$16,LEN('Introducción de datos'!$C$16)-1),1,1)</f>
        <v>30846</v>
      </c>
      <c r="G34" s="581">
        <f>+IF(ISERROR(F34/E34),0,F34/E34)</f>
        <v>1.28525</v>
      </c>
      <c r="H34" s="581"/>
      <c r="I34" s="581"/>
      <c r="J34" s="581"/>
      <c r="K34" s="581"/>
      <c r="L34" s="596" t="s">
        <v>255</v>
      </c>
      <c r="M34" s="596"/>
      <c r="N34" s="596"/>
      <c r="O34" s="596"/>
      <c r="P34" s="596"/>
      <c r="Q34" s="596"/>
      <c r="S34" s="369"/>
      <c r="T34" s="366"/>
      <c r="U34" s="366"/>
      <c r="V34" s="366"/>
      <c r="W34" s="366"/>
      <c r="X34" s="366"/>
      <c r="Y34" s="309"/>
      <c r="Z34" s="309"/>
      <c r="AA34" s="309"/>
      <c r="AB34" s="309"/>
      <c r="AC34" s="309"/>
      <c r="AD34" s="309"/>
      <c r="AE34" s="309"/>
      <c r="AF34" s="309"/>
      <c r="AG34" s="309"/>
      <c r="AH34" s="309"/>
      <c r="AI34" s="309"/>
    </row>
    <row r="35" spans="1:35" ht="22.5" customHeight="1">
      <c r="A35" s="6"/>
      <c r="B35" s="599"/>
      <c r="C35" s="599"/>
      <c r="D35" s="599"/>
      <c r="E35" s="599"/>
      <c r="F35" s="600"/>
      <c r="G35" s="600"/>
      <c r="H35" s="600"/>
      <c r="I35" s="600"/>
      <c r="J35" s="600"/>
      <c r="K35" s="600"/>
      <c r="L35" s="601"/>
      <c r="M35" s="601"/>
      <c r="N35" s="601"/>
      <c r="O35" s="601"/>
      <c r="P35" s="601"/>
      <c r="S35" s="369"/>
      <c r="T35" s="366" t="e">
        <f>IF($K33&gt;T$19,IF($K33&lt;=T$20,$K33,NA()),NA())</f>
        <v>#N/A</v>
      </c>
      <c r="U35" s="366" t="e">
        <f>IF($K33&gt;U$19,IF($K33&lt;=U$20,$K33,NA()),NA())</f>
        <v>#N/A</v>
      </c>
      <c r="V35" s="366" t="e">
        <f>IF($K33&gt;V$19,IF($K33&lt;=V$20,$K33,NA()),NA())</f>
        <v>#N/A</v>
      </c>
      <c r="W35" s="366" t="e">
        <f>IF($K33&gt;W$19,IF($K33&lt;=W$20,$K33,NA()),NA())</f>
        <v>#N/A</v>
      </c>
      <c r="X35" s="366" t="e">
        <f>IF($K33&gt;X$19,IF($K33&lt;=X$20,1,NA()),NA())</f>
        <v>#N/A</v>
      </c>
      <c r="Y35" s="309"/>
      <c r="Z35" s="309"/>
      <c r="AA35" s="309"/>
      <c r="AB35" s="309"/>
      <c r="AC35" s="309"/>
      <c r="AD35" s="309"/>
      <c r="AE35" s="309"/>
      <c r="AF35" s="309"/>
      <c r="AG35" s="309"/>
      <c r="AH35" s="309"/>
      <c r="AI35" s="309"/>
    </row>
    <row r="36" spans="1:35" ht="22.5" customHeight="1">
      <c r="A36" s="6"/>
      <c r="B36" s="602"/>
      <c r="C36" s="602"/>
      <c r="D36" s="602"/>
      <c r="E36" s="602"/>
      <c r="F36" s="603"/>
      <c r="G36" s="603"/>
      <c r="H36" s="603"/>
      <c r="I36" s="603"/>
      <c r="J36" s="603"/>
      <c r="K36" s="603"/>
      <c r="L36" s="604"/>
      <c r="M36" s="604"/>
      <c r="N36" s="604"/>
      <c r="O36" s="604"/>
      <c r="P36" s="604"/>
      <c r="S36" s="369"/>
      <c r="T36" s="366" t="e">
        <f>IF(#REF!&gt;T$19,IF(#REF!&lt;=T$20,#REF!,NA()),NA())</f>
        <v>#REF!</v>
      </c>
      <c r="U36" s="366" t="e">
        <f>IF(#REF!&gt;U$19,IF(#REF!&lt;=U$20,#REF!,NA()),NA())</f>
        <v>#REF!</v>
      </c>
      <c r="V36" s="366" t="e">
        <f>IF(#REF!&gt;V$19,IF(#REF!&lt;=V$20,#REF!,NA()),NA())</f>
        <v>#REF!</v>
      </c>
      <c r="W36" s="366" t="e">
        <f>IF(#REF!&gt;W$19,IF(#REF!&lt;=W$20,#REF!,NA()),NA())</f>
        <v>#REF!</v>
      </c>
      <c r="X36" s="366" t="e">
        <f>IF(#REF!&gt;X$19,IF(#REF!&lt;=X$20,1,NA()),NA())</f>
        <v>#REF!</v>
      </c>
      <c r="Y36" s="309"/>
      <c r="Z36" s="309"/>
      <c r="AA36" s="309"/>
      <c r="AB36" s="309"/>
      <c r="AC36" s="309"/>
      <c r="AD36" s="309"/>
      <c r="AE36" s="309"/>
      <c r="AF36" s="309"/>
      <c r="AG36" s="309"/>
      <c r="AH36" s="309"/>
      <c r="AI36" s="309"/>
    </row>
    <row r="37" spans="1:35" ht="15">
      <c r="A37" s="6"/>
      <c r="B37" s="376"/>
      <c r="C37" s="376"/>
      <c r="D37" s="376"/>
      <c r="E37" s="376"/>
      <c r="F37" s="376"/>
      <c r="G37" s="376"/>
      <c r="H37" s="377"/>
      <c r="I37" s="376"/>
      <c r="J37" s="376"/>
      <c r="K37" s="376"/>
      <c r="L37" s="376"/>
      <c r="M37" s="376"/>
      <c r="N37" s="376"/>
      <c r="O37" s="376"/>
      <c r="P37" s="376"/>
      <c r="S37" s="369"/>
      <c r="T37" s="366" t="e">
        <f aca="true" t="shared" si="3" ref="T37:W38">IF($K35&gt;T$19,IF($K35&lt;=T$20,$K35,NA()),NA())</f>
        <v>#N/A</v>
      </c>
      <c r="U37" s="366" t="e">
        <f t="shared" si="3"/>
        <v>#N/A</v>
      </c>
      <c r="V37" s="366" t="e">
        <f t="shared" si="3"/>
        <v>#N/A</v>
      </c>
      <c r="W37" s="366" t="e">
        <f t="shared" si="3"/>
        <v>#N/A</v>
      </c>
      <c r="X37" s="366" t="e">
        <f>IF($K35&gt;X$19,IF($K35&lt;=X$20,1,NA()),NA())</f>
        <v>#N/A</v>
      </c>
      <c r="Y37" s="309"/>
      <c r="Z37" s="309"/>
      <c r="AA37" s="309"/>
      <c r="AB37" s="309"/>
      <c r="AC37" s="309"/>
      <c r="AD37" s="309"/>
      <c r="AE37" s="309"/>
      <c r="AF37" s="309"/>
      <c r="AG37" s="309"/>
      <c r="AH37" s="309"/>
      <c r="AI37" s="309"/>
    </row>
    <row r="38" spans="1:35" ht="15">
      <c r="A38" s="6"/>
      <c r="B38" s="598"/>
      <c r="C38" s="598"/>
      <c r="D38" s="598"/>
      <c r="E38" s="598"/>
      <c r="F38" s="598"/>
      <c r="G38" s="598"/>
      <c r="H38" s="598"/>
      <c r="I38" s="598"/>
      <c r="J38" s="598"/>
      <c r="K38" s="598"/>
      <c r="L38" s="376"/>
      <c r="M38" s="376"/>
      <c r="N38" s="376"/>
      <c r="O38" s="376"/>
      <c r="P38" s="376"/>
      <c r="S38" s="369"/>
      <c r="T38" s="366" t="e">
        <f t="shared" si="3"/>
        <v>#N/A</v>
      </c>
      <c r="U38" s="366" t="e">
        <f t="shared" si="3"/>
        <v>#N/A</v>
      </c>
      <c r="V38" s="366" t="e">
        <f t="shared" si="3"/>
        <v>#N/A</v>
      </c>
      <c r="W38" s="366" t="e">
        <f t="shared" si="3"/>
        <v>#N/A</v>
      </c>
      <c r="X38" s="366" t="e">
        <f>IF($K36&gt;X$19,IF($K36&lt;=X$20,1,NA()),NA())</f>
        <v>#N/A</v>
      </c>
      <c r="Y38" s="309"/>
      <c r="Z38" s="309"/>
      <c r="AA38" s="309"/>
      <c r="AB38" s="309"/>
      <c r="AC38" s="309"/>
      <c r="AD38" s="309"/>
      <c r="AE38" s="309"/>
      <c r="AF38" s="309"/>
      <c r="AG38" s="309"/>
      <c r="AH38" s="309"/>
      <c r="AI38" s="309"/>
    </row>
    <row r="39" spans="1:35" ht="15">
      <c r="A39" s="6"/>
      <c r="B39" s="598"/>
      <c r="C39" s="598"/>
      <c r="D39" s="598"/>
      <c r="E39" s="598"/>
      <c r="F39" s="598"/>
      <c r="G39" s="598"/>
      <c r="H39" s="598"/>
      <c r="I39" s="598"/>
      <c r="J39" s="598"/>
      <c r="K39" s="598"/>
      <c r="L39" s="376"/>
      <c r="M39" s="376"/>
      <c r="N39" s="376"/>
      <c r="O39" s="376"/>
      <c r="P39" s="376"/>
      <c r="S39" s="309"/>
      <c r="T39" s="309"/>
      <c r="U39" s="309"/>
      <c r="V39" s="309"/>
      <c r="W39" s="309"/>
      <c r="X39" s="309"/>
      <c r="Y39" s="309"/>
      <c r="Z39" s="309"/>
      <c r="AA39" s="309"/>
      <c r="AB39" s="309"/>
      <c r="AC39" s="309"/>
      <c r="AD39" s="309"/>
      <c r="AE39" s="309"/>
      <c r="AF39" s="309"/>
      <c r="AG39" s="309"/>
      <c r="AH39" s="309"/>
      <c r="AI39" s="309"/>
    </row>
  </sheetData>
  <sheetProtection selectLockedCells="1" selectUnlockedCells="1"/>
  <mergeCells count="67">
    <mergeCell ref="B38:D39"/>
    <mergeCell ref="E38:G39"/>
    <mergeCell ref="H38:K39"/>
    <mergeCell ref="B35:E35"/>
    <mergeCell ref="F35:K35"/>
    <mergeCell ref="L35:P35"/>
    <mergeCell ref="B36:E36"/>
    <mergeCell ref="F36:K36"/>
    <mergeCell ref="L36:P36"/>
    <mergeCell ref="B33:D33"/>
    <mergeCell ref="G33:K33"/>
    <mergeCell ref="L33:Q33"/>
    <mergeCell ref="B34:D34"/>
    <mergeCell ref="G34:K34"/>
    <mergeCell ref="L34:Q34"/>
    <mergeCell ref="B29:D29"/>
    <mergeCell ref="G29:K29"/>
    <mergeCell ref="L29:Q29"/>
    <mergeCell ref="B30:Q30"/>
    <mergeCell ref="B31:Q31"/>
    <mergeCell ref="B32:D32"/>
    <mergeCell ref="G32:K32"/>
    <mergeCell ref="L32:Q32"/>
    <mergeCell ref="B27:D27"/>
    <mergeCell ref="G27:K27"/>
    <mergeCell ref="L27:Q27"/>
    <mergeCell ref="B28:D28"/>
    <mergeCell ref="G28:K28"/>
    <mergeCell ref="L28:Q28"/>
    <mergeCell ref="B25:D25"/>
    <mergeCell ref="G25:K25"/>
    <mergeCell ref="L25:Q25"/>
    <mergeCell ref="B26:D26"/>
    <mergeCell ref="G26:K26"/>
    <mergeCell ref="L26:Q26"/>
    <mergeCell ref="B21:D21"/>
    <mergeCell ref="G21:K21"/>
    <mergeCell ref="L21:Q21"/>
    <mergeCell ref="B22:D22"/>
    <mergeCell ref="G22:K22"/>
    <mergeCell ref="L22:Q24"/>
    <mergeCell ref="B23:D23"/>
    <mergeCell ref="G23:K23"/>
    <mergeCell ref="B24:D24"/>
    <mergeCell ref="G24:K24"/>
    <mergeCell ref="E18:K18"/>
    <mergeCell ref="B19:D19"/>
    <mergeCell ref="G19:H19"/>
    <mergeCell ref="I19:J19"/>
    <mergeCell ref="L19:Q19"/>
    <mergeCell ref="B20:D20"/>
    <mergeCell ref="G20:K20"/>
    <mergeCell ref="L20:Q20"/>
    <mergeCell ref="D5:N5"/>
    <mergeCell ref="F6:K6"/>
    <mergeCell ref="B8:E8"/>
    <mergeCell ref="F8:K8"/>
    <mergeCell ref="L8:Q8"/>
    <mergeCell ref="C9:E9"/>
    <mergeCell ref="G9:K9"/>
    <mergeCell ref="M9:Q9"/>
    <mergeCell ref="B2:Q2"/>
    <mergeCell ref="C3:D3"/>
    <mergeCell ref="E3:K3"/>
    <mergeCell ref="O3:P3"/>
    <mergeCell ref="C4:D4"/>
    <mergeCell ref="E4:L4"/>
  </mergeCells>
  <conditionalFormatting sqref="C4:D4">
    <cfRule type="cellIs" priority="1" dxfId="45" operator="equal" stopIfTrue="1">
      <formula>"C"</formula>
    </cfRule>
    <cfRule type="cellIs" priority="2" dxfId="41" operator="equal" stopIfTrue="1">
      <formula>"B2"</formula>
    </cfRule>
    <cfRule type="cellIs" priority="3" dxfId="42" operator="equal" stopIfTrue="1">
      <formula>"B1"</formula>
    </cfRule>
  </conditionalFormatting>
  <conditionalFormatting sqref="G20:G29 G32:G34">
    <cfRule type="cellIs" priority="4" dxfId="53" operator="between" stopIfTrue="1">
      <formula>0</formula>
      <formula>0.599</formula>
    </cfRule>
    <cfRule type="cellIs" priority="5" dxfId="52" operator="between" stopIfTrue="1">
      <formula>0.6</formula>
      <formula>0.899</formula>
    </cfRule>
    <cfRule type="cellIs" priority="6" dxfId="51"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64"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25">
      <selection activeCell="D41" sqref="D41:G41"/>
    </sheetView>
  </sheetViews>
  <sheetFormatPr defaultColWidth="9.140625" defaultRowHeight="15"/>
  <cols>
    <col min="1" max="1" width="1.1484375" style="378" customWidth="1"/>
    <col min="2" max="2" width="19.28125" style="378" customWidth="1"/>
    <col min="3" max="3" width="1.1484375" style="378" customWidth="1"/>
    <col min="4" max="4" width="17.140625" style="378" customWidth="1"/>
    <col min="5" max="5" width="17.57421875" style="378" customWidth="1"/>
    <col min="6" max="6" width="9.7109375" style="378" customWidth="1"/>
    <col min="7" max="7" width="13.00390625" style="378" customWidth="1"/>
    <col min="8" max="8" width="4.28125" style="378" customWidth="1"/>
    <col min="9" max="9" width="15.8515625" style="378" customWidth="1"/>
    <col min="10" max="10" width="3.57421875" style="378" customWidth="1"/>
    <col min="11" max="11" width="7.57421875" style="379" customWidth="1"/>
    <col min="12" max="12" width="22.00390625" style="378" customWidth="1"/>
    <col min="13" max="13" width="12.00390625" style="378" customWidth="1"/>
    <col min="14" max="14" width="5.421875" style="378" customWidth="1"/>
    <col min="15" max="15" width="2.57421875" style="378" customWidth="1"/>
    <col min="16" max="16384" width="9.140625" style="378" customWidth="1"/>
  </cols>
  <sheetData>
    <row r="1" spans="1:14" ht="38.25" customHeight="1">
      <c r="A1" s="380"/>
      <c r="B1" s="380"/>
      <c r="C1" s="380"/>
      <c r="D1" s="380"/>
      <c r="E1" s="380"/>
      <c r="F1" s="380"/>
      <c r="G1" s="380"/>
      <c r="H1" s="380"/>
      <c r="I1" s="380"/>
      <c r="J1" s="380"/>
      <c r="K1" s="381"/>
      <c r="L1" s="380"/>
      <c r="M1" s="380"/>
      <c r="N1" s="380"/>
    </row>
    <row r="2" spans="1:256" ht="27.75" customHeight="1">
      <c r="A2" s="6"/>
      <c r="B2" s="570" t="str">
        <f>+"Cuadro de mando:  "&amp;"  "&amp;+'Introducción de datos'!C4&amp;" - "&amp;'Introducción de datos'!G6</f>
        <v>Cuadro de mando:    El Salvador - VIH / SIDA</v>
      </c>
      <c r="C2" s="570"/>
      <c r="D2" s="570"/>
      <c r="E2" s="570"/>
      <c r="F2" s="570"/>
      <c r="G2" s="570"/>
      <c r="H2" s="570"/>
      <c r="I2" s="570"/>
      <c r="J2" s="570"/>
      <c r="K2" s="570"/>
      <c r="L2" s="570"/>
      <c r="M2" s="570"/>
      <c r="N2" s="570"/>
      <c r="O2" s="38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93" t="str">
        <f>+'Introducción de datos'!G8</f>
        <v>SSF/NMF</v>
      </c>
      <c r="C3" s="551" t="str">
        <f>+'Introducción de datos'!I8</f>
        <v>Fase 1</v>
      </c>
      <c r="D3" s="551"/>
      <c r="E3" s="605"/>
      <c r="F3" s="605"/>
      <c r="G3" s="605"/>
      <c r="H3" s="605"/>
      <c r="I3" s="605"/>
      <c r="J3" s="605"/>
      <c r="K3" s="605"/>
      <c r="L3" s="293" t="str">
        <f>+'Introducción de datos'!B16</f>
        <v>Periodo:</v>
      </c>
      <c r="M3" s="353" t="str">
        <f>+'Introducción de datos'!C16</f>
        <v>P4</v>
      </c>
      <c r="N3" s="35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93" t="str">
        <f>+'Introducción de datos'!B12</f>
        <v>Ultima calificación:</v>
      </c>
      <c r="C4" s="571" t="str">
        <f>+'Introducción de datos'!C12</f>
        <v>B2</v>
      </c>
      <c r="D4" s="571"/>
      <c r="E4" s="552" t="str">
        <f>+'Introducción de datos'!C8</f>
        <v>Ministerio de Salud </v>
      </c>
      <c r="F4" s="552"/>
      <c r="G4" s="552"/>
      <c r="H4" s="552"/>
      <c r="I4" s="552"/>
      <c r="J4" s="552"/>
      <c r="K4" s="552"/>
      <c r="L4" s="293" t="str">
        <f>+'Introducción de datos'!D16</f>
        <v>Desde:</v>
      </c>
      <c r="M4" s="297">
        <f>+'Introducción de datos'!E16</f>
        <v>42186</v>
      </c>
      <c r="N4" s="29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93"/>
      <c r="C5" s="293"/>
      <c r="D5" s="299"/>
      <c r="E5" s="552" t="str">
        <f>+'Introducción de datos'!G4</f>
        <v>INNOVANDO SERVICIOS, REDUCIENDO RIESGOS, RENOVANDO VIDAS EN EL SALVADOR</v>
      </c>
      <c r="F5" s="552"/>
      <c r="G5" s="552"/>
      <c r="H5" s="552"/>
      <c r="I5" s="552"/>
      <c r="J5" s="552"/>
      <c r="K5" s="552"/>
      <c r="L5" s="293" t="str">
        <f>+'Introducción de datos'!F16</f>
        <v>Hasta:</v>
      </c>
      <c r="M5" s="297">
        <f>+'Introducción de datos'!G16</f>
        <v>42369</v>
      </c>
      <c r="N5" s="29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00"/>
      <c r="C6" s="294"/>
      <c r="D6" s="299"/>
      <c r="E6" s="606" t="s">
        <v>251</v>
      </c>
      <c r="F6" s="606"/>
      <c r="G6" s="606"/>
      <c r="H6" s="606"/>
      <c r="I6" s="606"/>
      <c r="J6" s="606"/>
      <c r="K6" s="606"/>
      <c r="L6" s="163"/>
      <c r="M6" s="163"/>
      <c r="N6" s="163"/>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87" customFormat="1" ht="4.5" customHeight="1">
      <c r="A7" s="383"/>
      <c r="B7" s="384"/>
      <c r="C7" s="384"/>
      <c r="D7" s="384"/>
      <c r="E7" s="384"/>
      <c r="F7" s="384"/>
      <c r="G7" s="384"/>
      <c r="H7" s="384"/>
      <c r="I7" s="384"/>
      <c r="J7" s="384"/>
      <c r="K7" s="384"/>
      <c r="L7" s="385"/>
      <c r="M7" s="385"/>
      <c r="N7" s="386"/>
    </row>
    <row r="8" spans="1:14" s="387" customFormat="1" ht="21" customHeight="1">
      <c r="A8" s="383"/>
      <c r="B8" s="607" t="s">
        <v>256</v>
      </c>
      <c r="C8" s="607"/>
      <c r="D8" s="607"/>
      <c r="E8" s="607"/>
      <c r="F8" s="607"/>
      <c r="G8" s="607"/>
      <c r="H8" s="607"/>
      <c r="I8" s="607"/>
      <c r="J8" s="607"/>
      <c r="K8" s="607"/>
      <c r="L8" s="607"/>
      <c r="M8" s="607"/>
      <c r="N8" s="607"/>
    </row>
    <row r="9" spans="1:14" s="387" customFormat="1" ht="3.75" customHeight="1">
      <c r="A9" s="383"/>
      <c r="B9" s="384"/>
      <c r="C9" s="384"/>
      <c r="D9" s="384"/>
      <c r="E9" s="384"/>
      <c r="F9" s="384"/>
      <c r="G9" s="384"/>
      <c r="H9" s="384"/>
      <c r="I9" s="384"/>
      <c r="J9" s="384"/>
      <c r="K9" s="384"/>
      <c r="L9" s="385"/>
      <c r="M9" s="385"/>
      <c r="N9" s="386"/>
    </row>
    <row r="10" spans="1:14" s="390" customFormat="1" ht="25.5" customHeight="1">
      <c r="A10" s="388"/>
      <c r="B10" s="608" t="s">
        <v>257</v>
      </c>
      <c r="C10" s="608"/>
      <c r="D10" s="609" t="s">
        <v>250</v>
      </c>
      <c r="E10" s="609"/>
      <c r="F10" s="609"/>
      <c r="G10" s="609"/>
      <c r="H10" s="389"/>
      <c r="I10" s="609" t="s">
        <v>251</v>
      </c>
      <c r="J10" s="609"/>
      <c r="K10" s="609"/>
      <c r="L10" s="609"/>
      <c r="M10" s="609"/>
      <c r="N10" s="609"/>
    </row>
    <row r="11" spans="1:14" s="390" customFormat="1" ht="28.5" customHeight="1">
      <c r="A11" s="388"/>
      <c r="B11" s="391" t="s">
        <v>258</v>
      </c>
      <c r="C11" s="392"/>
      <c r="D11" s="610" t="str">
        <f>IF(ISBLANK(Financiamiento!C9),"",(Financiamiento!C9))</f>
        <v>El presupuesto es Mayor a los desembolso debido a que a la fecha hace falta que nos realice un ultimo desembolso.</v>
      </c>
      <c r="E11" s="610"/>
      <c r="F11" s="610"/>
      <c r="G11" s="610"/>
      <c r="H11" s="393"/>
      <c r="I11" s="611"/>
      <c r="J11" s="611"/>
      <c r="K11" s="611"/>
      <c r="L11" s="611"/>
      <c r="M11" s="611"/>
      <c r="N11" s="611"/>
    </row>
    <row r="12" spans="1:14" s="390" customFormat="1" ht="27.75" customHeight="1">
      <c r="A12" s="388"/>
      <c r="B12" s="394" t="s">
        <v>259</v>
      </c>
      <c r="C12" s="395"/>
      <c r="D12" s="610" t="str">
        <f>IF(ISBLANK(Financiamiento!C23),"",(Financiamiento!C23))</f>
        <v>La diferencias entre el presupuesto y gastos de debe a que se tienen compromisos con proveedores y que seran pagados en el siguiente semestre y economias generadas.</v>
      </c>
      <c r="E12" s="610"/>
      <c r="F12" s="610"/>
      <c r="G12" s="610"/>
      <c r="H12" s="393"/>
      <c r="I12" s="612"/>
      <c r="J12" s="612"/>
      <c r="K12" s="612"/>
      <c r="L12" s="612"/>
      <c r="M12" s="612"/>
      <c r="N12" s="612"/>
    </row>
    <row r="13" spans="1:14" s="390" customFormat="1" ht="26.25" customHeight="1">
      <c r="A13" s="388"/>
      <c r="B13" s="394" t="s">
        <v>260</v>
      </c>
      <c r="C13" s="395"/>
      <c r="D13" s="610" t="str">
        <f>IF(ISBLANK(Financiamiento!I9),"",(Financiamiento!I9))</f>
        <v>La diferencia entre el desembolso y gasto se debe a que se tiene compromisos con proveedores, que se pagaran en el siguiente semestre. Y economias del periodo.</v>
      </c>
      <c r="E13" s="610"/>
      <c r="F13" s="610"/>
      <c r="G13" s="610"/>
      <c r="H13" s="393"/>
      <c r="I13" s="613"/>
      <c r="J13" s="613"/>
      <c r="K13" s="613"/>
      <c r="L13" s="613"/>
      <c r="M13" s="613"/>
      <c r="N13" s="613"/>
    </row>
    <row r="14" spans="1:14" s="390" customFormat="1" ht="28.5" customHeight="1">
      <c r="A14" s="388"/>
      <c r="B14" s="396" t="s">
        <v>261</v>
      </c>
      <c r="C14" s="397"/>
      <c r="D14" s="614">
        <f>IF(ISBLANK(Financiamiento!I23),"",(Financiamiento!I23))</f>
      </c>
      <c r="E14" s="614"/>
      <c r="F14" s="614"/>
      <c r="G14" s="614"/>
      <c r="H14" s="393"/>
      <c r="I14" s="615"/>
      <c r="J14" s="615"/>
      <c r="K14" s="615"/>
      <c r="L14" s="615"/>
      <c r="M14" s="615"/>
      <c r="N14" s="615"/>
    </row>
    <row r="15" spans="1:15" s="390" customFormat="1" ht="4.5" customHeight="1">
      <c r="A15" s="388"/>
      <c r="B15" s="398"/>
      <c r="C15" s="399"/>
      <c r="D15" s="400"/>
      <c r="E15" s="400"/>
      <c r="F15" s="400"/>
      <c r="G15" s="400"/>
      <c r="H15" s="393"/>
      <c r="I15" s="401"/>
      <c r="J15" s="401"/>
      <c r="K15" s="401"/>
      <c r="L15" s="401"/>
      <c r="M15" s="401"/>
      <c r="N15" s="401"/>
      <c r="O15" s="402"/>
    </row>
    <row r="16" spans="1:14" s="387" customFormat="1" ht="21" customHeight="1">
      <c r="A16" s="383"/>
      <c r="B16" s="607" t="s">
        <v>262</v>
      </c>
      <c r="C16" s="607"/>
      <c r="D16" s="607"/>
      <c r="E16" s="607"/>
      <c r="F16" s="607"/>
      <c r="G16" s="607"/>
      <c r="H16" s="607"/>
      <c r="I16" s="607"/>
      <c r="J16" s="607"/>
      <c r="K16" s="607"/>
      <c r="L16" s="607"/>
      <c r="M16" s="607"/>
      <c r="N16" s="607"/>
    </row>
    <row r="17" spans="1:14" s="390" customFormat="1" ht="3.75" customHeight="1">
      <c r="A17" s="388"/>
      <c r="B17" s="403"/>
      <c r="C17" s="404"/>
      <c r="D17" s="405"/>
      <c r="E17" s="406"/>
      <c r="F17" s="407"/>
      <c r="G17" s="407"/>
      <c r="H17" s="408"/>
      <c r="I17" s="409"/>
      <c r="J17" s="410"/>
      <c r="K17" s="411"/>
      <c r="L17" s="412"/>
      <c r="M17" s="413"/>
      <c r="N17" s="414"/>
    </row>
    <row r="18" spans="1:14" s="390" customFormat="1" ht="22.5" customHeight="1">
      <c r="A18" s="388"/>
      <c r="B18" s="616" t="s">
        <v>249</v>
      </c>
      <c r="C18" s="616"/>
      <c r="D18" s="617" t="s">
        <v>250</v>
      </c>
      <c r="E18" s="617"/>
      <c r="F18" s="617"/>
      <c r="G18" s="617"/>
      <c r="H18" s="389"/>
      <c r="I18" s="618" t="s">
        <v>251</v>
      </c>
      <c r="J18" s="618"/>
      <c r="K18" s="618"/>
      <c r="L18" s="618"/>
      <c r="M18" s="618"/>
      <c r="N18" s="618"/>
    </row>
    <row r="19" spans="1:14" s="390" customFormat="1" ht="51.75" customHeight="1">
      <c r="A19" s="388"/>
      <c r="B19" s="415" t="s">
        <v>252</v>
      </c>
      <c r="C19" s="416"/>
      <c r="D19" s="619">
        <f>IF(ISBLANK(Gestión!C8),"",(Gestión!C8))</f>
      </c>
      <c r="E19" s="619"/>
      <c r="F19" s="619"/>
      <c r="G19" s="619"/>
      <c r="H19" s="417"/>
      <c r="I19" s="620"/>
      <c r="J19" s="620"/>
      <c r="K19" s="620"/>
      <c r="L19" s="620"/>
      <c r="M19" s="620"/>
      <c r="N19" s="620"/>
    </row>
    <row r="20" spans="1:15" ht="24.75" customHeight="1">
      <c r="A20" s="380"/>
      <c r="B20" s="418" t="s">
        <v>253</v>
      </c>
      <c r="C20" s="419"/>
      <c r="D20" s="621" t="str">
        <f>IF(ISBLANK(Gestión!I8),"",(Gestión!I8))</f>
        <v>El RP MINSAL al momento no cuenta con plazas vacantes.</v>
      </c>
      <c r="E20" s="621" t="e">
        <f>+'Introducción de datos'!D73/'Introducción de datos'!G73</f>
        <v>#DIV/0!</v>
      </c>
      <c r="F20" s="621" t="e">
        <f>+('Introducción de datos'!E73+'Introducción de datos'!F73)/'Introducción de datos'!G73</f>
        <v>#DIV/0!</v>
      </c>
      <c r="G20" s="621"/>
      <c r="H20" s="417"/>
      <c r="I20" s="622"/>
      <c r="J20" s="622"/>
      <c r="K20" s="622"/>
      <c r="L20" s="622"/>
      <c r="M20" s="622"/>
      <c r="N20" s="622"/>
      <c r="O20" s="420"/>
    </row>
    <row r="21" spans="1:15" ht="29.25" customHeight="1">
      <c r="A21" s="380"/>
      <c r="B21" s="421" t="s">
        <v>263</v>
      </c>
      <c r="C21" s="419"/>
      <c r="D21" s="621" t="str">
        <f>IF(ISBLANK(Gestión!C16),"",(Gestión!C16))</f>
        <v>El RP MINSAL no cuenta con subreceptores</v>
      </c>
      <c r="E21" s="621"/>
      <c r="F21" s="621"/>
      <c r="G21" s="621"/>
      <c r="H21" s="417"/>
      <c r="I21" s="622"/>
      <c r="J21" s="622"/>
      <c r="K21" s="622"/>
      <c r="L21" s="622"/>
      <c r="M21" s="622"/>
      <c r="N21" s="622"/>
      <c r="O21" s="420"/>
    </row>
    <row r="22" spans="1:15" ht="26.25" customHeight="1">
      <c r="A22" s="380"/>
      <c r="B22" s="421" t="s">
        <v>264</v>
      </c>
      <c r="C22" s="419"/>
      <c r="D22" s="621" t="str">
        <f>IF(ISBLANK(Gestión!I16),"",(Gestión!I16))</f>
        <v>El RP MINSAL no cuenta con subreceptores</v>
      </c>
      <c r="E22" s="621"/>
      <c r="F22" s="621"/>
      <c r="G22" s="621"/>
      <c r="H22" s="417"/>
      <c r="I22" s="622"/>
      <c r="J22" s="622"/>
      <c r="K22" s="622"/>
      <c r="L22" s="622"/>
      <c r="M22" s="622"/>
      <c r="N22" s="622"/>
      <c r="O22" s="420"/>
    </row>
    <row r="23" spans="1:15" ht="72" customHeight="1">
      <c r="A23" s="380"/>
      <c r="B23" s="421" t="s">
        <v>265</v>
      </c>
      <c r="C23" s="419"/>
      <c r="D23" s="621">
        <f>IF(ISBLANK(Gestión!C27),"",(Gestión!C27))</f>
      </c>
      <c r="E23" s="621"/>
      <c r="F23" s="621"/>
      <c r="G23" s="621"/>
      <c r="H23" s="417"/>
      <c r="I23" s="622"/>
      <c r="J23" s="622"/>
      <c r="K23" s="622"/>
      <c r="L23" s="622"/>
      <c r="M23" s="622"/>
      <c r="N23" s="622"/>
      <c r="O23" s="420"/>
    </row>
    <row r="24" spans="1:15" ht="27" customHeight="1">
      <c r="A24" s="380"/>
      <c r="B24" s="422" t="s">
        <v>266</v>
      </c>
      <c r="C24" s="423"/>
      <c r="D24" s="623">
        <f>IF(ISBLANK(Gestión!I27),"",(Gestión!I27))</f>
      </c>
      <c r="E24" s="623"/>
      <c r="F24" s="623"/>
      <c r="G24" s="623"/>
      <c r="H24" s="417"/>
      <c r="I24" s="624"/>
      <c r="J24" s="624"/>
      <c r="K24" s="624"/>
      <c r="L24" s="624"/>
      <c r="M24" s="624"/>
      <c r="N24" s="624"/>
      <c r="O24" s="420"/>
    </row>
    <row r="25" spans="1:15" ht="4.5" customHeight="1">
      <c r="A25" s="383"/>
      <c r="B25" s="424"/>
      <c r="C25" s="425"/>
      <c r="D25" s="426"/>
      <c r="E25" s="427"/>
      <c r="F25" s="428"/>
      <c r="G25" s="428"/>
      <c r="H25" s="389"/>
      <c r="I25" s="427"/>
      <c r="J25" s="429"/>
      <c r="K25" s="411"/>
      <c r="L25" s="412"/>
      <c r="M25" s="413"/>
      <c r="N25" s="414"/>
      <c r="O25" s="420"/>
    </row>
    <row r="26" spans="1:14" s="387" customFormat="1" ht="21" customHeight="1">
      <c r="A26" s="383"/>
      <c r="B26" s="607" t="s">
        <v>267</v>
      </c>
      <c r="C26" s="607"/>
      <c r="D26" s="607"/>
      <c r="E26" s="607"/>
      <c r="F26" s="607"/>
      <c r="G26" s="607"/>
      <c r="H26" s="607"/>
      <c r="I26" s="607"/>
      <c r="J26" s="607"/>
      <c r="K26" s="607"/>
      <c r="L26" s="607"/>
      <c r="M26" s="607"/>
      <c r="N26" s="607"/>
    </row>
    <row r="27" spans="1:15" ht="3.75" customHeight="1">
      <c r="A27" s="383"/>
      <c r="B27" s="424"/>
      <c r="C27" s="425"/>
      <c r="D27" s="426"/>
      <c r="E27" s="427"/>
      <c r="F27" s="428"/>
      <c r="G27" s="428"/>
      <c r="H27" s="389"/>
      <c r="I27" s="427"/>
      <c r="J27" s="429"/>
      <c r="K27" s="411"/>
      <c r="L27" s="412"/>
      <c r="M27" s="413"/>
      <c r="N27" s="414"/>
      <c r="O27" s="420"/>
    </row>
    <row r="28" spans="1:15" ht="21.75" customHeight="1">
      <c r="A28" s="380"/>
      <c r="B28" s="625" t="s">
        <v>268</v>
      </c>
      <c r="C28" s="625"/>
      <c r="D28" s="626" t="s">
        <v>250</v>
      </c>
      <c r="E28" s="626"/>
      <c r="F28" s="626"/>
      <c r="G28" s="626"/>
      <c r="H28" s="389"/>
      <c r="I28" s="626" t="s">
        <v>251</v>
      </c>
      <c r="J28" s="626"/>
      <c r="K28" s="626"/>
      <c r="L28" s="626"/>
      <c r="M28" s="626"/>
      <c r="N28" s="626"/>
      <c r="O28" s="420"/>
    </row>
    <row r="29" spans="1:15" ht="67.5" customHeight="1">
      <c r="A29" s="380"/>
      <c r="B29" s="430" t="s">
        <v>269</v>
      </c>
      <c r="C29" s="431"/>
      <c r="D29" s="627" t="str">
        <f>IF(ISBLANK(Programatico!C9),"",(Programatico!C9))</f>
        <v>Actualmente el 100% de los usuarios que consultan a los Hospitales con TAR y que cumplen criterios para iniciar la misma se encuentran recibiendo tratamiento. </v>
      </c>
      <c r="E29" s="627"/>
      <c r="F29" s="627"/>
      <c r="G29" s="627"/>
      <c r="H29" s="417"/>
      <c r="I29" s="628"/>
      <c r="J29" s="628"/>
      <c r="K29" s="628"/>
      <c r="L29" s="628"/>
      <c r="M29" s="628"/>
      <c r="N29" s="628"/>
      <c r="O29" s="420"/>
    </row>
    <row r="30" spans="1:15" ht="47.25" customHeight="1">
      <c r="A30" s="380"/>
      <c r="B30" s="432" t="s">
        <v>270</v>
      </c>
      <c r="C30" s="433"/>
      <c r="D30" s="629" t="str">
        <f>IF(ISBLANK(Programatico!G9),"",(Programatico!G9))</f>
        <v>De las 55 mujeres con VIH (+) solo dos no recibieron TAR debido a que no llevaron control prenatal y fueron DX hasta el momento del parto</v>
      </c>
      <c r="E30" s="629"/>
      <c r="F30" s="629"/>
      <c r="G30" s="629"/>
      <c r="H30" s="417"/>
      <c r="I30" s="630"/>
      <c r="J30" s="630"/>
      <c r="K30" s="630"/>
      <c r="L30" s="630"/>
      <c r="M30" s="630"/>
      <c r="N30" s="630"/>
      <c r="O30" s="420"/>
    </row>
    <row r="31" spans="1:15" ht="40.5" customHeight="1">
      <c r="A31" s="380"/>
      <c r="B31" s="432" t="s">
        <v>271</v>
      </c>
      <c r="C31" s="433"/>
      <c r="D31" s="629" t="str">
        <f>IF(ISBLANK(Programatico!M9),"",(Programatico!M9))</f>
        <v>El resultado de este indicador proviene de todaslas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v>
      </c>
      <c r="E31" s="629"/>
      <c r="F31" s="629"/>
      <c r="G31" s="629"/>
      <c r="H31" s="417"/>
      <c r="I31" s="630"/>
      <c r="J31" s="630"/>
      <c r="K31" s="630"/>
      <c r="L31" s="630"/>
      <c r="M31" s="630"/>
      <c r="N31" s="630"/>
      <c r="O31" s="420"/>
    </row>
    <row r="32" spans="1:15" ht="207" customHeight="1">
      <c r="A32" s="380"/>
      <c r="B32" s="434" t="s">
        <v>89</v>
      </c>
      <c r="C32" s="433"/>
      <c r="D32" s="631" t="str">
        <f>IF(ISBLANK(Programatico!L20),"",(Programatico!L20))</f>
        <v>Actualmente el 100% de los usuarios que consultan a los Hospitales con TAR y que cumplen criterios para iniciar la misma se encuentran recibiendo tratamiento. </v>
      </c>
      <c r="E32" s="631"/>
      <c r="F32" s="631"/>
      <c r="G32" s="631"/>
      <c r="H32" s="417"/>
      <c r="I32" s="630"/>
      <c r="J32" s="630"/>
      <c r="K32" s="630"/>
      <c r="L32" s="630"/>
      <c r="M32" s="630"/>
      <c r="N32" s="630"/>
      <c r="O32" s="420"/>
    </row>
    <row r="33" spans="1:15" ht="150" customHeight="1">
      <c r="A33" s="380"/>
      <c r="B33" s="434" t="s">
        <v>90</v>
      </c>
      <c r="C33" s="433"/>
      <c r="D33" s="631" t="str">
        <f>IF(ISBLANK(Programatico!L21),"",(Programatico!L21))</f>
        <v>De las 56 mujeres con VIH (+) solo tres no recibieron TAR debido a que no llevaron control prenatal y fueron DX hasta el momento del parto</v>
      </c>
      <c r="E33" s="631"/>
      <c r="F33" s="631"/>
      <c r="G33" s="631"/>
      <c r="H33" s="417"/>
      <c r="I33" s="630"/>
      <c r="J33" s="630"/>
      <c r="K33" s="630"/>
      <c r="L33" s="630"/>
      <c r="M33" s="630"/>
      <c r="N33" s="630"/>
      <c r="O33" s="420"/>
    </row>
    <row r="34" spans="1:15" ht="186" customHeight="1">
      <c r="A34" s="380"/>
      <c r="B34" s="434" t="s">
        <v>72</v>
      </c>
      <c r="C34" s="433"/>
      <c r="D34" s="631" t="str">
        <f>IF(ISBLANK(Programatico!L22),"",(Programatico!L22))</f>
        <v>El resultado de este indicador proviene de todaslas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 No obstante los resultados del año 2014 fueron 6%, 21% y 7.4%.</v>
      </c>
      <c r="E34" s="631"/>
      <c r="F34" s="631"/>
      <c r="G34" s="631"/>
      <c r="H34" s="417"/>
      <c r="I34" s="630"/>
      <c r="J34" s="630"/>
      <c r="K34" s="630"/>
      <c r="L34" s="630"/>
      <c r="M34" s="630"/>
      <c r="N34" s="630"/>
      <c r="O34" s="420"/>
    </row>
    <row r="35" spans="1:15" ht="217.5" customHeight="1">
      <c r="A35" s="380"/>
      <c r="B35" s="434" t="s">
        <v>91</v>
      </c>
      <c r="C35" s="435"/>
      <c r="D35" s="631">
        <f>IF(ISBLANK(Programatico!L23),"",(Programatico!L23))</f>
      </c>
      <c r="E35" s="631"/>
      <c r="F35" s="631"/>
      <c r="G35" s="631"/>
      <c r="H35" s="417"/>
      <c r="I35" s="630"/>
      <c r="J35" s="630"/>
      <c r="K35" s="630"/>
      <c r="L35" s="630"/>
      <c r="M35" s="630"/>
      <c r="N35" s="630"/>
      <c r="O35" s="420"/>
    </row>
    <row r="36" spans="1:15" ht="94.5" customHeight="1">
      <c r="A36" s="380"/>
      <c r="B36" s="434" t="s">
        <v>92</v>
      </c>
      <c r="C36" s="435"/>
      <c r="D36" s="631">
        <f>IF(ISBLANK(Programatico!L24),"",(Programatico!L24))</f>
      </c>
      <c r="E36" s="631"/>
      <c r="F36" s="631"/>
      <c r="G36" s="631"/>
      <c r="H36" s="417"/>
      <c r="I36" s="630"/>
      <c r="J36" s="630"/>
      <c r="K36" s="630"/>
      <c r="L36" s="630"/>
      <c r="M36" s="630"/>
      <c r="N36" s="630"/>
      <c r="O36" s="420"/>
    </row>
    <row r="37" spans="1:15" ht="129.75" customHeight="1">
      <c r="A37" s="380"/>
      <c r="B37" s="434" t="s">
        <v>93</v>
      </c>
      <c r="C37" s="435"/>
      <c r="D37" s="631" t="str">
        <f>IF(ISBLANK(Programatico!L25),"",(Programatico!L25))</f>
        <v>Este indicador aun se encuentra en construcción ya que se esta realizando la depuración de la base del SUMEVE y esta pendiente de clasificar el número de usuarios que consultan a los Hospitales con TAR, pero que todavia no tienen criterios para iniciar tratamiento.</v>
      </c>
      <c r="E37" s="631"/>
      <c r="F37" s="631"/>
      <c r="G37" s="631"/>
      <c r="H37" s="417"/>
      <c r="I37" s="630"/>
      <c r="J37" s="630"/>
      <c r="K37" s="630"/>
      <c r="L37" s="630"/>
      <c r="M37" s="630"/>
      <c r="N37" s="630"/>
      <c r="O37" s="420"/>
    </row>
    <row r="38" spans="1:15" ht="254.25" customHeight="1">
      <c r="A38" s="380"/>
      <c r="B38" s="434" t="s">
        <v>94</v>
      </c>
      <c r="C38" s="435"/>
      <c r="D38" s="631" t="str">
        <f>IF(ISBLANK(Programatico!L29),"",(Programatico!L29))</f>
        <v>El trabajo con Centros Penales durante el año 2015 fue complicado debido a los frecuentes amotinamientos y resquizas que se han dado en los centros penales, a pesar de estas dificultades las actividades se continuaron realizando y se ha logrado tamizar a las PPL. El resultado es mayor del 100% debido a que el denominador del indicador aumento durante el año 2015.</v>
      </c>
      <c r="E38" s="631"/>
      <c r="F38" s="631"/>
      <c r="G38" s="631"/>
      <c r="H38" s="417"/>
      <c r="I38" s="630"/>
      <c r="J38" s="630"/>
      <c r="K38" s="630"/>
      <c r="L38" s="630"/>
      <c r="M38" s="630"/>
      <c r="N38" s="630"/>
      <c r="O38" s="420"/>
    </row>
    <row r="39" spans="1:15" ht="87.75" customHeight="1">
      <c r="A39" s="380"/>
      <c r="B39" s="434" t="s">
        <v>95</v>
      </c>
      <c r="C39" s="435"/>
      <c r="D39" s="631" t="str">
        <f>IF(ISBLANK(Programatico!L32),"",(Programatico!L32))</f>
        <v>Este indicador se encuentra en construcción debido a las nuevas actualizaciones que se le han realizado al SIAPS.</v>
      </c>
      <c r="E39" s="631"/>
      <c r="F39" s="631"/>
      <c r="G39" s="631"/>
      <c r="H39" s="417"/>
      <c r="I39" s="630"/>
      <c r="J39" s="630"/>
      <c r="K39" s="630"/>
      <c r="L39" s="630"/>
      <c r="M39" s="630"/>
      <c r="N39" s="630"/>
      <c r="O39" s="420"/>
    </row>
    <row r="40" spans="1:15" ht="54" customHeight="1">
      <c r="A40" s="380"/>
      <c r="B40" s="434" t="s">
        <v>96</v>
      </c>
      <c r="C40" s="435"/>
      <c r="D40" s="631" t="str">
        <f>IF(ISBLANK(Programatico!L33),"",(Programatico!L33))</f>
        <v>Este indicador se encuentra en construcción debido a las nuevas actualizaciones que se le han realizado al SIAPS.</v>
      </c>
      <c r="E40" s="631"/>
      <c r="F40" s="631"/>
      <c r="G40" s="631"/>
      <c r="H40" s="417"/>
      <c r="I40" s="630"/>
      <c r="J40" s="630"/>
      <c r="K40" s="630"/>
      <c r="L40" s="630"/>
      <c r="M40" s="630"/>
      <c r="N40" s="630"/>
      <c r="O40" s="420"/>
    </row>
    <row r="41" spans="1:15" ht="81" customHeight="1">
      <c r="A41" s="380"/>
      <c r="B41" s="434" t="s">
        <v>97</v>
      </c>
      <c r="C41" s="436"/>
      <c r="D41" s="631" t="e">
        <f>IF(ISBLANK(Programatico!#REF!),"",(Programatico!#REF!))</f>
        <v>#REF!</v>
      </c>
      <c r="E41" s="631"/>
      <c r="F41" s="631"/>
      <c r="G41" s="631"/>
      <c r="H41" s="417"/>
      <c r="I41" s="632"/>
      <c r="J41" s="632"/>
      <c r="K41" s="632"/>
      <c r="L41" s="632"/>
      <c r="M41" s="632"/>
      <c r="N41" s="632"/>
      <c r="O41" s="420"/>
    </row>
  </sheetData>
  <sheetProtection selectLockedCells="1" selectUnlockedCells="1"/>
  <mergeCells count="65">
    <mergeCell ref="D41:G41"/>
    <mergeCell ref="I41:N41"/>
    <mergeCell ref="D38:G38"/>
    <mergeCell ref="I38:N38"/>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5" operator="equal" stopIfTrue="1">
      <formula>"C"</formula>
    </cfRule>
    <cfRule type="cellIs" priority="2" dxfId="41" operator="equal" stopIfTrue="1">
      <formula>"B2"</formula>
    </cfRule>
    <cfRule type="cellIs" priority="3" dxfId="4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r:id="rId2"/>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B14" sqref="B14:E25"/>
    </sheetView>
  </sheetViews>
  <sheetFormatPr defaultColWidth="9.140625" defaultRowHeight="15"/>
  <cols>
    <col min="1" max="1" width="23.8515625" style="0" customWidth="1"/>
    <col min="2" max="2" width="46.00390625" style="0" customWidth="1"/>
    <col min="3" max="4" width="8.8515625" style="0" customWidth="1"/>
    <col min="5" max="5" width="19.00390625" style="0" customWidth="1"/>
    <col min="6" max="6" width="1.421875" style="0" customWidth="1"/>
    <col min="7" max="7" width="11.421875" style="0" customWidth="1"/>
    <col min="8" max="8" width="9.57421875" style="0" customWidth="1"/>
    <col min="9" max="9" width="8.8515625" style="0" customWidth="1"/>
    <col min="10" max="10" width="98.28125" style="0" customWidth="1"/>
    <col min="11" max="11" width="44.421875" style="0" customWidth="1"/>
    <col min="12" max="12" width="59.7109375" style="0" customWidth="1"/>
  </cols>
  <sheetData>
    <row r="1" ht="30.75" customHeight="1"/>
    <row r="2" spans="2:12" ht="27.75" customHeight="1">
      <c r="B2" s="562" t="str">
        <f>+"Cuadro de mando:  "&amp;"  "&amp;+'Introducción de datos'!C4&amp;" - "&amp;'Introducción de datos'!G6</f>
        <v>Cuadro de mando:    El Salvador - VIH / SIDA</v>
      </c>
      <c r="C2" s="562"/>
      <c r="D2" s="562"/>
      <c r="E2" s="562"/>
      <c r="F2" s="562"/>
      <c r="G2" s="562"/>
      <c r="H2" s="562"/>
      <c r="I2" s="562"/>
      <c r="J2" s="562"/>
      <c r="K2" s="562"/>
      <c r="L2" s="562"/>
    </row>
    <row r="3" spans="2:13" ht="15">
      <c r="B3" s="325" t="str">
        <f>+'Introducción de datos'!G8</f>
        <v>SSF/NMF</v>
      </c>
      <c r="C3" s="563" t="str">
        <f>+'Introducción de datos'!I8</f>
        <v>Fase 1</v>
      </c>
      <c r="D3" s="563"/>
      <c r="E3" s="564"/>
      <c r="F3" s="564"/>
      <c r="G3" s="564"/>
      <c r="H3" s="564"/>
      <c r="I3" s="564"/>
      <c r="J3" s="565" t="str">
        <f>+'Introducción de datos'!B16</f>
        <v>Periodo:</v>
      </c>
      <c r="K3" s="565"/>
      <c r="L3" s="353" t="str">
        <f>+'Introducción de datos'!C16</f>
        <v>P4</v>
      </c>
      <c r="M3" s="437"/>
    </row>
    <row r="4" spans="2:12" ht="15">
      <c r="B4" s="325" t="str">
        <f>+'Introducción de datos'!B12</f>
        <v>Ultima calificación:</v>
      </c>
      <c r="C4" s="633" t="str">
        <f>+'Introducción de datos'!C12</f>
        <v>B2</v>
      </c>
      <c r="D4" s="633"/>
      <c r="E4" s="564" t="str">
        <f>+'Introducción de datos'!C8</f>
        <v>Ministerio de Salud </v>
      </c>
      <c r="F4" s="564"/>
      <c r="G4" s="564"/>
      <c r="H4" s="564"/>
      <c r="I4" s="564"/>
      <c r="J4" s="565" t="str">
        <f>+'Introducción de datos'!D16</f>
        <v>Desde:</v>
      </c>
      <c r="K4" s="565"/>
      <c r="L4" s="297">
        <f>+'Introducción de datos'!E16</f>
        <v>42186</v>
      </c>
    </row>
    <row r="5" spans="2:12" ht="18.75" customHeight="1">
      <c r="B5" s="325"/>
      <c r="C5" s="325"/>
      <c r="D5" s="564" t="str">
        <f>+'Introducción de datos'!G4</f>
        <v>INNOVANDO SERVICIOS, REDUCIENDO RIESGOS, RENOVANDO VIDAS EN EL SALVADOR</v>
      </c>
      <c r="E5" s="564"/>
      <c r="F5" s="564"/>
      <c r="G5" s="564"/>
      <c r="H5" s="564"/>
      <c r="I5" s="564"/>
      <c r="J5" s="564"/>
      <c r="K5" s="325" t="str">
        <f>+'Introducción de datos'!F16</f>
        <v>Hasta:</v>
      </c>
      <c r="L5" s="297">
        <f>+'Introducción de datos'!G16</f>
        <v>42369</v>
      </c>
    </row>
    <row r="6" spans="2:9" ht="18.75">
      <c r="B6" s="326"/>
      <c r="C6" s="325"/>
      <c r="D6" s="299"/>
      <c r="E6" s="566" t="s">
        <v>272</v>
      </c>
      <c r="F6" s="566"/>
      <c r="G6" s="566"/>
      <c r="H6" s="566"/>
      <c r="I6" s="566"/>
    </row>
    <row r="7" spans="5:9" ht="18.75">
      <c r="E7" s="438"/>
      <c r="F7" s="438"/>
      <c r="G7" s="438"/>
      <c r="H7" s="438"/>
      <c r="I7" s="438"/>
    </row>
    <row r="8" spans="2:12" s="387" customFormat="1" ht="21" customHeight="1">
      <c r="B8" s="439" t="s">
        <v>273</v>
      </c>
      <c r="C8" s="440"/>
      <c r="D8" s="440"/>
      <c r="E8" s="440"/>
      <c r="F8" s="440"/>
      <c r="G8" s="440"/>
      <c r="H8" s="440"/>
      <c r="I8" s="440"/>
      <c r="J8" s="440"/>
      <c r="K8" s="440"/>
      <c r="L8" s="440"/>
    </row>
    <row r="9" ht="6" customHeight="1">
      <c r="B9" s="441"/>
    </row>
    <row r="10" spans="2:12" ht="15">
      <c r="B10" s="634"/>
      <c r="C10" s="634"/>
      <c r="D10" s="634"/>
      <c r="E10" s="634"/>
      <c r="F10" s="634"/>
      <c r="G10" s="634"/>
      <c r="H10" s="634"/>
      <c r="I10" s="634"/>
      <c r="J10" s="634"/>
      <c r="K10" s="634"/>
      <c r="L10" s="634"/>
    </row>
    <row r="11" spans="2:12" ht="15">
      <c r="B11" s="634"/>
      <c r="C11" s="634"/>
      <c r="D11" s="634"/>
      <c r="E11" s="634"/>
      <c r="F11" s="634"/>
      <c r="G11" s="634"/>
      <c r="H11" s="634"/>
      <c r="I11" s="634"/>
      <c r="J11" s="634"/>
      <c r="K11" s="634"/>
      <c r="L11" s="634"/>
    </row>
    <row r="13" spans="1:12" ht="42" customHeight="1">
      <c r="A13" s="442"/>
      <c r="B13" s="635" t="s">
        <v>274</v>
      </c>
      <c r="C13" s="635"/>
      <c r="D13" s="635"/>
      <c r="E13" s="635"/>
      <c r="F13" s="443"/>
      <c r="G13" s="636" t="s">
        <v>275</v>
      </c>
      <c r="H13" s="636"/>
      <c r="I13" s="636"/>
      <c r="J13" s="444" t="s">
        <v>276</v>
      </c>
      <c r="K13" s="637" t="s">
        <v>277</v>
      </c>
      <c r="L13" s="637"/>
    </row>
    <row r="14" spans="1:12" ht="33.75" customHeight="1">
      <c r="A14" s="638" t="s">
        <v>113</v>
      </c>
      <c r="B14" s="639"/>
      <c r="C14" s="639"/>
      <c r="D14" s="639"/>
      <c r="E14" s="639"/>
      <c r="F14" s="97"/>
      <c r="G14" s="640"/>
      <c r="H14" s="640"/>
      <c r="I14" s="640"/>
      <c r="J14" s="641"/>
      <c r="K14" s="642"/>
      <c r="L14" s="642"/>
    </row>
    <row r="15" spans="1:12" ht="69" customHeight="1">
      <c r="A15" s="638"/>
      <c r="B15" s="639"/>
      <c r="C15" s="639"/>
      <c r="D15" s="639"/>
      <c r="E15" s="639"/>
      <c r="F15" s="97"/>
      <c r="G15" s="640"/>
      <c r="H15" s="640"/>
      <c r="I15" s="640"/>
      <c r="J15" s="641"/>
      <c r="K15" s="642"/>
      <c r="L15" s="642"/>
    </row>
    <row r="16" spans="1:12" ht="25.5" customHeight="1">
      <c r="A16" s="638"/>
      <c r="B16" s="639"/>
      <c r="C16" s="639"/>
      <c r="D16" s="639"/>
      <c r="E16" s="639"/>
      <c r="F16" s="97"/>
      <c r="G16" s="643"/>
      <c r="H16" s="643"/>
      <c r="I16" s="643"/>
      <c r="J16" s="644"/>
      <c r="K16" s="645"/>
      <c r="L16" s="645"/>
    </row>
    <row r="17" spans="1:12" ht="24" customHeight="1">
      <c r="A17" s="638"/>
      <c r="B17" s="639"/>
      <c r="C17" s="639"/>
      <c r="D17" s="639"/>
      <c r="E17" s="639"/>
      <c r="F17" s="97"/>
      <c r="G17" s="643"/>
      <c r="H17" s="643"/>
      <c r="I17" s="643"/>
      <c r="J17" s="644"/>
      <c r="K17" s="645"/>
      <c r="L17" s="645"/>
    </row>
    <row r="18" spans="1:12" ht="15">
      <c r="A18" s="638"/>
      <c r="B18" s="639"/>
      <c r="C18" s="639"/>
      <c r="D18" s="639"/>
      <c r="E18" s="639"/>
      <c r="F18" s="97"/>
      <c r="G18" s="646"/>
      <c r="H18" s="646"/>
      <c r="I18" s="646"/>
      <c r="J18" s="647"/>
      <c r="K18" s="645"/>
      <c r="L18" s="645"/>
    </row>
    <row r="19" spans="1:12" ht="30.75" customHeight="1">
      <c r="A19" s="638"/>
      <c r="B19" s="639"/>
      <c r="C19" s="639"/>
      <c r="D19" s="639"/>
      <c r="E19" s="639"/>
      <c r="F19" s="97"/>
      <c r="G19" s="646"/>
      <c r="H19" s="646"/>
      <c r="I19" s="646"/>
      <c r="J19" s="647"/>
      <c r="K19" s="647"/>
      <c r="L19" s="645"/>
    </row>
    <row r="20" spans="1:12" ht="15">
      <c r="A20" s="638"/>
      <c r="B20" s="639"/>
      <c r="C20" s="639"/>
      <c r="D20" s="639"/>
      <c r="E20" s="639"/>
      <c r="F20" s="97"/>
      <c r="G20" s="648"/>
      <c r="H20" s="648"/>
      <c r="I20" s="648"/>
      <c r="J20" s="647"/>
      <c r="K20" s="645"/>
      <c r="L20" s="645"/>
    </row>
    <row r="21" spans="1:12" ht="15">
      <c r="A21" s="638"/>
      <c r="B21" s="639"/>
      <c r="C21" s="639"/>
      <c r="D21" s="639"/>
      <c r="E21" s="639"/>
      <c r="F21" s="97"/>
      <c r="G21" s="648"/>
      <c r="H21" s="648"/>
      <c r="I21" s="648"/>
      <c r="J21" s="647"/>
      <c r="K21" s="647"/>
      <c r="L21" s="645"/>
    </row>
    <row r="22" spans="1:12" ht="15">
      <c r="A22" s="638"/>
      <c r="B22" s="639"/>
      <c r="C22" s="639"/>
      <c r="D22" s="639"/>
      <c r="E22" s="639"/>
      <c r="F22" s="97"/>
      <c r="G22" s="648"/>
      <c r="H22" s="648"/>
      <c r="I22" s="648"/>
      <c r="J22" s="647"/>
      <c r="K22" s="645"/>
      <c r="L22" s="645"/>
    </row>
    <row r="23" spans="1:12" ht="15">
      <c r="A23" s="638"/>
      <c r="B23" s="639"/>
      <c r="C23" s="639"/>
      <c r="D23" s="639"/>
      <c r="E23" s="639"/>
      <c r="F23" s="97"/>
      <c r="G23" s="648"/>
      <c r="H23" s="648"/>
      <c r="I23" s="648"/>
      <c r="J23" s="647"/>
      <c r="K23" s="647"/>
      <c r="L23" s="645"/>
    </row>
    <row r="24" spans="1:12" ht="15">
      <c r="A24" s="638"/>
      <c r="B24" s="649"/>
      <c r="C24" s="649"/>
      <c r="D24" s="649"/>
      <c r="E24" s="649"/>
      <c r="F24" s="97"/>
      <c r="G24" s="650"/>
      <c r="H24" s="650"/>
      <c r="I24" s="650"/>
      <c r="J24" s="651"/>
      <c r="K24" s="652"/>
      <c r="L24" s="652"/>
    </row>
    <row r="25" spans="1:12" ht="15">
      <c r="A25" s="638"/>
      <c r="B25" s="649"/>
      <c r="C25" s="649"/>
      <c r="D25" s="649"/>
      <c r="E25" s="649"/>
      <c r="F25" s="97"/>
      <c r="G25" s="650"/>
      <c r="H25" s="650"/>
      <c r="I25" s="650"/>
      <c r="J25" s="651"/>
      <c r="K25" s="651"/>
      <c r="L25" s="652"/>
    </row>
    <row r="26" spans="1:12" ht="15">
      <c r="A26" s="442"/>
      <c r="B26" s="442"/>
      <c r="C26" s="442"/>
      <c r="D26" s="442"/>
      <c r="E26" s="442"/>
      <c r="F26" s="442"/>
      <c r="G26" s="442"/>
      <c r="H26" s="442"/>
      <c r="I26" s="442"/>
      <c r="J26" s="442"/>
      <c r="K26" s="442"/>
      <c r="L26" s="442"/>
    </row>
    <row r="27" spans="1:12" ht="18.75">
      <c r="A27" s="442"/>
      <c r="B27" s="442"/>
      <c r="C27" s="442"/>
      <c r="D27" s="442"/>
      <c r="E27" s="445" t="s">
        <v>278</v>
      </c>
      <c r="F27" s="446"/>
      <c r="G27" s="446"/>
      <c r="H27" s="446"/>
      <c r="I27" s="446"/>
      <c r="J27" s="442"/>
      <c r="K27" s="442"/>
      <c r="L27" s="442"/>
    </row>
    <row r="28" spans="1:12" ht="6" customHeight="1">
      <c r="A28" s="442"/>
      <c r="B28" s="442"/>
      <c r="C28" s="442"/>
      <c r="D28" s="442"/>
      <c r="E28" s="447"/>
      <c r="F28" s="447"/>
      <c r="G28" s="447"/>
      <c r="H28" s="447"/>
      <c r="I28" s="447"/>
      <c r="J28" s="442"/>
      <c r="K28" s="442"/>
      <c r="L28" s="442"/>
    </row>
    <row r="29" spans="1:12" s="387" customFormat="1" ht="21" customHeight="1">
      <c r="A29" s="448"/>
      <c r="B29" s="439" t="s">
        <v>279</v>
      </c>
      <c r="C29" s="449"/>
      <c r="D29" s="449"/>
      <c r="E29" s="449"/>
      <c r="F29" s="449"/>
      <c r="G29" s="449"/>
      <c r="H29" s="449"/>
      <c r="I29" s="449"/>
      <c r="J29" s="449"/>
      <c r="K29" s="449"/>
      <c r="L29" s="449"/>
    </row>
    <row r="30" spans="1:12" ht="6" customHeight="1">
      <c r="A30" s="442"/>
      <c r="B30" s="450"/>
      <c r="C30" s="442"/>
      <c r="D30" s="442"/>
      <c r="E30" s="442"/>
      <c r="F30" s="442"/>
      <c r="G30" s="442"/>
      <c r="H30" s="442"/>
      <c r="I30" s="442"/>
      <c r="J30" s="442"/>
      <c r="K30" s="442"/>
      <c r="L30" s="442"/>
    </row>
    <row r="31" spans="1:12" ht="45" customHeight="1">
      <c r="A31" s="442"/>
      <c r="B31" s="635" t="s">
        <v>275</v>
      </c>
      <c r="C31" s="635"/>
      <c r="D31" s="635"/>
      <c r="E31" s="635"/>
      <c r="F31" s="443"/>
      <c r="G31" s="636" t="s">
        <v>280</v>
      </c>
      <c r="H31" s="636"/>
      <c r="I31" s="636"/>
      <c r="J31" s="444" t="s">
        <v>276</v>
      </c>
      <c r="K31" s="637" t="s">
        <v>277</v>
      </c>
      <c r="L31" s="637"/>
    </row>
    <row r="32" spans="1:12" ht="18.75" customHeight="1">
      <c r="A32" s="638" t="s">
        <v>281</v>
      </c>
      <c r="B32" s="653"/>
      <c r="C32" s="653"/>
      <c r="D32" s="653"/>
      <c r="E32" s="653"/>
      <c r="F32" s="97"/>
      <c r="G32" s="654"/>
      <c r="H32" s="654"/>
      <c r="I32" s="654"/>
      <c r="J32" s="655"/>
      <c r="K32" s="656"/>
      <c r="L32" s="656"/>
    </row>
    <row r="33" spans="1:12" ht="18.75" customHeight="1">
      <c r="A33" s="638"/>
      <c r="B33" s="653"/>
      <c r="C33" s="653"/>
      <c r="D33" s="653"/>
      <c r="E33" s="653"/>
      <c r="F33" s="97"/>
      <c r="G33" s="654"/>
      <c r="H33" s="654"/>
      <c r="I33" s="654"/>
      <c r="J33" s="655"/>
      <c r="K33" s="655"/>
      <c r="L33" s="656"/>
    </row>
    <row r="34" spans="1:12" ht="18.75" customHeight="1">
      <c r="A34" s="638"/>
      <c r="B34" s="657">
        <f>IF(Recomendaciones!I43="","",Recomendaciones!I43)</f>
      </c>
      <c r="C34" s="657"/>
      <c r="D34" s="657"/>
      <c r="E34" s="657"/>
      <c r="F34" s="97"/>
      <c r="G34" s="658"/>
      <c r="H34" s="658"/>
      <c r="I34" s="658"/>
      <c r="J34" s="659"/>
      <c r="K34" s="660"/>
      <c r="L34" s="660"/>
    </row>
    <row r="35" spans="1:12" ht="18.75" customHeight="1">
      <c r="A35" s="638"/>
      <c r="B35" s="657"/>
      <c r="C35" s="657"/>
      <c r="D35" s="657"/>
      <c r="E35" s="657"/>
      <c r="F35" s="97"/>
      <c r="G35" s="658"/>
      <c r="H35" s="658"/>
      <c r="I35" s="658"/>
      <c r="J35" s="659"/>
      <c r="K35" s="659"/>
      <c r="L35" s="660"/>
    </row>
    <row r="36" spans="1:12" ht="18.75" customHeight="1">
      <c r="A36" s="638"/>
      <c r="B36" s="657">
        <f>+IF(Recomendaciones!I53="","",Recomendaciones!I53)</f>
      </c>
      <c r="C36" s="657"/>
      <c r="D36" s="657"/>
      <c r="E36" s="657"/>
      <c r="F36" s="97"/>
      <c r="G36" s="658"/>
      <c r="H36" s="658"/>
      <c r="I36" s="658"/>
      <c r="J36" s="659"/>
      <c r="K36" s="660"/>
      <c r="L36" s="660"/>
    </row>
    <row r="37" spans="1:12" ht="18.75" customHeight="1">
      <c r="A37" s="638"/>
      <c r="B37" s="657"/>
      <c r="C37" s="657"/>
      <c r="D37" s="657"/>
      <c r="E37" s="657"/>
      <c r="F37" s="97"/>
      <c r="G37" s="658"/>
      <c r="H37" s="658"/>
      <c r="I37" s="658"/>
      <c r="J37" s="659"/>
      <c r="K37" s="659"/>
      <c r="L37" s="660"/>
    </row>
    <row r="38" spans="1:12" ht="18.75" customHeight="1">
      <c r="A38" s="638"/>
      <c r="B38" s="657"/>
      <c r="C38" s="657"/>
      <c r="D38" s="657"/>
      <c r="E38" s="657"/>
      <c r="F38" s="97"/>
      <c r="G38" s="658"/>
      <c r="H38" s="658"/>
      <c r="I38" s="658"/>
      <c r="J38" s="659"/>
      <c r="K38" s="660"/>
      <c r="L38" s="660"/>
    </row>
    <row r="39" spans="1:12" ht="18.75" customHeight="1">
      <c r="A39" s="638"/>
      <c r="B39" s="657"/>
      <c r="C39" s="657"/>
      <c r="D39" s="657"/>
      <c r="E39" s="657"/>
      <c r="F39" s="97"/>
      <c r="G39" s="658"/>
      <c r="H39" s="658"/>
      <c r="I39" s="658"/>
      <c r="J39" s="659"/>
      <c r="K39" s="659"/>
      <c r="L39" s="660"/>
    </row>
    <row r="40" spans="1:12" ht="18.75" customHeight="1">
      <c r="A40" s="638"/>
      <c r="B40" s="657"/>
      <c r="C40" s="657"/>
      <c r="D40" s="657"/>
      <c r="E40" s="657"/>
      <c r="F40" s="97"/>
      <c r="G40" s="658"/>
      <c r="H40" s="658"/>
      <c r="I40" s="658"/>
      <c r="J40" s="659"/>
      <c r="K40" s="660"/>
      <c r="L40" s="660"/>
    </row>
    <row r="41" spans="1:12" ht="18.75" customHeight="1">
      <c r="A41" s="638"/>
      <c r="B41" s="657"/>
      <c r="C41" s="657"/>
      <c r="D41" s="657"/>
      <c r="E41" s="657"/>
      <c r="F41" s="97"/>
      <c r="G41" s="658"/>
      <c r="H41" s="658"/>
      <c r="I41" s="658"/>
      <c r="J41" s="659"/>
      <c r="K41" s="659"/>
      <c r="L41" s="660"/>
    </row>
    <row r="42" spans="1:12" ht="18.75" customHeight="1">
      <c r="A42" s="638"/>
      <c r="B42" s="661"/>
      <c r="C42" s="661"/>
      <c r="D42" s="661"/>
      <c r="E42" s="661"/>
      <c r="F42" s="97"/>
      <c r="G42" s="662"/>
      <c r="H42" s="662"/>
      <c r="I42" s="662"/>
      <c r="J42" s="663"/>
      <c r="K42" s="664"/>
      <c r="L42" s="664"/>
    </row>
    <row r="43" spans="1:12" ht="18.75" customHeight="1">
      <c r="A43" s="638"/>
      <c r="B43" s="661"/>
      <c r="C43" s="661"/>
      <c r="D43" s="661"/>
      <c r="E43" s="661"/>
      <c r="F43" s="97"/>
      <c r="G43" s="662"/>
      <c r="H43" s="662"/>
      <c r="I43" s="662"/>
      <c r="J43" s="663"/>
      <c r="K43" s="663"/>
      <c r="L43" s="664"/>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2:E23"/>
    <mergeCell ref="G22:I23"/>
    <mergeCell ref="J22:J23"/>
    <mergeCell ref="K22:L23"/>
    <mergeCell ref="B24:E25"/>
    <mergeCell ref="G24:I25"/>
    <mergeCell ref="J24:J25"/>
    <mergeCell ref="K24:L25"/>
    <mergeCell ref="G18:I19"/>
    <mergeCell ref="J18:J19"/>
    <mergeCell ref="K18:L19"/>
    <mergeCell ref="B20:E21"/>
    <mergeCell ref="G20:I21"/>
    <mergeCell ref="J20:J21"/>
    <mergeCell ref="K20:L21"/>
    <mergeCell ref="A14:A25"/>
    <mergeCell ref="B14:E15"/>
    <mergeCell ref="G14:I15"/>
    <mergeCell ref="J14:J15"/>
    <mergeCell ref="K14:L15"/>
    <mergeCell ref="B16:E17"/>
    <mergeCell ref="G16:I17"/>
    <mergeCell ref="J16:J17"/>
    <mergeCell ref="K16:L17"/>
    <mergeCell ref="B18:E19"/>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5" operator="equal" stopIfTrue="1">
      <formula>"C"</formula>
    </cfRule>
    <cfRule type="cellIs" priority="2" dxfId="41" operator="equal" stopIfTrue="1">
      <formula>"B2"</formula>
    </cfRule>
    <cfRule type="cellIs" priority="3" dxfId="4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r:id="rId2"/>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gflores</cp:lastModifiedBy>
  <cp:lastPrinted>2016-02-23T13:43:37Z</cp:lastPrinted>
  <dcterms:created xsi:type="dcterms:W3CDTF">2008-11-20T16:06:13Z</dcterms:created>
  <dcterms:modified xsi:type="dcterms:W3CDTF">2016-02-23T13:55:19Z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