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C:\INSTITUCIONAL\MIS DOCUMENTOS\CCE\INFORMES A CCE\TABLEROS DE MANDO\Tablero de Mando TB 2018\"/>
    </mc:Choice>
  </mc:AlternateContent>
  <xr:revisionPtr revIDLastSave="0" documentId="13_ncr:1_{09F7C8EA-7E06-43E8-8E3C-F9E3253977BE}" xr6:coauthVersionLast="43" xr6:coauthVersionMax="43" xr10:uidLastSave="{00000000-0000-0000-0000-000000000000}"/>
  <bookViews>
    <workbookView xWindow="-120" yWindow="-120" windowWidth="29040" windowHeight="15840" tabRatio="718" activeTab="4" xr2:uid="{00000000-000D-0000-FFFF-FFFF00000000}"/>
  </bookViews>
  <sheets>
    <sheet name="Menú" sheetId="1" r:id="rId1"/>
    <sheet name="Lista de indicadores" sheetId="2" r:id="rId2"/>
    <sheet name="Introducción de datos" sheetId="3" r:id="rId3"/>
    <sheet name="Hoja1" sheetId="11" state="hidden" r:id="rId4"/>
    <sheet name="Información de la subvención" sheetId="4" r:id="rId5"/>
    <sheet name="Financiamiento" sheetId="5" r:id="rId6"/>
    <sheet name="Gestión" sheetId="6" r:id="rId7"/>
    <sheet name="Programatico" sheetId="7" r:id="rId8"/>
    <sheet name="Recomendaciones" sheetId="8" r:id="rId9"/>
    <sheet name="Acciones" sheetId="9" r:id="rId10"/>
    <sheet name="Setup" sheetId="10" state="hidden" r:id="rId11"/>
  </sheets>
  <externalReferences>
    <externalReference r:id="rId12"/>
  </externalReferences>
  <definedNames>
    <definedName name="__xlfn_COMPOUNDVALUE">NA()</definedName>
    <definedName name="__xlfn_CUBEKPIMEMBER">NA()</definedName>
    <definedName name="__xlfn_CUBEMEMBER">NA()</definedName>
    <definedName name="__xlfn_CUBERANKEDMEMBER">NA()</definedName>
    <definedName name="__xlfn_CUBESET">NA()</definedName>
    <definedName name="__xlfn_CUBEVALUE">NA()</definedName>
    <definedName name="__xlnm.Print_Area" localSheetId="9">Acciones!$A$1:$L$43</definedName>
    <definedName name="__xlnm.Print_Area" localSheetId="5">Financiamiento!$A$2:$L$31</definedName>
    <definedName name="__xlnm.Print_Area" localSheetId="6">Gestión!$A$1:$L$31</definedName>
    <definedName name="__xlnm.Print_Area" localSheetId="4">'Información de la subvención'!$A$1:$K$15</definedName>
    <definedName name="__xlnm.Print_Area" localSheetId="2">'Introducción de datos'!$A$1:$Q$157</definedName>
    <definedName name="__xlnm.Print_Area" localSheetId="7">Programatico!$A$1:$Q$23</definedName>
    <definedName name="Afganistán" localSheetId="0">#NAME?</definedName>
    <definedName name="Afganistán">Countries</definedName>
    <definedName name="_xlnm.Print_Area" localSheetId="9">Acciones!$A$1:$L$43</definedName>
    <definedName name="_xlnm.Print_Area" localSheetId="5">Financiamiento!$A$2:$L$31</definedName>
    <definedName name="_xlnm.Print_Area" localSheetId="6">Gestión!$A$1:$L$31</definedName>
    <definedName name="_xlnm.Print_Area" localSheetId="4">'Información de la subvención'!$A$1:$K$15</definedName>
    <definedName name="_xlnm.Print_Area" localSheetId="2">'Introducción de datos'!$A$1:$Q$157</definedName>
    <definedName name="_xlnm.Print_Area" localSheetId="7">Programatico!$A$1:$Q$23</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datos'!$B$25:$J$76</definedName>
    <definedName name="PrintDataM">'Introducción de datos'!$B$78:$H$124</definedName>
    <definedName name="PrintF">Financiamiento!$A$2:$K$31</definedName>
    <definedName name="PrintGD">'Información de la subvención'!$A$2:$J$13</definedName>
    <definedName name="PrintM" localSheetId="9">Acciones!$A$2:$L$6</definedName>
    <definedName name="PrintM">Gestión!$A$2:$L$33</definedName>
    <definedName name="PrintP">Programatico!$A$2:$P$23</definedName>
    <definedName name="PrintR">Recomendaciones!$A$2:$N$41</definedName>
    <definedName name="Rating">Setup!$G$9:$G$14</definedName>
    <definedName name="Round">Setup!$D$9:$D$21</definedName>
  </definedNames>
  <calcPr calcId="181029"/>
</workbook>
</file>

<file path=xl/calcChain.xml><?xml version="1.0" encoding="utf-8"?>
<calcChain xmlns="http://schemas.openxmlformats.org/spreadsheetml/2006/main">
  <c r="D47" i="3" l="1"/>
  <c r="D46" i="3"/>
  <c r="D45" i="3"/>
  <c r="D44" i="3"/>
  <c r="D43" i="3"/>
  <c r="D42" i="3"/>
  <c r="D41" i="3"/>
  <c r="D40" i="3"/>
  <c r="D39" i="3"/>
  <c r="E57" i="3"/>
  <c r="D57" i="3"/>
  <c r="C57" i="3"/>
  <c r="C56" i="3"/>
  <c r="C55" i="3"/>
  <c r="D55" i="3"/>
  <c r="E55" i="3" s="1"/>
  <c r="D54" i="3" l="1"/>
  <c r="C63" i="3" l="1"/>
  <c r="C66" i="3" l="1"/>
  <c r="C65" i="3"/>
  <c r="C64" i="3"/>
  <c r="C62" i="3"/>
  <c r="C61" i="3"/>
  <c r="C60" i="3"/>
  <c r="C54" i="3" l="1"/>
  <c r="C58" i="3" s="1"/>
  <c r="D58" i="3" s="1"/>
  <c r="C47" i="3"/>
  <c r="C46" i="3"/>
  <c r="C45" i="3"/>
  <c r="C44" i="3"/>
  <c r="C43" i="3"/>
  <c r="C42" i="3"/>
  <c r="C40" i="3"/>
  <c r="C39" i="3"/>
  <c r="F20" i="7" l="1"/>
  <c r="E20" i="7"/>
  <c r="F23" i="7"/>
  <c r="E23" i="7"/>
  <c r="E22" i="7"/>
  <c r="F22" i="7"/>
  <c r="E21" i="7"/>
  <c r="F21" i="7"/>
  <c r="J150" i="3"/>
  <c r="J151" i="3"/>
  <c r="J152" i="3"/>
  <c r="J153" i="3"/>
  <c r="J154" i="3"/>
  <c r="J155" i="3"/>
  <c r="D49" i="3" l="1"/>
  <c r="B2" i="9"/>
  <c r="B3" i="9"/>
  <c r="C3" i="9"/>
  <c r="J3" i="9"/>
  <c r="L3" i="9"/>
  <c r="B4" i="9"/>
  <c r="C4" i="9"/>
  <c r="E4" i="9"/>
  <c r="J4" i="9"/>
  <c r="L4" i="9"/>
  <c r="D5" i="9"/>
  <c r="K5" i="9"/>
  <c r="L5" i="9"/>
  <c r="B34" i="9"/>
  <c r="B36" i="9"/>
  <c r="B2" i="5"/>
  <c r="B3" i="5"/>
  <c r="C3" i="5"/>
  <c r="I3" i="5"/>
  <c r="K3" i="5"/>
  <c r="B4" i="5"/>
  <c r="C4" i="5"/>
  <c r="E4" i="5"/>
  <c r="I4" i="5"/>
  <c r="K4" i="5"/>
  <c r="D5" i="5"/>
  <c r="J5" i="5"/>
  <c r="K5" i="5"/>
  <c r="H27" i="5"/>
  <c r="J27" i="5"/>
  <c r="K27" i="5"/>
  <c r="H28" i="5"/>
  <c r="J28" i="5"/>
  <c r="K28" i="5"/>
  <c r="H29" i="5"/>
  <c r="J29" i="5"/>
  <c r="K29" i="5"/>
  <c r="B2" i="6"/>
  <c r="B3" i="6"/>
  <c r="C3" i="6"/>
  <c r="J3" i="6"/>
  <c r="L3" i="6"/>
  <c r="B4" i="6"/>
  <c r="C4" i="6"/>
  <c r="E4" i="6"/>
  <c r="J4" i="6"/>
  <c r="L4" i="6"/>
  <c r="D5" i="6"/>
  <c r="K5" i="6"/>
  <c r="L5" i="6"/>
  <c r="B26" i="6"/>
  <c r="H30" i="6"/>
  <c r="I30" i="6"/>
  <c r="E119" i="3"/>
  <c r="G119" i="3" s="1"/>
  <c r="I119" i="3" s="1"/>
  <c r="K30" i="6"/>
  <c r="B31" i="6"/>
  <c r="I31" i="6"/>
  <c r="E120" i="3"/>
  <c r="G120" i="3" s="1"/>
  <c r="I120" i="3" s="1"/>
  <c r="K31" i="6"/>
  <c r="I32" i="6"/>
  <c r="E121" i="3"/>
  <c r="G121" i="3" s="1"/>
  <c r="I121" i="3" s="1"/>
  <c r="K32" i="6"/>
  <c r="I33" i="6"/>
  <c r="E122" i="3"/>
  <c r="G122" i="3" s="1"/>
  <c r="I122" i="3" s="1"/>
  <c r="K33" i="6"/>
  <c r="I34" i="6"/>
  <c r="E123" i="3"/>
  <c r="G123" i="3" s="1"/>
  <c r="I123" i="3" s="1"/>
  <c r="K34" i="6"/>
  <c r="B3" i="4"/>
  <c r="B6" i="4"/>
  <c r="F6" i="4"/>
  <c r="B9" i="4"/>
  <c r="D9" i="4"/>
  <c r="G9" i="4"/>
  <c r="I9" i="4"/>
  <c r="B10" i="4"/>
  <c r="D10" i="4"/>
  <c r="G10" i="4"/>
  <c r="B11" i="4"/>
  <c r="D11" i="4"/>
  <c r="G11" i="4"/>
  <c r="I11" i="4"/>
  <c r="B12" i="4"/>
  <c r="G12" i="4"/>
  <c r="B13" i="4"/>
  <c r="G13" i="4"/>
  <c r="C33" i="3"/>
  <c r="P29" i="3" s="1"/>
  <c r="B31" i="3"/>
  <c r="B32" i="3"/>
  <c r="P32" i="3"/>
  <c r="P51" i="3"/>
  <c r="N35" i="3"/>
  <c r="P33" i="3"/>
  <c r="C34" i="3"/>
  <c r="D33" i="3" s="1"/>
  <c r="P34" i="3"/>
  <c r="F35" i="3"/>
  <c r="G35" i="3"/>
  <c r="H35" i="3"/>
  <c r="I35" i="3"/>
  <c r="K35" i="3"/>
  <c r="L35" i="3"/>
  <c r="M35" i="3"/>
  <c r="P35" i="3"/>
  <c r="C38" i="3"/>
  <c r="D38" i="3"/>
  <c r="C49" i="3"/>
  <c r="P52" i="3"/>
  <c r="E53" i="3"/>
  <c r="O53" i="3"/>
  <c r="E54" i="3"/>
  <c r="E58" i="3" s="1"/>
  <c r="E56" i="3"/>
  <c r="P59" i="3"/>
  <c r="E60" i="3"/>
  <c r="E61" i="3"/>
  <c r="E62" i="3"/>
  <c r="E63" i="3"/>
  <c r="E64" i="3"/>
  <c r="E65" i="3"/>
  <c r="E66" i="3"/>
  <c r="H83" i="3"/>
  <c r="H84" i="3"/>
  <c r="E90" i="3"/>
  <c r="E100" i="3"/>
  <c r="E101" i="3"/>
  <c r="C107" i="3"/>
  <c r="C110" i="3" s="1"/>
  <c r="E110" i="3" s="1"/>
  <c r="F110" i="3" s="1"/>
  <c r="C109" i="3"/>
  <c r="D109" i="3" s="1"/>
  <c r="E109" i="3" s="1"/>
  <c r="F109" i="3" s="1"/>
  <c r="L109" i="3"/>
  <c r="M109" i="3" s="1"/>
  <c r="N109" i="3" s="1"/>
  <c r="L110" i="3"/>
  <c r="M110" i="3" s="1"/>
  <c r="N110" i="3" s="1"/>
  <c r="C111" i="3"/>
  <c r="D111" i="3" s="1"/>
  <c r="E111" i="3" s="1"/>
  <c r="F111" i="3" s="1"/>
  <c r="L111" i="3"/>
  <c r="M111" i="3" s="1"/>
  <c r="N111" i="3" s="1"/>
  <c r="E124" i="3"/>
  <c r="G124" i="3" s="1"/>
  <c r="I124" i="3" s="1"/>
  <c r="K124" i="3" s="1"/>
  <c r="H149" i="3"/>
  <c r="I149" i="3"/>
  <c r="J149" i="3"/>
  <c r="K149" i="3"/>
  <c r="L149" i="3"/>
  <c r="M149" i="3"/>
  <c r="N149" i="3"/>
  <c r="O149" i="3"/>
  <c r="P149" i="3"/>
  <c r="Q149" i="3"/>
  <c r="B150" i="3"/>
  <c r="E150" i="3"/>
  <c r="F150" i="3"/>
  <c r="H150" i="3"/>
  <c r="I150" i="3"/>
  <c r="K150" i="3"/>
  <c r="L150" i="3"/>
  <c r="M150" i="3"/>
  <c r="N150" i="3"/>
  <c r="O150" i="3"/>
  <c r="P150" i="3"/>
  <c r="Q150" i="3"/>
  <c r="H151" i="3"/>
  <c r="I151" i="3"/>
  <c r="K151" i="3"/>
  <c r="L151" i="3"/>
  <c r="M151" i="3"/>
  <c r="N151" i="3"/>
  <c r="O151" i="3"/>
  <c r="P151" i="3"/>
  <c r="Q151" i="3"/>
  <c r="B152" i="3"/>
  <c r="E152" i="3"/>
  <c r="F152" i="3"/>
  <c r="H152" i="3"/>
  <c r="I152" i="3"/>
  <c r="K152" i="3"/>
  <c r="L152" i="3"/>
  <c r="M152" i="3"/>
  <c r="N152" i="3"/>
  <c r="O152" i="3"/>
  <c r="P152" i="3"/>
  <c r="Q152" i="3"/>
  <c r="H153" i="3"/>
  <c r="I153" i="3"/>
  <c r="K153" i="3"/>
  <c r="L153" i="3"/>
  <c r="M153" i="3"/>
  <c r="N153" i="3"/>
  <c r="O153" i="3"/>
  <c r="P153" i="3"/>
  <c r="Q153" i="3"/>
  <c r="B154" i="3"/>
  <c r="E154" i="3"/>
  <c r="F154" i="3"/>
  <c r="H154" i="3"/>
  <c r="I154" i="3"/>
  <c r="K154" i="3"/>
  <c r="L154" i="3"/>
  <c r="M154" i="3"/>
  <c r="N154" i="3"/>
  <c r="O154" i="3"/>
  <c r="P154" i="3"/>
  <c r="Q154" i="3"/>
  <c r="H155" i="3"/>
  <c r="I155" i="3"/>
  <c r="K155" i="3"/>
  <c r="L155" i="3"/>
  <c r="M155" i="3"/>
  <c r="N155" i="3"/>
  <c r="O155" i="3"/>
  <c r="P155" i="3"/>
  <c r="Q155" i="3"/>
  <c r="B2" i="2"/>
  <c r="B8" i="2"/>
  <c r="B9" i="2"/>
  <c r="B10" i="2"/>
  <c r="B11" i="2"/>
  <c r="B19" i="2"/>
  <c r="B20" i="2"/>
  <c r="B21" i="2"/>
  <c r="B22" i="2"/>
  <c r="B23" i="2"/>
  <c r="B25" i="2"/>
  <c r="B2" i="1"/>
  <c r="B4" i="1"/>
  <c r="H4" i="1"/>
  <c r="B2" i="7"/>
  <c r="B3" i="7"/>
  <c r="C3" i="7"/>
  <c r="O3" i="7"/>
  <c r="Q3" i="7"/>
  <c r="B4" i="7"/>
  <c r="C4" i="7"/>
  <c r="E4" i="7"/>
  <c r="P4" i="7"/>
  <c r="Q4" i="7"/>
  <c r="D5" i="7"/>
  <c r="P5" i="7"/>
  <c r="Q5" i="7"/>
  <c r="B8" i="7"/>
  <c r="F8" i="7"/>
  <c r="L8" i="7"/>
  <c r="B21" i="7"/>
  <c r="G21" i="7"/>
  <c r="S21" i="7"/>
  <c r="U21" i="7"/>
  <c r="V21" i="7"/>
  <c r="W21" i="7"/>
  <c r="AA21" i="7"/>
  <c r="AB21" i="7"/>
  <c r="AC21" i="7"/>
  <c r="AD21" i="7"/>
  <c r="AE21" i="7"/>
  <c r="B22" i="7"/>
  <c r="G22" i="7"/>
  <c r="S22" i="7"/>
  <c r="T22" i="7"/>
  <c r="U22" i="7"/>
  <c r="V22" i="7"/>
  <c r="W22" i="7"/>
  <c r="Y22" i="7"/>
  <c r="Z22" i="7"/>
  <c r="AB22" i="7" s="1"/>
  <c r="B23" i="7"/>
  <c r="G23" i="7"/>
  <c r="S23" i="7"/>
  <c r="T23" i="7"/>
  <c r="U23" i="7"/>
  <c r="V23" i="7"/>
  <c r="W23" i="7"/>
  <c r="Y23" i="7"/>
  <c r="Z23" i="7"/>
  <c r="AB23" i="7" s="1"/>
  <c r="AD23" i="7"/>
  <c r="B2" i="8"/>
  <c r="B3" i="8"/>
  <c r="C3" i="8"/>
  <c r="L3" i="8"/>
  <c r="M3" i="8"/>
  <c r="B4" i="8"/>
  <c r="C4" i="8"/>
  <c r="E4" i="8"/>
  <c r="L4" i="8"/>
  <c r="M4" i="8"/>
  <c r="E5" i="8"/>
  <c r="L5" i="8"/>
  <c r="M5" i="8"/>
  <c r="D11" i="8"/>
  <c r="D12" i="8"/>
  <c r="D13" i="8"/>
  <c r="D14" i="8"/>
  <c r="D19" i="8"/>
  <c r="D20" i="8"/>
  <c r="E20" i="8"/>
  <c r="F20" i="8"/>
  <c r="D21" i="8"/>
  <c r="D22" i="8"/>
  <c r="D23" i="8"/>
  <c r="D24" i="8"/>
  <c r="D29" i="8"/>
  <c r="D30" i="8"/>
  <c r="D31" i="8"/>
  <c r="D32" i="8"/>
  <c r="D33" i="8"/>
  <c r="D34" i="8"/>
  <c r="D35" i="8"/>
  <c r="D36" i="8"/>
  <c r="D37" i="8"/>
  <c r="D38" i="8"/>
  <c r="D39" i="8"/>
  <c r="D40" i="8"/>
  <c r="D41" i="8"/>
  <c r="B3" i="10"/>
  <c r="B7" i="6" l="1"/>
  <c r="C35" i="3"/>
  <c r="K49" i="3"/>
  <c r="O8" i="5"/>
  <c r="B22" i="5"/>
  <c r="H15" i="6"/>
  <c r="AE23" i="7"/>
  <c r="AA22" i="7"/>
  <c r="D34" i="3"/>
  <c r="P30" i="3"/>
  <c r="AA23" i="7"/>
  <c r="AE22" i="7"/>
  <c r="AD22" i="7"/>
  <c r="J33" i="6"/>
  <c r="K122" i="3"/>
  <c r="L33" i="6" s="1"/>
  <c r="J34" i="6"/>
  <c r="K123" i="3"/>
  <c r="L34" i="6" s="1"/>
  <c r="J32" i="6"/>
  <c r="K121" i="3"/>
  <c r="L32" i="6" s="1"/>
  <c r="J31" i="6"/>
  <c r="K120" i="3"/>
  <c r="L31" i="6" s="1"/>
  <c r="K119" i="3"/>
  <c r="L30" i="6" s="1"/>
  <c r="J30" i="6"/>
  <c r="B15" i="6"/>
  <c r="H8" i="5"/>
  <c r="AC23" i="7"/>
  <c r="AC22" i="7"/>
  <c r="J35" i="3"/>
  <c r="H26" i="6"/>
  <c r="H7" i="6"/>
  <c r="H22" i="5"/>
  <c r="B8" i="5"/>
  <c r="D35" i="3" l="1"/>
  <c r="E33" i="3"/>
  <c r="E34" i="3" l="1"/>
  <c r="P31" i="3"/>
  <c r="E35" i="3"/>
  <c r="F4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83" authorId="0" shapeId="0" xr:uid="{00000000-0006-0000-0200-000001000000}">
      <text>
        <r>
          <rPr>
            <b/>
            <sz val="8"/>
            <color indexed="32"/>
            <rFont val="Tahoma"/>
            <family val="2"/>
            <charset val="1"/>
          </rPr>
          <t xml:space="preserve">Si los datos no están disponibles, no introduzca ceros; deje las celdas de la tabla en blanco. </t>
        </r>
      </text>
    </comment>
    <comment ref="B84" authorId="0" shapeId="0" xr:uid="{00000000-0006-0000-0200-000002000000}">
      <text>
        <r>
          <rPr>
            <b/>
            <sz val="8"/>
            <color indexed="32"/>
            <rFont val="Tahoma"/>
            <family val="2"/>
            <charset val="1"/>
          </rPr>
          <t>Si los datos no están disponibles, no introduzca ceros; deje las celdas de esta tabla en blanco.</t>
        </r>
      </text>
    </comment>
  </commentList>
</comments>
</file>

<file path=xl/sharedStrings.xml><?xml version="1.0" encoding="utf-8"?>
<sst xmlns="http://schemas.openxmlformats.org/spreadsheetml/2006/main" count="506" uniqueCount="372">
  <si>
    <t>Indicadores Financieros</t>
  </si>
  <si>
    <t>Nombre:</t>
  </si>
  <si>
    <t>Definición</t>
  </si>
  <si>
    <t>Mediciones</t>
  </si>
  <si>
    <t>Fuentes de información</t>
  </si>
  <si>
    <r>
      <t xml:space="preserve">Presupuesto acumulado: </t>
    </r>
    <r>
      <rPr>
        <sz val="11"/>
        <color indexed="8"/>
        <rFont val="Arial"/>
        <family val="2"/>
        <charset val="1"/>
      </rPr>
      <t xml:space="preserve">Importe del presupuesto de la subvención desde el periodo uno (trimestral, cuatrimestral o semestral) de la fase actual, hasta el periodo de referencia del cuadro de mando inclusive.
</t>
    </r>
    <r>
      <rPr>
        <b/>
        <sz val="11"/>
        <color indexed="8"/>
        <rFont val="Arial"/>
        <family val="2"/>
        <charset val="1"/>
      </rPr>
      <t xml:space="preserve">Desembolsos acumulados realizados por el Fondo Mundial: </t>
    </r>
    <r>
      <rPr>
        <sz val="11"/>
        <color indexed="8"/>
        <rFont val="Arial"/>
        <family val="2"/>
        <charset val="1"/>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</si>
  <si>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</si>
  <si>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</si>
  <si>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charset val="1"/>
      </rPr>
      <t xml:space="preserve"> Suma del presupuesto de la subvención por Objetivo, desde el periodo uno de la fase actual hasta el periodo de referencia del cuadro de mando inclusive. 
</t>
    </r>
    <r>
      <rPr>
        <b/>
        <sz val="11"/>
        <color indexed="8"/>
        <rFont val="Arial"/>
        <family val="2"/>
        <charset val="1"/>
      </rPr>
      <t>Gasto acumulado por objetivo:</t>
    </r>
    <r>
      <rPr>
        <sz val="11"/>
        <color indexed="8"/>
        <rFont val="Arial"/>
        <family val="2"/>
        <charset val="1"/>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</si>
  <si>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</si>
  <si>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charset val="1"/>
      </rPr>
      <t xml:space="preserve"> Suma de las cantidades transferidas por el Fondo Mundial al RP o abonadas directamente a los proveedores (p. ej. medicamentos, equipo, mosquiteras), hasta, </t>
    </r>
    <r>
      <rPr>
        <b/>
        <i/>
        <sz val="11"/>
        <color indexed="8"/>
        <rFont val="Arial"/>
        <family val="2"/>
        <charset val="1"/>
      </rPr>
      <t>aunque sin incluirlo,</t>
    </r>
    <r>
      <rPr>
        <sz val="11"/>
        <color indexed="8"/>
        <rFont val="Arial"/>
        <family val="2"/>
        <charset val="1"/>
      </rPr>
      <t xml:space="preserve"> el periodo de referencia del cuadro de mando. </t>
    </r>
    <r>
      <rPr>
        <b/>
        <sz val="11"/>
        <color indexed="8"/>
        <rFont val="Arial"/>
        <family val="2"/>
        <charset val="1"/>
      </rPr>
      <t>Desembolso realizado por el Fondo Mundial: Periodo de referencia:</t>
    </r>
    <r>
      <rPr>
        <sz val="11"/>
        <color indexed="8"/>
        <rFont val="Arial"/>
        <family val="2"/>
        <charset val="1"/>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charset val="1"/>
      </rPr>
      <t>Desembolsos y gastos del RP:</t>
    </r>
    <r>
      <rPr>
        <sz val="11"/>
        <color indexed="8"/>
        <rFont val="Arial"/>
        <family val="2"/>
        <charset val="1"/>
      </rPr>
      <t xml:space="preserve"> </t>
    </r>
    <r>
      <rPr>
        <b/>
        <sz val="11"/>
        <color indexed="8"/>
        <rFont val="Arial"/>
        <family val="2"/>
        <charset val="1"/>
      </rPr>
      <t>Antes de este periodo de referencia:</t>
    </r>
    <r>
      <rPr>
        <sz val="11"/>
        <color indexed="8"/>
        <rFont val="Arial"/>
        <family val="2"/>
        <charset val="1"/>
      </rPr>
      <t xml:space="preserve"> Total de fondos registrados como gastados por el RP y/o desembolsados a los subreceptores hasta, </t>
    </r>
    <r>
      <rPr>
        <b/>
        <i/>
        <sz val="11"/>
        <color indexed="8"/>
        <rFont val="Arial"/>
        <family val="2"/>
        <charset val="1"/>
      </rPr>
      <t xml:space="preserve">aunque sin incluirlo, </t>
    </r>
    <r>
      <rPr>
        <sz val="11"/>
        <color indexed="8"/>
        <rFont val="Arial"/>
        <family val="2"/>
        <charset val="1"/>
      </rPr>
      <t>el periodo de referencia del cuadro de mando.</t>
    </r>
    <r>
      <rPr>
        <b/>
        <sz val="11"/>
        <color indexed="8"/>
        <rFont val="Arial"/>
        <family val="2"/>
        <charset val="1"/>
      </rPr>
      <t xml:space="preserve"> Desembolsos y gastos del RP: Periodo de referencia:</t>
    </r>
    <r>
      <rPr>
        <sz val="11"/>
        <color indexed="8"/>
        <rFont val="Arial"/>
        <family val="2"/>
        <charset val="1"/>
      </rPr>
      <t xml:space="preserve"> Total de fondos registrados como gastados por el RP y/o desembolsados a los subreceptores durante el periodo de referencia del cuadro de mando.
</t>
    </r>
    <r>
      <rPr>
        <b/>
        <sz val="11"/>
        <color indexed="8"/>
        <rFont val="Arial"/>
        <family val="2"/>
        <charset val="1"/>
      </rPr>
      <t xml:space="preserve">Desembolsos a los subreceptores: Antes de este periodo de referencia: </t>
    </r>
    <r>
      <rPr>
        <sz val="11"/>
        <color indexed="8"/>
        <rFont val="Arial"/>
        <family val="2"/>
        <charset val="1"/>
      </rPr>
      <t xml:space="preserve">El importe total transferido por el RP a los subreceptores, hasta, </t>
    </r>
    <r>
      <rPr>
        <b/>
        <i/>
        <sz val="11"/>
        <color indexed="8"/>
        <rFont val="Arial"/>
        <family val="2"/>
        <charset val="1"/>
      </rPr>
      <t>aunque sin incluirlo,</t>
    </r>
    <r>
      <rPr>
        <sz val="11"/>
        <color indexed="8"/>
        <rFont val="Arial"/>
        <family val="2"/>
        <charset val="1"/>
      </rPr>
      <t xml:space="preserve"> el periodo de referencia del cuadro de mando. </t>
    </r>
    <r>
      <rPr>
        <b/>
        <sz val="11"/>
        <color indexed="8"/>
        <rFont val="Arial"/>
        <family val="2"/>
        <charset val="1"/>
      </rPr>
      <t xml:space="preserve">Desembolsos a los subreceptores: Periodo de referencia: </t>
    </r>
    <r>
      <rPr>
        <sz val="11"/>
        <color indexed="8"/>
        <rFont val="Arial"/>
        <family val="2"/>
        <charset val="1"/>
      </rPr>
      <t xml:space="preserve">El importe total transferido por el RP a los subreceptores en el periodo de referencia del cuadro de mando.
</t>
    </r>
    <r>
      <rPr>
        <b/>
        <sz val="11"/>
        <color indexed="8"/>
        <rFont val="Arial"/>
        <family val="2"/>
        <charset val="1"/>
      </rPr>
      <t xml:space="preserve">Gastos de los subreceptores: Antes de este periodo de referencia: </t>
    </r>
    <r>
      <rPr>
        <sz val="11"/>
        <color indexed="8"/>
        <rFont val="Arial"/>
        <family val="2"/>
        <charset val="1"/>
      </rPr>
      <t xml:space="preserve">El importe de todos los gastos registrados por los subreceptores, hasta, </t>
    </r>
    <r>
      <rPr>
        <b/>
        <i/>
        <sz val="11"/>
        <color indexed="8"/>
        <rFont val="Arial"/>
        <family val="2"/>
        <charset val="1"/>
      </rPr>
      <t>aunque sin incluirlo,</t>
    </r>
    <r>
      <rPr>
        <sz val="11"/>
        <color indexed="8"/>
        <rFont val="Arial"/>
        <family val="2"/>
        <charset val="1"/>
      </rPr>
      <t xml:space="preserve"> el periodo de referencia del cuadro de mando. </t>
    </r>
    <r>
      <rPr>
        <b/>
        <sz val="11"/>
        <color indexed="8"/>
        <rFont val="Arial"/>
        <family val="2"/>
        <charset val="1"/>
      </rPr>
      <t>Gastos de los subreceptores: Periodo de referencia:</t>
    </r>
    <r>
      <rPr>
        <sz val="11"/>
        <color indexed="8"/>
        <rFont val="Arial"/>
        <family val="2"/>
        <charset val="1"/>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</si>
  <si>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charset val="1"/>
      </rPr>
      <t>aunque sin incluirlo,</t>
    </r>
    <r>
      <rPr>
        <sz val="11"/>
        <color indexed="8"/>
        <rFont val="Arial"/>
        <family val="2"/>
        <charset val="1"/>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</si>
  <si>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</si>
  <si>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charset val="1"/>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charset val="1"/>
      </rPr>
      <t xml:space="preserve">Días que el desembolso ha tardado en llegar al RP – </t>
    </r>
    <r>
      <rPr>
        <sz val="11"/>
        <color indexed="8"/>
        <rFont val="Arial"/>
        <family val="2"/>
        <charset val="1"/>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charset val="1"/>
      </rPr>
      <t xml:space="preserve">Días que el desembolso ha tardado en llegar a los subreceptores – </t>
    </r>
    <r>
      <rPr>
        <sz val="11"/>
        <color indexed="8"/>
        <rFont val="Arial"/>
        <family val="2"/>
        <charset val="1"/>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</si>
  <si>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charset val="1"/>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</si>
  <si>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</si>
  <si>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</si>
  <si>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</si>
  <si>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charset val="1"/>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</si>
  <si>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</si>
  <si>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</si>
  <si>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charset val="1"/>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</si>
  <si>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</si>
  <si>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</si>
  <si>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charset val="1"/>
      </rPr>
      <t xml:space="preserve">Identificados: </t>
    </r>
    <r>
      <rPr>
        <sz val="11"/>
        <color indexed="8"/>
        <rFont val="Arial"/>
        <family val="2"/>
        <charset val="1"/>
      </rPr>
      <t xml:space="preserve">Número total de subreceptores potenciales identificados por el RP para la fase. </t>
    </r>
    <r>
      <rPr>
        <b/>
        <sz val="11"/>
        <color indexed="8"/>
        <rFont val="Arial"/>
        <family val="2"/>
        <charset val="1"/>
      </rPr>
      <t xml:space="preserve">Evaluados: </t>
    </r>
    <r>
      <rPr>
        <sz val="11"/>
        <color indexed="8"/>
        <rFont val="Arial"/>
        <family val="2"/>
        <charset val="1"/>
      </rPr>
      <t xml:space="preserve">Número total de subreceptores potenciales evaluados por el RP para determinar si cumplen los requisitos para actuar como subreceptores de la subvención. </t>
    </r>
    <r>
      <rPr>
        <b/>
        <sz val="11"/>
        <color indexed="8"/>
        <rFont val="Arial"/>
        <family val="2"/>
        <charset val="1"/>
      </rPr>
      <t>Aprobados:</t>
    </r>
    <r>
      <rPr>
        <sz val="11"/>
        <color indexed="8"/>
        <rFont val="Arial"/>
        <family val="2"/>
        <charset val="1"/>
      </rPr>
      <t xml:space="preserve"> Número total de subreceptores que han sido aprobados</t>
    </r>
    <r>
      <rPr>
        <b/>
        <sz val="11"/>
        <color indexed="8"/>
        <rFont val="Arial"/>
        <family val="2"/>
        <charset val="1"/>
      </rPr>
      <t xml:space="preserve">. Firmados: </t>
    </r>
    <r>
      <rPr>
        <sz val="11"/>
        <color indexed="8"/>
        <rFont val="Arial"/>
        <family val="2"/>
        <charset val="1"/>
      </rPr>
      <t xml:space="preserve">Número total de subreceptores que han firmado acuerdos o contratos con el RP en relación a la subvención. </t>
    </r>
    <r>
      <rPr>
        <b/>
        <sz val="11"/>
        <color indexed="8"/>
        <rFont val="Arial"/>
        <family val="2"/>
        <charset val="1"/>
      </rPr>
      <t xml:space="preserve">Que reciben financiación: </t>
    </r>
    <r>
      <rPr>
        <sz val="11"/>
        <color indexed="8"/>
        <rFont val="Arial"/>
        <family val="2"/>
        <charset val="1"/>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charset val="1"/>
      </rPr>
      <t>no</t>
    </r>
    <r>
      <rPr>
        <sz val="11"/>
        <color indexed="8"/>
        <rFont val="Arial"/>
        <family val="2"/>
        <charset val="1"/>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</si>
  <si>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</si>
  <si>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</si>
  <si>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</si>
  <si>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charset val="1"/>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</si>
  <si>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</si>
  <si>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charset val="1"/>
      </rPr>
      <t xml:space="preserve">aprobado: </t>
    </r>
    <r>
      <rPr>
        <sz val="11"/>
        <color indexed="8"/>
        <rFont val="Arial"/>
        <family val="2"/>
        <charset val="1"/>
      </rPr>
      <t xml:space="preserve">Presupuesto total aprobado para las compras (categorías 4 y 5) </t>
    </r>
    <r>
      <rPr>
        <b/>
        <i/>
        <sz val="11"/>
        <color indexed="8"/>
        <rFont val="Arial"/>
        <family val="2"/>
        <charset val="1"/>
      </rPr>
      <t>para la fase completa</t>
    </r>
    <r>
      <rPr>
        <i/>
        <sz val="11"/>
        <color indexed="8"/>
        <rFont val="Arial"/>
        <family val="2"/>
        <charset val="1"/>
      </rPr>
      <t xml:space="preserve"> </t>
    </r>
    <r>
      <rPr>
        <sz val="11"/>
        <color indexed="8"/>
        <rFont val="Arial"/>
        <family val="2"/>
        <charset val="1"/>
      </rPr>
      <t xml:space="preserve">de la subvención. No incluye las sumas para honorarios, gastos de gestión, gastos operativos, etc.
</t>
    </r>
    <r>
      <rPr>
        <b/>
        <sz val="11"/>
        <color indexed="8"/>
        <rFont val="Arial"/>
        <family val="2"/>
        <charset val="1"/>
      </rPr>
      <t>Obligaciones acumuladas:</t>
    </r>
    <r>
      <rPr>
        <sz val="11"/>
        <color indexed="8"/>
        <rFont val="Arial"/>
        <family val="2"/>
        <charset val="1"/>
      </rPr>
      <t xml:space="preserve"> Total de todos los pedidos realizados y sumas de dinero comprometidas para estas compras por parte del RP </t>
    </r>
    <r>
      <rPr>
        <b/>
        <i/>
        <sz val="11"/>
        <color indexed="8"/>
        <rFont val="Arial"/>
        <family val="2"/>
        <charset val="1"/>
      </rPr>
      <t xml:space="preserve">hasta </t>
    </r>
    <r>
      <rPr>
        <sz val="11"/>
        <color indexed="8"/>
        <rFont val="Arial"/>
        <family val="2"/>
        <charset val="1"/>
      </rPr>
      <t xml:space="preserve">el periodo de referencia del cuadro de mando inclusive. Lo ideal es que, al final de la fase, el presupuesto iguale a las obligaciones.
</t>
    </r>
    <r>
      <rPr>
        <b/>
        <sz val="11"/>
        <color indexed="8"/>
        <rFont val="Arial"/>
        <family val="2"/>
        <charset val="1"/>
      </rPr>
      <t>Gasto acumulado:</t>
    </r>
    <r>
      <rPr>
        <sz val="11"/>
        <color indexed="8"/>
        <rFont val="Arial"/>
        <family val="2"/>
        <charset val="1"/>
      </rPr>
      <t xml:space="preserve"> Total del gasto real en las categorías 4 y 5 </t>
    </r>
    <r>
      <rPr>
        <b/>
        <i/>
        <sz val="11"/>
        <color indexed="8"/>
        <rFont val="Arial"/>
        <family val="2"/>
        <charset val="1"/>
      </rPr>
      <t>hasta</t>
    </r>
    <r>
      <rPr>
        <sz val="11"/>
        <color indexed="8"/>
        <rFont val="Arial"/>
        <family val="2"/>
        <charset val="1"/>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</si>
  <si>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</si>
  <si>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</si>
  <si>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charset val="1"/>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</si>
  <si>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</si>
  <si>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</si>
  <si>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</si>
  <si>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</si>
  <si>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</si>
  <si>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</si>
  <si>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</si>
  <si>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</si>
  <si>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</si>
  <si>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</si>
  <si>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</si>
  <si>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</si>
  <si>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Financiamiento al PENM TB 2016 - 2020</t>
  </si>
  <si>
    <t>Subvención nº:</t>
  </si>
  <si>
    <t xml:space="preserve">SLV-T-MOH </t>
  </si>
  <si>
    <t>Componente:</t>
  </si>
  <si>
    <t>TB</t>
  </si>
  <si>
    <t>Financiación total:</t>
  </si>
  <si>
    <t>Receptor Principal:</t>
  </si>
  <si>
    <t xml:space="preserve">Ministerio de Salud </t>
  </si>
  <si>
    <t>Fecha de inicio (dd/mm/aa):</t>
  </si>
  <si>
    <t>Agente Local del Fondo:</t>
  </si>
  <si>
    <t>Grupo Jacobs</t>
  </si>
  <si>
    <t>Ultima calificación:</t>
  </si>
  <si>
    <t>B1</t>
  </si>
  <si>
    <t>Gerente de Cartera del Fondo:</t>
  </si>
  <si>
    <t>Jaime Briz de Felipe</t>
  </si>
  <si>
    <t>Periodo de referencia del que se informa</t>
  </si>
  <si>
    <t>Periodo:</t>
  </si>
  <si>
    <t>P2</t>
  </si>
  <si>
    <t>Desde:</t>
  </si>
  <si>
    <t>Hasta:</t>
  </si>
  <si>
    <t>Fecha de introducción de la información:</t>
  </si>
  <si>
    <t>Elaborado por:</t>
  </si>
  <si>
    <t>UAFM/UFE/MINSAL.</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</si>
  <si>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</si>
  <si>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</si>
  <si>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</si>
  <si>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</si>
  <si>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</si>
  <si>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</si>
  <si>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</si>
  <si>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</si>
  <si>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</si>
  <si>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</si>
  <si>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</si>
  <si>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P1</t>
  </si>
  <si>
    <t>P3</t>
  </si>
  <si>
    <t>P4</t>
  </si>
  <si>
    <t>P5</t>
  </si>
  <si>
    <t>P6</t>
  </si>
  <si>
    <t>P7</t>
  </si>
  <si>
    <t>P8</t>
  </si>
  <si>
    <t>P9</t>
  </si>
  <si>
    <t>P10</t>
  </si>
  <si>
    <t>P11</t>
  </si>
  <si>
    <t>P12</t>
  </si>
  <si>
    <t>Presupuesto acumulado</t>
  </si>
  <si>
    <t>Desembolsos  acumulados</t>
  </si>
  <si>
    <t>F2: Presupuesto y gastos reales por estrategias de la subvención anual</t>
  </si>
  <si>
    <t>Estrategias de la Subvención</t>
  </si>
  <si>
    <t>1: Detección precoz de casos de tuberculosis</t>
  </si>
  <si>
    <t>2: Tratamiento de casos TB de todas las formas</t>
  </si>
  <si>
    <t>3: Detección de casos TB/MDR</t>
  </si>
  <si>
    <t>4: Tratamiento de casos TB/MDR</t>
  </si>
  <si>
    <t>5: Disminución de la mortalidad por TB/VIH</t>
  </si>
  <si>
    <t>6: Atención integral a grupos de más alto riesgo</t>
  </si>
  <si>
    <t>7: Fortalecimiento al Sistema de Salud</t>
  </si>
  <si>
    <t>Monitoreo y Evaluación</t>
  </si>
  <si>
    <t>Planificación, Coordinación y Gerencia</t>
  </si>
  <si>
    <t>Total</t>
  </si>
  <si>
    <t>* Informe de avance semestral de gastos y el presupuesto es anual</t>
  </si>
  <si>
    <t>F3: Desembolsos y gastos</t>
  </si>
  <si>
    <t>Anterior al periodo de referencia</t>
  </si>
  <si>
    <t>Periodo de referencia actual</t>
  </si>
  <si>
    <t>Desembolsado por el FM al RP</t>
  </si>
  <si>
    <t>Saldo en caja</t>
  </si>
  <si>
    <t>F3a: Detalles Desembolsos y gastos</t>
  </si>
  <si>
    <t>Desembolsado a los Agentes de compra PLAN</t>
  </si>
  <si>
    <t>Gasto de RP MINSAL</t>
  </si>
  <si>
    <t>Gastos de los Agentes de Compra PNUD</t>
  </si>
  <si>
    <t xml:space="preserve">Gastos de los Agentes de Compra  PLAN </t>
  </si>
  <si>
    <t>Gastos de los Agentes de Compra OPS</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</si>
  <si>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</si>
  <si>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</si>
  <si>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</si>
  <si>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</si>
  <si>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</si>
  <si>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</si>
  <si>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Días que el desembolso ha tardado en llegar a los agentes de compra</t>
  </si>
  <si>
    <t>Información de gestión:</t>
  </si>
  <si>
    <t xml:space="preserve">     Introduzca los datos de gestión en todas las celdas azules.</t>
  </si>
  <si>
    <t>M1: Estado de las condiciones precedentes y acciones con fecha límite</t>
  </si>
  <si>
    <t>Para el periodo</t>
  </si>
  <si>
    <t>Cumplidas</t>
  </si>
  <si>
    <t>No cumplidas, aunque dentro de plazo</t>
  </si>
  <si>
    <t>No cumplidas y con el plazo vencido</t>
  </si>
  <si>
    <t>Condiciones precedentes</t>
  </si>
  <si>
    <t>Acciones con fecha límite*</t>
  </si>
  <si>
    <t>* Carta de Retroalimentación recibida del 29 Septiembre 2017</t>
  </si>
  <si>
    <t>M2: Estado de los principales puestos directivos del RP</t>
  </si>
  <si>
    <t>Planificados</t>
  </si>
  <si>
    <t>Cubiertos</t>
  </si>
  <si>
    <t>Vacantes</t>
  </si>
  <si>
    <t>Unidad de gestión de proyecto</t>
  </si>
  <si>
    <t>M3: Acuerdos contractuales</t>
  </si>
  <si>
    <t>Identificados</t>
  </si>
  <si>
    <t>Evaluados</t>
  </si>
  <si>
    <t>Aprobados</t>
  </si>
  <si>
    <t>Firmados</t>
  </si>
  <si>
    <t>Que reciben financiación</t>
  </si>
  <si>
    <t>Subreceptores</t>
  </si>
  <si>
    <t>N/A</t>
  </si>
  <si>
    <t>M4: Número de informes completos recibidos a tiempo</t>
  </si>
  <si>
    <t>Esperados</t>
  </si>
  <si>
    <t>Recibidos</t>
  </si>
  <si>
    <t>Pendientes</t>
  </si>
  <si>
    <t>Sub SR al SR</t>
  </si>
  <si>
    <t>Personal Técnico al RP</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</si>
  <si>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</si>
  <si>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</si>
  <si>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</si>
  <si>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</si>
  <si>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</si>
  <si>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</si>
  <si>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</si>
  <si>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</si>
  <si>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</si>
  <si>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</si>
  <si>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</si>
  <si>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</si>
  <si>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</si>
  <si>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</si>
  <si>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</si>
  <si>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</si>
  <si>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</si>
  <si>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</si>
  <si>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</si>
  <si>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PASER</t>
  </si>
  <si>
    <t>Cicloserina 250mg</t>
  </si>
  <si>
    <t>Kanamicina 1gr</t>
  </si>
  <si>
    <t>Etionamida 250mg</t>
  </si>
  <si>
    <t>Levofloxacina</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</si>
  <si>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</si>
  <si>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</si>
  <si>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</si>
  <si>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</si>
  <si>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</si>
  <si>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</si>
  <si>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</si>
  <si>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</si>
  <si>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</si>
  <si>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t xml:space="preserve">MDR TB-other1: Número y porcentaje de pacientes sospechosos de tuberculosis resistente a los fármacos (RR-TB y / o MDR-TB) que se sometieron a pruebas de sensibilidad </t>
  </si>
  <si>
    <t>MDR TB-other2: Número y porcentaje de casos de TB resistentes a los medicamentos (TB-RR y / o MDR-TB) confirmados durante el último año calendario que están en tratamiento de segunda línea</t>
  </si>
  <si>
    <t>La tabla se actualiza de forma automática. No debe introducirse aquí ningún dato o información.</t>
  </si>
  <si>
    <t>Fecha de inicio:</t>
  </si>
  <si>
    <t>Financiación total</t>
  </si>
  <si>
    <t>Convocatoria:</t>
  </si>
  <si>
    <t>Fase:</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</si>
  <si>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</si>
  <si>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</si>
  <si>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</si>
  <si>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</si>
  <si>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</si>
  <si>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</si>
  <si>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</si>
  <si>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</si>
  <si>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</si>
  <si>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</si>
  <si>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</si>
  <si>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 xml:space="preserve">Se ha cumplido con los informes presentados de forma oportuna, asi como el FM a enviado los desembolsos de forma anticipado. </t>
  </si>
  <si>
    <t>Último desembolso de fondos: Días calendario</t>
  </si>
  <si>
    <t>Condiciones precedentes cumplidas</t>
  </si>
  <si>
    <t>Meta cumplida</t>
  </si>
  <si>
    <t>No hay sub receptores</t>
  </si>
  <si>
    <t>Adquisición a traves del Fondo Estrategico OPS.</t>
  </si>
  <si>
    <t>Los productos enlistados son medicamentos antituberculosis de segunda linea,es importante hacer mención que estos son adquiridos con financiamiento del Estado como compromiso de contrapartida.
Los medicamentos que se denotan como desabastecidos ha sido porque se han utilizado otros generico familiar ejemplo de ello la Ciprofloxacina por Levofloxacina y la Gentamicina por Amikacina, medicamnetos que son adquiridos por financiamiento del estado, el paciente no se ha encontrado sin su medicación.
Otros productos son medicamentos para tratamiento de reacciones adversas a farmacos antituberculosis (RAFA) los cuales estan en tramite de compra y de ingreso a bodega en proximas fechas.</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</si>
  <si>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</si>
  <si>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</si>
  <si>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</si>
  <si>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</si>
  <si>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</si>
  <si>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</si>
  <si>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</si>
  <si>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</si>
  <si>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</si>
  <si>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</si>
  <si>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</si>
  <si>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</si>
  <si>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</si>
  <si>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</si>
  <si>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</si>
  <si>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Comentarios resumidos</t>
  </si>
  <si>
    <t>Recomendaciones</t>
  </si>
  <si>
    <t>M1</t>
  </si>
  <si>
    <t>M2</t>
  </si>
  <si>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</si>
  <si>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</si>
  <si>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</si>
  <si>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</si>
  <si>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</si>
  <si>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</si>
  <si>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</si>
  <si>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</si>
  <si>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</si>
  <si>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</si>
  <si>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</si>
  <si>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</si>
  <si>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</si>
  <si>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</si>
  <si>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</si>
  <si>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</si>
  <si>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</si>
  <si>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</si>
  <si>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</si>
  <si>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</si>
  <si>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</si>
  <si>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</si>
  <si>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</si>
  <si>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</si>
  <si>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</si>
  <si>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</si>
  <si>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</si>
  <si>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</si>
  <si>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</si>
  <si>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</si>
  <si>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</si>
  <si>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</si>
  <si>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</si>
  <si>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</si>
  <si>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</si>
  <si>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</si>
  <si>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</si>
  <si>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</si>
  <si>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</si>
  <si>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</si>
  <si>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A1</t>
  </si>
  <si>
    <t>CA (Crown Agents)</t>
  </si>
  <si>
    <t>Antigua y Barbuda</t>
  </si>
  <si>
    <t>MALARIA</t>
  </si>
  <si>
    <t>€</t>
  </si>
  <si>
    <t>Ronda 2</t>
  </si>
  <si>
    <t>Fase 2</t>
  </si>
  <si>
    <t>A2</t>
  </si>
  <si>
    <t>DEL (Deloitte)</t>
  </si>
  <si>
    <t>Antillas Holandesas</t>
  </si>
  <si>
    <t>Ronda 3</t>
  </si>
  <si>
    <t>RCC</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</si>
  <si>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</si>
  <si>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</si>
  <si>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</si>
  <si>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</si>
  <si>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</si>
  <si>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</si>
  <si>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</si>
  <si>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</si>
  <si>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</si>
  <si>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</si>
  <si>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</si>
  <si>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</si>
  <si>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</si>
  <si>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</si>
  <si>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</si>
  <si>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</si>
  <si>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</si>
  <si>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</si>
  <si>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</si>
  <si>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</si>
  <si>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</si>
  <si>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</si>
  <si>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</si>
  <si>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</si>
  <si>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</si>
  <si>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Ronda 9</t>
  </si>
  <si>
    <t>PwC (PricewaterhouseCoopers)</t>
  </si>
  <si>
    <t>AZT</t>
  </si>
  <si>
    <t>Bolivia</t>
  </si>
  <si>
    <t>Ronda 10</t>
  </si>
  <si>
    <t xml:space="preserve">STI (Swiss Tropical Institute), </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</si>
  <si>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</si>
  <si>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</si>
  <si>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</si>
  <si>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</si>
  <si>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</si>
  <si>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</si>
  <si>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</si>
  <si>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</si>
  <si>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</si>
  <si>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</si>
  <si>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</si>
  <si>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</si>
  <si>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</si>
  <si>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</si>
  <si>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</si>
  <si>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</si>
  <si>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</si>
  <si>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</si>
  <si>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</si>
  <si>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</si>
  <si>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</si>
  <si>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</si>
  <si>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</si>
  <si>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</si>
  <si>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</si>
  <si>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</si>
  <si>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</si>
  <si>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</si>
  <si>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</si>
  <si>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</si>
  <si>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</si>
  <si>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</si>
  <si>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</si>
  <si>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</si>
  <si>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</si>
  <si>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</si>
  <si>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</si>
  <si>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</si>
  <si>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</si>
  <si>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</si>
  <si>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</si>
  <si>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Desembolsado compras OPS</t>
  </si>
  <si>
    <t>Desembolsado compras  PNUD</t>
  </si>
  <si>
    <r>
      <t xml:space="preserve">*  Meta lograda y superando la proyección. El PNTYER reporta para el período de Enero a Diciembre 2018 un total de 3,615 casos de tuberculosis de todas las formas registrados en la PCT - 5 a nivel nacional (incluye casos nuevos y recaídas); con una tasa de 54.4  por 100,000 habitantes para una población estimada para el año 2018 de 6,643,359. Del total de casos de TB de todas las formas, Centros Penales reporta para el periodo 2,006 casos, el ISSS reporta 442 casos y MINSAL 1,167 casos.
* La incidencia aumento en la meta proyectada para el año, debido a la mayor inversión en pruebas moleculares, aumento de recursos humanos en el interior de CP y a la deteccion mas precoz de los casos; es importante agregar que el fortalecmiento a las  estrategias de utilización de los métodos de diagnosticos actualizados a población de alto riesgo (Pacientes con Enfermedades Crónicas como Diabetes, Hipertensión, Insuficiencia Renal, entre otros); además de la colaboración de las APP (Centros Penales y Seguridad Social) han sido de importancia para superar la meta proyectada.
* Este incremento es el resultado de la mayor participación del sector salud, el fortalecimiento de las estrategias, incorporación de nuevos métodos diagnósticos,  así como el apoyo del Fondo Mundial que ha incrementado  la capacidad instalada en el primer nivel de atención con el equipamiento de microscopios para la Red de laboratorios del MINSAL para facilitar el diagnóstico de tuberculosis, con acceso a cultivo,  microscopia y pruebas moleculares a población de alto riesgo, principalmente en áreas y municipios que concentran población de mayor riesgo y vulnerabilidad.
</t>
    </r>
    <r>
      <rPr>
        <b/>
        <i/>
        <sz val="10"/>
        <color indexed="8"/>
        <rFont val="Calibri"/>
        <family val="2"/>
        <charset val="1"/>
      </rPr>
      <t xml:space="preserve">
* Fuente : PUDR_TB2018_El Salvador_remitido a FM 19 Marzo 2019.</t>
    </r>
  </si>
  <si>
    <t>TCP-1(M): Número de casos notificados de todas las formas de TB (i.e. confirmados bacteriológicamente y con diagnóstico clínico) incluye casos nuevos y recaídas</t>
  </si>
  <si>
    <t>DOTS-2b: Porcentaje de casos de tuberculosis confirmados bacteriológicamente que se han tratado con éxito (curados y con tratamiento completo) entre los casos de tuberculosis confirmados bacteriológicamente y registrados durante un período especificado</t>
  </si>
  <si>
    <r>
      <t xml:space="preserve">* En la cohorte de resultados de tratamiento de casos nuevos bacteriológicamente confirmados durante el año 2017 se obtuvo un éxito de tratamiento del 91.04% de todos aquellos casos que se curaron y completaron tratamiento.
* Meta alcanzada y superada; El éxito de este indicador es debido a que existe acceso y cobertura para el tratamiento oportuno en los diferentes establecimientos de salud, que a pesar del desabastecimiento a nivel mundial de Rifampicina, el país no dejo de brindar el tratamiento a los pacientes con TB (el país realizo gestión de prestamo de medicamentos a paises amigos como República Dominicana, Honduras entre otros quienes facilitaron los insumos); de igual manera  por compromiso intersectorial en el interior de CP no se dejo de brindar TAES.
* Es de hacer mención del alto compromiso del personal de salud operativo de SIBASI, de las Regiones del MINSAL, así como del personal del ISSS y Centros Penales, los cuales brindan el seguimiento y administración estricto de los tratamientos antifimicos, siguiendo los lineamientos y normativas nacionales de tratamiento, así como el seguimiento y monitoreo al buen llenado de los instrumentos de recolección de datos. Es de importancia mencionar que existe compromiso gerencial de las autoridades del MINSAL para continuar priorizando el trabajo en prevenciòn y control de la TB.
</t>
    </r>
    <r>
      <rPr>
        <b/>
        <i/>
        <sz val="10"/>
        <color indexed="8"/>
        <rFont val="Calibri"/>
        <family val="2"/>
        <charset val="1"/>
      </rPr>
      <t xml:space="preserve">
* Fuente : PUDR_TB2018_El Salvador_remitido a FM 19 Marzo 2019.</t>
    </r>
  </si>
  <si>
    <r>
      <t xml:space="preserve">*Meta cumplida. 
* Del total de pacientes sospechosos de TB-RR y TB-MDR que ascienden a 539 (recaídas, fracasos, pérdidas en el seguimiento, no negativizan al segundo mes de tratamiento). Se les realizó PSD a un total de 524 de pacientes sospechosos lo que corresponde a un 97.21 %. al relacionar la meta propuesta contra lo realizado en el periodo podemos observar que el numero de casos detectados fue mayor, así que la proporcion de pacientes sospechosos de tuberculosis resistente a los fármacos (RR-TB y / o MDR-TB) que se sometieron a pruebas de sensibilidad farmacologica es del 108% (97.21 / 90).
* Este exito se debe a la supervision continua por parte del PNTYER al laboratorio nacional de referencia de donde es tomada la base de datos nacional, en base a las recomendaciones realizadas por el comite de luz verde (GLC); de igual manera se ha mantenido la farmacovigilancia activa para detectar precozmente los casos resistentes en poblacion sospechosa y de riesgo
</t>
    </r>
    <r>
      <rPr>
        <b/>
        <i/>
        <sz val="10"/>
        <color indexed="8"/>
        <rFont val="Calibri"/>
        <family val="2"/>
        <charset val="1"/>
      </rPr>
      <t>* Fuente : PUDR_TB2018_El Salvador_remitido a FM 19 Marzo 2019.</t>
    </r>
  </si>
  <si>
    <r>
      <t xml:space="preserve">* Meta cumplida.
* Para el año 2018, se tuvo un total de 7 casos de TB - RR y TB - MDR confirmados, registrados, referidos e ingresados a la clinica nacional TB - MDR del centro nacional de referencia (Hospital Saldaña)  y que están en tratamiento de segunda línea, haciendo un porcentaje del 100% ((7/7)*100).
* Es importante mencionar que los pacientes reportados son unicamente aquellos que están registrados en la base de datos de la fuente primaria del Hospital Nacional de Referencia (Hospital Saldaña). La cual es la unica fuente de datos nacional a reportar para TB - RR y TB - MDR. Con el incremento del acceso a pruebas moleculares, se han aumentado significativamente el uso de estas en poblaciones sospechosas de farmacoresistencia, lo que llevo a una deteccion de 47 casos RR y 2 TB-MDR tamizados por el método de las proporciones, a los cuales en la clinica de resistencia del Hospital Saldaña se les hizo evaluacion clinica, radiologica y bacteriologica y cumpliendo el protocolo se instauro el  tratamiento de segunda linea a 7 y al resto tratamiento para TB sensibles y seguimiento bacteriologico.
</t>
    </r>
    <r>
      <rPr>
        <b/>
        <i/>
        <sz val="10"/>
        <color indexed="8"/>
        <rFont val="Calibri"/>
        <family val="2"/>
        <charset val="1"/>
      </rPr>
      <t xml:space="preserve">
* Fuente : PUDR_TB2018_El Salvador_remitido a FM 19 Marzo 2019.
</t>
    </r>
    <r>
      <rPr>
        <sz val="10"/>
        <color indexed="8"/>
        <rFont val="Calibri"/>
        <family val="2"/>
        <charset val="1"/>
      </rPr>
      <t/>
    </r>
  </si>
  <si>
    <t>El PNTYER reportó para el periodo un total de 3,615 casos de tuberculosis todas las formas de (incluye casos nuevos y recaídas) a nivel nacional, con una tasa de 54.4 por 100,000 habitantes para una población estimada del 2018 de 6,643,359</t>
  </si>
  <si>
    <t>En la cohorte de resultados de tratamiento de casos nuevos bacteriológicamente confirmados durante el año 2017 se obtuvo un éxito de tratamiento del 91.05% de todos aquellos casos que se curaron y completaron tratamiento.</t>
  </si>
  <si>
    <t>Del total de pacientes sospechosos de TB-RR y TB-MDR que ascienden a 539 (recaídas, fracasos, pérdidas en el seguimiento, no negativizan al segundo mes de tratamiento, etc). Se les realizó PSD a un total de 524 de pacientes sospechosos lo que corresponde a un 97.22%.</t>
  </si>
  <si>
    <t>El  Fondo Mundial desembolso al MINSAL el 100 % del presupuesto autorizado para los  año 2016, 2017 y 2018.</t>
  </si>
  <si>
    <t>La diferencia entre el presupuesto y los gastos se debe a que existen compromisos con proveedores que seran pagados durante el año 2019.</t>
  </si>
  <si>
    <t>Intereses percibidos en cuenta de ahorro 2017-2019</t>
  </si>
  <si>
    <t>Compromisos al 31 de Diciembre</t>
  </si>
  <si>
    <t xml:space="preserve">Gasto* </t>
  </si>
  <si>
    <t>En el año 2016-2018 se desembolso a PNUD  ($ 6,064,519.56):  de lo cual  gasto $5,247,129.01, con un  compromisos por $ 471,468.91 y una economia por $ 345,921.64.  En OPS se gasto  $ 1,085,088.54; en  Plan Internacional se gasto $160,869.32 y en el MINSAL se gasto la canidad de $ 1,795,527.70, un compromiso  de $ 255,178.03 y una economia de $ 589,731.67.      Obteniendose una economia total de $ 1,000,084.39</t>
  </si>
  <si>
    <t>Del 100%  que el FM desembolso  a diciembre 2018, se gasto el 82.75%, y un compromisos del 7.26% y un 9.99% de economia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</si>
</sst>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4" formatCode="_-&quot;$&quot;* #,##0.00_-;\-&quot;$&quot;* #,##0.00_-;_-&quot;$&quot;* &quot;-&quot;??_-;_-@_-"/>
    <numFmt numFmtId="164" formatCode="_([$€]* #,##0.00_);_([$€]* \(#,##0.00\);_([$€]* \-??_);_(@_)"/>
    <numFmt numFmtId="165" formatCode="_(* #,##0.00_);_(* \(#,##0.00\);_(* \-??_);_(@_)"/>
    <numFmt numFmtId="166" formatCode="_(\$* #,##0.00_);_(\$* \(#,##0.00\);_(\$* \-??_);_(@_)"/>
    <numFmt numFmtId="167" formatCode="d&quot; de &quot;mmm&quot; de &quot;yy"/>
    <numFmt numFmtId="168" formatCode="_(* #,##0_);_(* \(#,##0\);_(* \-??_);_(@_)"/>
    <numFmt numFmtId="169" formatCode="_([$$-440A]* #,##0.00_);_([$$-440A]* \(#,##0.00\);_([$$-440A]* \-??_);_(@_)"/>
    <numFmt numFmtId="170" formatCode="#.##0"/>
    <numFmt numFmtId="171" formatCode="_-* #,##0.00\ _€_-;\-* #,##0.00\ _€_-;_-* \-??\ _€_-;_-@_-"/>
    <numFmt numFmtId="172" formatCode="_ [$$-240A]\ * #,##0.00_ ;_ [$$-240A]\ * \-#,##0.00_ ;_ [$$-240A]\ * \-??_ ;_ @_ "/>
    <numFmt numFmtId="173" formatCode="#.##000"/>
    <numFmt numFmtId="174" formatCode="[$$-340A]\ #,##0.00"/>
    <numFmt numFmtId="175" formatCode="000%"/>
    <numFmt numFmtId="176" formatCode="[$$-240A]\ #,##0.00"/>
    <numFmt numFmtId="177" formatCode="000"/>
    <numFmt numFmtId="178" formatCode="[$$-340A]#,##0.00"/>
    <numFmt numFmtId="179" formatCode="#"/>
    <numFmt numFmtId="180" formatCode="0.0"/>
    <numFmt numFmtId="181" formatCode="#.00"/>
    <numFmt numFmtId="182" formatCode="#.##"/>
    <numFmt numFmtId="183" formatCode="0.0%"/>
    <numFmt numFmtId="184" formatCode="[$$-409]#,##0_);\([$$-409]#,##0\)"/>
    <numFmt numFmtId="185" formatCode="d/mmm/yyyy;@"/>
    <numFmt numFmtId="186" formatCode="dd/mm/yy\ hh:mm"/>
    <numFmt numFmtId="187" formatCode=";;;"/>
    <numFmt numFmtId="188" formatCode=";;;&quot;Financial Variance in %&quot;"/>
    <numFmt numFmtId="189" formatCode="0.000"/>
    <numFmt numFmtId="190" formatCode="_-[$$-2C0A]\ * #,##0.00_-;\-[$$-2C0A]\ * #,##0.00_-;_-[$$-2C0A]\ * &quot;-&quot;??_-;_-@_-"/>
    <numFmt numFmtId="191" formatCode="_-[$$-240A]\ * #,##0.00_-;\-[$$-240A]\ * #,##0.00_-;_-[$$-240A]\ * &quot;-&quot;??_-;_-@_-"/>
    <numFmt numFmtId="195" formatCode="#.#"/>
  </numFmts>
  <fonts count="113">
    <font>
      <sz val="11"/>
      <color indexed="8"/>
      <name val="Calibri"/>
      <family val="2"/>
      <charset val="1"/>
    </font>
    <font>
      <sz val="10"/>
      <name val="Arial"/>
      <family val="2"/>
      <charset val="1"/>
    </font>
    <font>
      <sz val="22"/>
      <color indexed="9"/>
      <name val="Calibri"/>
      <family val="2"/>
      <charset val="1"/>
    </font>
    <font>
      <sz val="28"/>
      <color indexed="9"/>
      <name val="Calibri"/>
      <family val="2"/>
      <charset val="1"/>
    </font>
    <font>
      <b/>
      <sz val="14"/>
      <color indexed="8"/>
      <name val="Calibri"/>
      <family val="2"/>
      <charset val="1"/>
    </font>
    <font>
      <b/>
      <sz val="16"/>
      <color indexed="8"/>
      <name val="Calibri"/>
      <family val="2"/>
      <charset val="1"/>
    </font>
    <font>
      <b/>
      <sz val="18"/>
      <color indexed="8"/>
      <name val="Calibri"/>
      <family val="2"/>
      <charset val="1"/>
    </font>
    <font>
      <sz val="16"/>
      <color indexed="8"/>
      <name val="Calibri"/>
      <family val="2"/>
      <charset val="1"/>
    </font>
    <font>
      <b/>
      <sz val="12"/>
      <color indexed="8"/>
      <name val="Arial"/>
      <family val="2"/>
      <charset val="1"/>
    </font>
    <font>
      <b/>
      <sz val="11"/>
      <color indexed="8"/>
      <name val="Arial"/>
      <family val="2"/>
      <charset val="1"/>
    </font>
    <font>
      <sz val="11"/>
      <color indexed="8"/>
      <name val="Arial"/>
      <family val="2"/>
      <charset val="1"/>
    </font>
    <font>
      <b/>
      <i/>
      <sz val="11"/>
      <color indexed="8"/>
      <name val="Arial"/>
      <family val="2"/>
      <charset val="1"/>
    </font>
    <font>
      <sz val="11"/>
      <color indexed="53"/>
      <name val="Calibri"/>
      <family val="2"/>
      <charset val="1"/>
    </font>
    <font>
      <i/>
      <sz val="11"/>
      <color indexed="8"/>
      <name val="Arial"/>
      <family val="2"/>
      <charset val="1"/>
    </font>
    <font>
      <sz val="11"/>
      <name val="Arial"/>
      <family val="2"/>
      <charset val="1"/>
    </font>
    <font>
      <b/>
      <sz val="14"/>
      <color indexed="19"/>
      <name val="Calibri"/>
      <family val="2"/>
      <charset val="1"/>
    </font>
    <font>
      <b/>
      <sz val="11"/>
      <color indexed="8"/>
      <name val="Calibri"/>
      <family val="2"/>
      <charset val="1"/>
    </font>
    <font>
      <b/>
      <sz val="12"/>
      <color indexed="8"/>
      <name val="Calibri"/>
      <family val="2"/>
      <charset val="1"/>
    </font>
    <font>
      <b/>
      <sz val="12"/>
      <name val="Arial"/>
      <family val="2"/>
      <charset val="1"/>
    </font>
    <font>
      <sz val="14"/>
      <color indexed="9"/>
      <name val="Calibri"/>
      <family val="2"/>
      <charset val="1"/>
    </font>
    <font>
      <sz val="16"/>
      <color indexed="9"/>
      <name val="Calibri"/>
      <family val="2"/>
      <charset val="1"/>
    </font>
    <font>
      <i/>
      <sz val="11"/>
      <color indexed="8"/>
      <name val="Calibri"/>
      <family val="2"/>
      <charset val="1"/>
    </font>
    <font>
      <sz val="11"/>
      <color indexed="9"/>
      <name val="Calibri"/>
      <family val="2"/>
      <charset val="1"/>
    </font>
    <font>
      <i/>
      <sz val="9"/>
      <color indexed="8"/>
      <name val="Calibri"/>
      <family val="2"/>
      <charset val="1"/>
    </font>
    <font>
      <b/>
      <sz val="14"/>
      <color indexed="60"/>
      <name val="Calibri"/>
      <family val="2"/>
      <charset val="1"/>
    </font>
    <font>
      <b/>
      <sz val="11"/>
      <color indexed="60"/>
      <name val="Calibri"/>
      <family val="2"/>
      <charset val="1"/>
    </font>
    <font>
      <sz val="11"/>
      <color indexed="12"/>
      <name val="Calibri"/>
      <family val="2"/>
      <charset val="1"/>
    </font>
    <font>
      <b/>
      <i/>
      <sz val="11"/>
      <color indexed="8"/>
      <name val="Calibri"/>
      <family val="2"/>
      <charset val="1"/>
    </font>
    <font>
      <b/>
      <sz val="10"/>
      <color indexed="8"/>
      <name val="Calibri"/>
      <family val="2"/>
      <charset val="1"/>
    </font>
    <font>
      <sz val="10"/>
      <color indexed="8"/>
      <name val="Calibri"/>
      <family val="2"/>
      <charset val="1"/>
    </font>
    <font>
      <b/>
      <sz val="11"/>
      <color indexed="16"/>
      <name val="Calibri"/>
      <family val="2"/>
      <charset val="1"/>
    </font>
    <font>
      <sz val="11"/>
      <color indexed="60"/>
      <name val="Calibri"/>
      <family val="2"/>
      <charset val="1"/>
    </font>
    <font>
      <sz val="11"/>
      <color indexed="16"/>
      <name val="Calibri"/>
      <family val="2"/>
      <charset val="1"/>
    </font>
    <font>
      <b/>
      <sz val="10"/>
      <color indexed="16"/>
      <name val="Calibri"/>
      <family val="2"/>
      <charset val="1"/>
    </font>
    <font>
      <sz val="10"/>
      <color indexed="60"/>
      <name val="Calibri"/>
      <family val="2"/>
      <charset val="1"/>
    </font>
    <font>
      <b/>
      <sz val="10"/>
      <color indexed="60"/>
      <name val="Calibri"/>
      <family val="2"/>
      <charset val="1"/>
    </font>
    <font>
      <sz val="11"/>
      <name val="Calibri"/>
      <family val="2"/>
      <charset val="1"/>
    </font>
    <font>
      <sz val="10"/>
      <name val="Calibri"/>
      <family val="2"/>
      <charset val="1"/>
    </font>
    <font>
      <b/>
      <sz val="14"/>
      <color indexed="40"/>
      <name val="Calibri"/>
      <family val="2"/>
      <charset val="1"/>
    </font>
    <font>
      <b/>
      <sz val="14"/>
      <color indexed="44"/>
      <name val="Calibri"/>
      <family val="2"/>
      <charset val="1"/>
    </font>
    <font>
      <sz val="11"/>
      <color indexed="40"/>
      <name val="Calibri"/>
      <family val="2"/>
      <charset val="1"/>
    </font>
    <font>
      <b/>
      <sz val="11"/>
      <name val="Calibri"/>
      <family val="2"/>
      <charset val="1"/>
    </font>
    <font>
      <b/>
      <sz val="12"/>
      <color indexed="21"/>
      <name val="Calibri"/>
      <family val="2"/>
      <charset val="1"/>
    </font>
    <font>
      <i/>
      <sz val="11"/>
      <name val="Calibri"/>
      <family val="2"/>
      <charset val="1"/>
    </font>
    <font>
      <sz val="8"/>
      <color indexed="8"/>
      <name val="Calibri"/>
      <family val="2"/>
      <charset val="1"/>
    </font>
    <font>
      <b/>
      <sz val="11"/>
      <color indexed="53"/>
      <name val="Calibri"/>
      <family val="2"/>
      <charset val="1"/>
    </font>
    <font>
      <b/>
      <sz val="14"/>
      <color indexed="52"/>
      <name val="Calibri"/>
      <family val="2"/>
      <charset val="1"/>
    </font>
    <font>
      <b/>
      <sz val="14"/>
      <color indexed="51"/>
      <name val="Calibri"/>
      <family val="2"/>
      <charset val="1"/>
    </font>
    <font>
      <b/>
      <sz val="10"/>
      <color indexed="53"/>
      <name val="Calibri"/>
      <family val="2"/>
      <charset val="1"/>
    </font>
    <font>
      <b/>
      <sz val="11"/>
      <color indexed="52"/>
      <name val="Calibri"/>
      <family val="2"/>
      <charset val="1"/>
    </font>
    <font>
      <b/>
      <sz val="10"/>
      <name val="Arial"/>
      <family val="2"/>
      <charset val="1"/>
    </font>
    <font>
      <sz val="10"/>
      <color indexed="53"/>
      <name val="Arial"/>
      <family val="2"/>
      <charset val="1"/>
    </font>
    <font>
      <b/>
      <sz val="8"/>
      <color indexed="32"/>
      <name val="Tahoma"/>
      <family val="2"/>
      <charset val="1"/>
    </font>
    <font>
      <sz val="28"/>
      <name val="Calibri"/>
      <family val="2"/>
      <charset val="1"/>
    </font>
    <font>
      <sz val="12"/>
      <color indexed="8"/>
      <name val="Calibri"/>
      <family val="2"/>
      <charset val="1"/>
    </font>
    <font>
      <sz val="11"/>
      <color indexed="9"/>
      <name val="Arial"/>
      <family val="2"/>
      <charset val="1"/>
    </font>
    <font>
      <sz val="14"/>
      <color indexed="8"/>
      <name val="Calibri"/>
      <family val="2"/>
      <charset val="1"/>
    </font>
    <font>
      <sz val="10"/>
      <color indexed="9"/>
      <name val="Arial"/>
      <family val="2"/>
      <charset val="1"/>
    </font>
    <font>
      <sz val="12"/>
      <color indexed="9"/>
      <name val="Calibri"/>
      <family val="2"/>
      <charset val="1"/>
    </font>
    <font>
      <b/>
      <sz val="11"/>
      <color indexed="19"/>
      <name val="Calibri"/>
      <family val="2"/>
      <charset val="1"/>
    </font>
    <font>
      <sz val="11"/>
      <color indexed="59"/>
      <name val="Calibri"/>
      <family val="2"/>
      <charset val="1"/>
    </font>
    <font>
      <b/>
      <i/>
      <sz val="14"/>
      <color indexed="12"/>
      <name val="Calibri"/>
      <family val="2"/>
      <charset val="1"/>
    </font>
    <font>
      <b/>
      <sz val="9"/>
      <color indexed="8"/>
      <name val="Calibri"/>
      <family val="2"/>
      <charset val="1"/>
    </font>
    <font>
      <b/>
      <sz val="8"/>
      <name val="Calibri"/>
      <family val="2"/>
      <charset val="1"/>
    </font>
    <font>
      <b/>
      <sz val="8"/>
      <color indexed="8"/>
      <name val="Calibri"/>
      <family val="2"/>
      <charset val="1"/>
    </font>
    <font>
      <sz val="9"/>
      <color indexed="16"/>
      <name val="Calibri"/>
      <family val="2"/>
      <charset val="1"/>
    </font>
    <font>
      <sz val="7"/>
      <color indexed="16"/>
      <name val="Calibri"/>
      <family val="2"/>
      <charset val="1"/>
    </font>
    <font>
      <sz val="8"/>
      <name val="Calibri"/>
      <family val="2"/>
      <charset val="1"/>
    </font>
    <font>
      <sz val="12"/>
      <color indexed="53"/>
      <name val="Calibri"/>
      <family val="2"/>
      <charset val="1"/>
    </font>
    <font>
      <i/>
      <sz val="8"/>
      <color indexed="8"/>
      <name val="Calibri"/>
      <family val="2"/>
      <charset val="1"/>
    </font>
    <font>
      <sz val="11"/>
      <color indexed="29"/>
      <name val="Calibri"/>
      <family val="2"/>
      <charset val="1"/>
    </font>
    <font>
      <b/>
      <sz val="9"/>
      <name val="Calibri"/>
      <family val="2"/>
      <charset val="1"/>
    </font>
    <font>
      <b/>
      <i/>
      <sz val="10"/>
      <color indexed="8"/>
      <name val="Calibri"/>
      <family val="2"/>
      <charset val="1"/>
    </font>
    <font>
      <sz val="9"/>
      <color indexed="8"/>
      <name val="Verdana"/>
      <family val="2"/>
      <charset val="1"/>
    </font>
    <font>
      <b/>
      <sz val="10"/>
      <color indexed="63"/>
      <name val="Verdana"/>
      <family val="2"/>
      <charset val="1"/>
    </font>
    <font>
      <b/>
      <sz val="10"/>
      <name val="Verdana"/>
      <family val="2"/>
      <charset val="1"/>
    </font>
    <font>
      <sz val="8"/>
      <color indexed="8"/>
      <name val="Verdana"/>
      <family val="2"/>
      <charset val="1"/>
    </font>
    <font>
      <b/>
      <sz val="12"/>
      <color indexed="56"/>
      <name val="Tahoma"/>
      <family val="2"/>
      <charset val="1"/>
    </font>
    <font>
      <b/>
      <sz val="8"/>
      <name val="Tahoma"/>
      <family val="2"/>
      <charset val="1"/>
    </font>
    <font>
      <b/>
      <sz val="8"/>
      <color indexed="9"/>
      <name val="Tahoma"/>
      <family val="2"/>
      <charset val="1"/>
    </font>
    <font>
      <sz val="8"/>
      <name val="Webdings"/>
      <family val="1"/>
      <charset val="2"/>
    </font>
    <font>
      <sz val="10"/>
      <color indexed="8"/>
      <name val="Arial"/>
      <family val="2"/>
      <charset val="1"/>
    </font>
    <font>
      <sz val="7"/>
      <color indexed="43"/>
      <name val="Verdana"/>
      <family val="2"/>
      <charset val="1"/>
    </font>
    <font>
      <sz val="14"/>
      <name val="Calibri"/>
      <family val="2"/>
      <charset val="1"/>
    </font>
    <font>
      <sz val="9"/>
      <color indexed="8"/>
      <name val="Tahoma"/>
      <family val="2"/>
      <charset val="1"/>
    </font>
    <font>
      <sz val="11"/>
      <color indexed="8"/>
      <name val="Micro Line Charts 1.1"/>
      <family val="2"/>
      <charset val="1"/>
    </font>
    <font>
      <sz val="7"/>
      <color indexed="23"/>
      <name val="Verdana"/>
      <family val="2"/>
      <charset val="1"/>
    </font>
    <font>
      <sz val="10"/>
      <name val="Micro Bar Charts 1.1"/>
      <charset val="1"/>
    </font>
    <font>
      <sz val="9"/>
      <name val="Tahoma"/>
      <family val="2"/>
      <charset val="1"/>
    </font>
    <font>
      <sz val="8"/>
      <color indexed="63"/>
      <name val="Micro Bar Charts 1.1"/>
      <charset val="1"/>
    </font>
    <font>
      <b/>
      <sz val="8"/>
      <name val="Arial"/>
      <family val="2"/>
      <charset val="1"/>
    </font>
    <font>
      <b/>
      <sz val="8"/>
      <color indexed="56"/>
      <name val="Tahoma"/>
      <family val="2"/>
      <charset val="1"/>
    </font>
    <font>
      <b/>
      <sz val="8"/>
      <color indexed="9"/>
      <name val="Calibri"/>
      <family val="2"/>
      <charset val="1"/>
    </font>
    <font>
      <sz val="8"/>
      <color indexed="9"/>
      <name val="Arial"/>
      <family val="2"/>
      <charset val="1"/>
    </font>
    <font>
      <sz val="8"/>
      <color indexed="9"/>
      <name val="Tahoma"/>
      <family val="2"/>
      <charset val="1"/>
    </font>
    <font>
      <b/>
      <sz val="8"/>
      <color indexed="9"/>
      <name val="Verdana"/>
      <family val="2"/>
      <charset val="1"/>
    </font>
    <font>
      <b/>
      <sz val="10"/>
      <color indexed="8"/>
      <name val="Arial"/>
      <family val="2"/>
      <charset val="1"/>
    </font>
    <font>
      <b/>
      <sz val="10"/>
      <color indexed="16"/>
      <name val="Arial"/>
      <family val="2"/>
      <charset val="1"/>
    </font>
    <font>
      <sz val="11"/>
      <color indexed="16"/>
      <name val="Arial Black"/>
      <family val="2"/>
      <charset val="1"/>
    </font>
    <font>
      <b/>
      <sz val="14"/>
      <color indexed="16"/>
      <name val="Calibri"/>
      <family val="2"/>
      <charset val="1"/>
    </font>
    <font>
      <sz val="9"/>
      <color indexed="16"/>
      <name val="Verdana"/>
      <family val="2"/>
      <charset val="1"/>
    </font>
    <font>
      <b/>
      <sz val="10"/>
      <color indexed="16"/>
      <name val="Verdana"/>
      <family val="2"/>
      <charset val="1"/>
    </font>
    <font>
      <b/>
      <sz val="14"/>
      <color indexed="9"/>
      <name val="Calibri"/>
      <family val="2"/>
      <charset val="1"/>
    </font>
    <font>
      <sz val="10"/>
      <color indexed="59"/>
      <name val="Calibri"/>
      <family val="2"/>
      <charset val="1"/>
    </font>
    <font>
      <sz val="11"/>
      <color indexed="8"/>
      <name val="Calibri"/>
      <family val="2"/>
      <charset val="1"/>
    </font>
    <font>
      <sz val="9"/>
      <color indexed="8"/>
      <name val="Calibri"/>
      <family val="2"/>
      <charset val="1"/>
    </font>
    <font>
      <sz val="9"/>
      <color indexed="8"/>
      <name val="Calibri"/>
      <family val="2"/>
    </font>
    <font>
      <sz val="11"/>
      <color indexed="60"/>
      <name val="Calibri"/>
      <family val="2"/>
    </font>
    <font>
      <b/>
      <sz val="9"/>
      <name val="Calibri"/>
      <family val="2"/>
    </font>
    <font>
      <b/>
      <sz val="11"/>
      <name val="Calibri"/>
      <family val="2"/>
    </font>
    <font>
      <b/>
      <sz val="10.5"/>
      <name val="Calibri"/>
      <family val="2"/>
    </font>
    <font>
      <sz val="14"/>
      <color indexed="16"/>
      <name val="Calibri"/>
      <family val="2"/>
      <charset val="1"/>
    </font>
    <font>
      <sz val="14"/>
      <name val="Arial"/>
      <family val="2"/>
      <charset val="1"/>
    </font>
  </fonts>
  <fills count="18">
    <fill>
      <patternFill patternType="none"/>
    </fill>
    <fill>
      <patternFill patternType="gray125"/>
    </fill>
    <fill>
      <patternFill patternType="solid">
        <fgColor indexed="43"/>
        <bgColor indexed="34"/>
      </patternFill>
    </fill>
    <fill>
      <patternFill patternType="solid">
        <fgColor indexed="47"/>
        <bgColor indexed="31"/>
      </patternFill>
    </fill>
    <fill>
      <patternFill patternType="solid">
        <fgColor indexed="44"/>
        <bgColor indexed="35"/>
      </patternFill>
    </fill>
    <fill>
      <patternFill patternType="solid">
        <fgColor indexed="9"/>
        <bgColor indexed="26"/>
      </patternFill>
    </fill>
    <fill>
      <patternFill patternType="solid">
        <fgColor indexed="22"/>
        <bgColor indexed="46"/>
      </patternFill>
    </fill>
    <fill>
      <patternFill patternType="solid">
        <fgColor indexed="26"/>
        <bgColor indexed="9"/>
      </patternFill>
    </fill>
    <fill>
      <patternFill patternType="solid">
        <fgColor indexed="34"/>
        <bgColor indexed="43"/>
      </patternFill>
    </fill>
    <fill>
      <patternFill patternType="solid">
        <fgColor indexed="15"/>
        <bgColor indexed="40"/>
      </patternFill>
    </fill>
    <fill>
      <patternFill patternType="solid">
        <fgColor indexed="25"/>
        <bgColor indexed="61"/>
      </patternFill>
    </fill>
    <fill>
      <patternFill patternType="solid">
        <fgColor indexed="11"/>
        <bgColor indexed="49"/>
      </patternFill>
    </fill>
    <fill>
      <patternFill patternType="solid">
        <fgColor indexed="42"/>
        <bgColor indexed="27"/>
      </patternFill>
    </fill>
    <fill>
      <patternFill patternType="solid">
        <fgColor indexed="18"/>
        <bgColor indexed="56"/>
      </patternFill>
    </fill>
    <fill>
      <patternFill patternType="solid">
        <fgColor indexed="62"/>
        <bgColor indexed="56"/>
      </patternFill>
    </fill>
    <fill>
      <patternFill patternType="solid">
        <fgColor indexed="57"/>
        <bgColor indexed="38"/>
      </patternFill>
    </fill>
    <fill>
      <patternFill patternType="solid">
        <fgColor indexed="19"/>
        <bgColor indexed="29"/>
      </patternFill>
    </fill>
    <fill>
      <patternFill patternType="solid">
        <fgColor indexed="13"/>
        <bgColor indexed="51"/>
      </patternFill>
    </fill>
  </fills>
  <borders count="173">
    <border>
      <left/>
      <right/>
      <top/>
      <bottom/>
      <diagonal/>
    </border>
    <border>
      <left/>
      <right/>
      <top/>
      <bottom style="medium">
        <color indexed="30"/>
      </bottom>
      <diagonal/>
    </border>
    <border>
      <left style="thin">
        <color indexed="32"/>
      </left>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style="thin">
        <color indexed="32"/>
      </left>
      <right/>
      <top/>
      <bottom/>
      <diagonal/>
    </border>
    <border>
      <left/>
      <right/>
      <top/>
      <bottom style="medium">
        <color indexed="60"/>
      </bottom>
      <diagonal/>
    </border>
    <border>
      <left style="medium">
        <color indexed="60"/>
      </left>
      <right style="medium">
        <color indexed="60"/>
      </right>
      <top style="medium">
        <color indexed="60"/>
      </top>
      <bottom style="medium">
        <color indexed="60"/>
      </bottom>
      <diagonal/>
    </border>
    <border>
      <left style="medium">
        <color indexed="16"/>
      </left>
      <right style="thin">
        <color indexed="16"/>
      </right>
      <top style="thin">
        <color indexed="16"/>
      </top>
      <bottom style="thin">
        <color indexed="16"/>
      </bottom>
      <diagonal/>
    </border>
    <border>
      <left style="thin">
        <color indexed="16"/>
      </left>
      <right style="thin">
        <color indexed="16"/>
      </right>
      <top/>
      <bottom style="thin">
        <color indexed="16"/>
      </bottom>
      <diagonal/>
    </border>
    <border>
      <left style="medium">
        <color indexed="16"/>
      </left>
      <right style="thin">
        <color indexed="16"/>
      </right>
      <top/>
      <bottom style="thin">
        <color indexed="16"/>
      </bottom>
      <diagonal/>
    </border>
    <border>
      <left style="thin">
        <color indexed="16"/>
      </left>
      <right style="thin">
        <color indexed="16"/>
      </right>
      <top style="thin">
        <color indexed="16"/>
      </top>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thin">
        <color indexed="32"/>
      </left>
      <right style="thin">
        <color indexed="32"/>
      </right>
      <top style="thin">
        <color indexed="32"/>
      </top>
      <bottom style="medium">
        <color indexed="16"/>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thin">
        <color indexed="60"/>
      </right>
      <top/>
      <bottom/>
      <diagonal/>
    </border>
    <border>
      <left style="medium">
        <color indexed="60"/>
      </left>
      <right/>
      <top style="medium">
        <color indexed="60"/>
      </top>
      <bottom style="thin">
        <color indexed="32"/>
      </bottom>
      <diagonal/>
    </border>
    <border>
      <left style="thin">
        <color indexed="60"/>
      </left>
      <right style="thin">
        <color indexed="60"/>
      </right>
      <top style="medium">
        <color indexed="60"/>
      </top>
      <bottom style="thin">
        <color indexed="32"/>
      </bottom>
      <diagonal/>
    </border>
    <border>
      <left/>
      <right style="medium">
        <color indexed="60"/>
      </right>
      <top style="medium">
        <color indexed="60"/>
      </top>
      <bottom/>
      <diagonal/>
    </border>
    <border>
      <left style="medium">
        <color indexed="60"/>
      </left>
      <right style="thin">
        <color indexed="32"/>
      </right>
      <top style="thin">
        <color indexed="32"/>
      </top>
      <bottom/>
      <diagonal/>
    </border>
    <border>
      <left style="thin">
        <color indexed="58"/>
      </left>
      <right style="thin">
        <color indexed="58"/>
      </right>
      <top style="thin">
        <color indexed="58"/>
      </top>
      <bottom style="thin">
        <color indexed="58"/>
      </bottom>
      <diagonal/>
    </border>
    <border>
      <left style="medium">
        <color indexed="60"/>
      </left>
      <right style="thin">
        <color indexed="32"/>
      </right>
      <top style="thin">
        <color indexed="53"/>
      </top>
      <bottom style="thin">
        <color indexed="32"/>
      </bottom>
      <diagonal/>
    </border>
    <border>
      <left style="medium">
        <color indexed="60"/>
      </left>
      <right style="thin">
        <color indexed="32"/>
      </right>
      <top style="thin">
        <color indexed="32"/>
      </top>
      <bottom style="thin">
        <color indexed="32"/>
      </bottom>
      <diagonal/>
    </border>
    <border>
      <left style="thin">
        <color indexed="58"/>
      </left>
      <right style="thin">
        <color indexed="58"/>
      </right>
      <top/>
      <bottom style="thin">
        <color indexed="58"/>
      </bottom>
      <diagonal/>
    </border>
    <border>
      <left style="medium">
        <color indexed="60"/>
      </left>
      <right style="medium">
        <color indexed="60"/>
      </right>
      <top style="medium">
        <color indexed="60"/>
      </top>
      <bottom style="thin">
        <color indexed="32"/>
      </bottom>
      <diagonal/>
    </border>
    <border>
      <left/>
      <right/>
      <top style="thin">
        <color indexed="53"/>
      </top>
      <bottom/>
      <diagonal/>
    </border>
    <border>
      <left style="medium">
        <color indexed="16"/>
      </left>
      <right style="thin">
        <color indexed="32"/>
      </right>
      <top style="thin">
        <color indexed="32"/>
      </top>
      <bottom style="thin">
        <color indexed="32"/>
      </bottom>
      <diagonal/>
    </border>
    <border>
      <left style="thin">
        <color indexed="32"/>
      </left>
      <right style="medium">
        <color indexed="16"/>
      </right>
      <top style="thin">
        <color indexed="32"/>
      </top>
      <bottom style="thin">
        <color indexed="32"/>
      </bottom>
      <diagonal/>
    </border>
    <border>
      <left style="medium">
        <color indexed="32"/>
      </left>
      <right style="thin">
        <color indexed="32"/>
      </right>
      <top style="thin">
        <color indexed="32"/>
      </top>
      <bottom style="thin">
        <color indexed="32"/>
      </bottom>
      <diagonal/>
    </border>
    <border>
      <left style="medium">
        <color indexed="16"/>
      </left>
      <right style="thin">
        <color indexed="32"/>
      </right>
      <top style="thin">
        <color indexed="32"/>
      </top>
      <bottom style="medium">
        <color indexed="16"/>
      </bottom>
      <diagonal/>
    </border>
    <border>
      <left style="thin">
        <color indexed="32"/>
      </left>
      <right style="medium">
        <color indexed="16"/>
      </right>
      <top style="thin">
        <color indexed="32"/>
      </top>
      <bottom style="medium">
        <color indexed="16"/>
      </bottom>
      <diagonal/>
    </border>
    <border>
      <left/>
      <right style="thin">
        <color indexed="32"/>
      </right>
      <top/>
      <bottom/>
      <diagonal/>
    </border>
    <border>
      <left/>
      <right/>
      <top/>
      <bottom style="medium">
        <color indexed="12"/>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32"/>
      </left>
      <right style="thin">
        <color indexed="32"/>
      </right>
      <top style="medium">
        <color indexed="48"/>
      </top>
      <bottom style="thin">
        <color indexed="32"/>
      </bottom>
      <diagonal/>
    </border>
    <border>
      <left style="thin">
        <color indexed="32"/>
      </left>
      <right style="medium">
        <color indexed="48"/>
      </right>
      <top style="medium">
        <color indexed="48"/>
      </top>
      <bottom style="thin">
        <color indexed="32"/>
      </bottom>
      <diagonal/>
    </border>
    <border>
      <left style="medium">
        <color indexed="48"/>
      </left>
      <right style="thin">
        <color indexed="32"/>
      </right>
      <top style="thin">
        <color indexed="32"/>
      </top>
      <bottom style="thin">
        <color indexed="32"/>
      </bottom>
      <diagonal/>
    </border>
    <border>
      <left style="thin">
        <color indexed="32"/>
      </left>
      <right style="medium">
        <color indexed="48"/>
      </right>
      <top style="thin">
        <color indexed="32"/>
      </top>
      <bottom style="thin">
        <color indexed="32"/>
      </bottom>
      <diagonal/>
    </border>
    <border>
      <left style="medium">
        <color indexed="48"/>
      </left>
      <right style="thin">
        <color indexed="32"/>
      </right>
      <top style="thin">
        <color indexed="32"/>
      </top>
      <bottom style="medium">
        <color indexed="48"/>
      </bottom>
      <diagonal/>
    </border>
    <border>
      <left style="thin">
        <color indexed="32"/>
      </left>
      <right style="thin">
        <color indexed="32"/>
      </right>
      <top style="thin">
        <color indexed="32"/>
      </top>
      <bottom style="medium">
        <color indexed="48"/>
      </bottom>
      <diagonal/>
    </border>
    <border>
      <left style="thin">
        <color indexed="32"/>
      </left>
      <right style="medium">
        <color indexed="48"/>
      </right>
      <top style="thin">
        <color indexed="32"/>
      </top>
      <bottom style="medium">
        <color indexed="48"/>
      </bottom>
      <diagonal/>
    </border>
    <border>
      <left style="medium">
        <color indexed="48"/>
      </left>
      <right/>
      <top style="medium">
        <color indexed="48"/>
      </top>
      <bottom/>
      <diagonal/>
    </border>
    <border>
      <left style="thin">
        <color indexed="32"/>
      </left>
      <right style="thin">
        <color indexed="32"/>
      </right>
      <top style="thin">
        <color indexed="32"/>
      </top>
      <bottom/>
      <diagonal/>
    </border>
    <border>
      <left style="medium">
        <color indexed="48"/>
      </left>
      <right style="thin">
        <color indexed="32"/>
      </right>
      <top/>
      <bottom/>
      <diagonal/>
    </border>
    <border>
      <left style="medium">
        <color indexed="32"/>
      </left>
      <right style="thin">
        <color indexed="32"/>
      </right>
      <top style="medium">
        <color indexed="32"/>
      </top>
      <bottom style="thin">
        <color indexed="32"/>
      </bottom>
      <diagonal/>
    </border>
    <border>
      <left style="thin">
        <color indexed="16"/>
      </left>
      <right style="thin">
        <color indexed="16"/>
      </right>
      <top style="medium">
        <color indexed="32"/>
      </top>
      <bottom style="thin">
        <color indexed="32"/>
      </bottom>
      <diagonal/>
    </border>
    <border>
      <left style="thin">
        <color indexed="16"/>
      </left>
      <right style="medium">
        <color indexed="16"/>
      </right>
      <top style="medium">
        <color indexed="32"/>
      </top>
      <bottom style="thin">
        <color indexed="32"/>
      </bottom>
      <diagonal/>
    </border>
    <border>
      <left style="medium">
        <color indexed="32"/>
      </left>
      <right/>
      <top/>
      <bottom style="thin">
        <color indexed="32"/>
      </bottom>
      <diagonal/>
    </border>
    <border>
      <left style="medium">
        <color indexed="32"/>
      </left>
      <right style="thin">
        <color indexed="32"/>
      </right>
      <top/>
      <bottom style="thin">
        <color indexed="32"/>
      </bottom>
      <diagonal/>
    </border>
    <border>
      <left style="medium">
        <color indexed="8"/>
      </left>
      <right style="thin">
        <color indexed="32"/>
      </right>
      <top style="medium">
        <color indexed="8"/>
      </top>
      <bottom style="thin">
        <color indexed="32"/>
      </bottom>
      <diagonal/>
    </border>
    <border>
      <left style="thin">
        <color indexed="32"/>
      </left>
      <right style="thin">
        <color indexed="32"/>
      </right>
      <top style="medium">
        <color indexed="8"/>
      </top>
      <bottom style="thin">
        <color indexed="32"/>
      </bottom>
      <diagonal/>
    </border>
    <border>
      <left style="thin">
        <color indexed="32"/>
      </left>
      <right style="medium">
        <color indexed="8"/>
      </right>
      <top style="medium">
        <color indexed="8"/>
      </top>
      <bottom style="thin">
        <color indexed="32"/>
      </bottom>
      <diagonal/>
    </border>
    <border>
      <left style="thin">
        <color indexed="32"/>
      </left>
      <right style="medium">
        <color indexed="8"/>
      </right>
      <top style="thin">
        <color indexed="32"/>
      </top>
      <bottom style="thin">
        <color indexed="32"/>
      </bottom>
      <diagonal/>
    </border>
    <border>
      <left style="thin">
        <color indexed="58"/>
      </left>
      <right style="thin">
        <color indexed="58"/>
      </right>
      <top style="thin">
        <color indexed="58"/>
      </top>
      <bottom/>
      <diagonal/>
    </border>
    <border>
      <left style="thin">
        <color indexed="28"/>
      </left>
      <right style="thin">
        <color indexed="28"/>
      </right>
      <top style="thin">
        <color indexed="28"/>
      </top>
      <bottom style="thin">
        <color indexed="28"/>
      </bottom>
      <diagonal/>
    </border>
    <border>
      <left style="thin">
        <color indexed="58"/>
      </left>
      <right style="thin">
        <color indexed="58"/>
      </right>
      <top style="thin">
        <color indexed="58"/>
      </top>
      <bottom style="medium">
        <color indexed="58"/>
      </bottom>
      <diagonal/>
    </border>
    <border>
      <left style="thin">
        <color indexed="58"/>
      </left>
      <right style="thin">
        <color indexed="58"/>
      </right>
      <top/>
      <bottom style="medium">
        <color indexed="8"/>
      </bottom>
      <diagonal/>
    </border>
    <border>
      <left/>
      <right style="thin">
        <color indexed="58"/>
      </right>
      <top style="thin">
        <color indexed="58"/>
      </top>
      <bottom style="medium">
        <color indexed="8"/>
      </bottom>
      <diagonal/>
    </border>
    <border>
      <left style="thin">
        <color indexed="32"/>
      </left>
      <right style="thin">
        <color indexed="32"/>
      </right>
      <top style="thin">
        <color indexed="32"/>
      </top>
      <bottom style="medium">
        <color indexed="8"/>
      </bottom>
      <diagonal/>
    </border>
    <border>
      <left style="thin">
        <color indexed="58"/>
      </left>
      <right style="thin">
        <color indexed="58"/>
      </right>
      <top style="thin">
        <color indexed="58"/>
      </top>
      <bottom style="medium">
        <color indexed="8"/>
      </bottom>
      <diagonal/>
    </border>
    <border>
      <left style="thin">
        <color indexed="32"/>
      </left>
      <right style="medium">
        <color indexed="8"/>
      </right>
      <top style="thin">
        <color indexed="32"/>
      </top>
      <bottom style="medium">
        <color indexed="8"/>
      </bottom>
      <diagonal/>
    </border>
    <border>
      <left/>
      <right/>
      <top/>
      <bottom style="medium">
        <color indexed="51"/>
      </bottom>
      <diagonal/>
    </border>
    <border>
      <left style="medium">
        <color indexed="51"/>
      </left>
      <right style="medium">
        <color indexed="51"/>
      </right>
      <top style="medium">
        <color indexed="51"/>
      </top>
      <bottom style="thin">
        <color indexed="32"/>
      </bottom>
      <diagonal/>
    </border>
    <border>
      <left/>
      <right style="thin">
        <color indexed="32"/>
      </right>
      <top style="medium">
        <color indexed="51"/>
      </top>
      <bottom style="thin">
        <color indexed="32"/>
      </bottom>
      <diagonal/>
    </border>
    <border>
      <left style="thin">
        <color indexed="32"/>
      </left>
      <right style="thin">
        <color indexed="32"/>
      </right>
      <top style="medium">
        <color indexed="51"/>
      </top>
      <bottom style="thin">
        <color indexed="32"/>
      </bottom>
      <diagonal/>
    </border>
    <border>
      <left style="thin">
        <color indexed="16"/>
      </left>
      <right style="thin">
        <color indexed="16"/>
      </right>
      <top style="medium">
        <color indexed="51"/>
      </top>
      <bottom style="thin">
        <color indexed="32"/>
      </bottom>
      <diagonal/>
    </border>
    <border>
      <left style="medium">
        <color indexed="51"/>
      </left>
      <right/>
      <top/>
      <bottom style="thin">
        <color indexed="32"/>
      </bottom>
      <diagonal/>
    </border>
    <border>
      <left/>
      <right/>
      <top/>
      <bottom style="thin">
        <color indexed="32"/>
      </bottom>
      <diagonal/>
    </border>
    <border>
      <left style="medium">
        <color indexed="51"/>
      </left>
      <right style="medium">
        <color indexed="51"/>
      </right>
      <top/>
      <bottom style="thin">
        <color indexed="32"/>
      </bottom>
      <diagonal/>
    </border>
    <border>
      <left/>
      <right style="thin">
        <color indexed="32"/>
      </right>
      <top/>
      <bottom style="thin">
        <color indexed="32"/>
      </bottom>
      <diagonal/>
    </border>
    <border>
      <left style="thin">
        <color indexed="32"/>
      </left>
      <right style="thin">
        <color indexed="32"/>
      </right>
      <top/>
      <bottom style="thin">
        <color indexed="32"/>
      </bottom>
      <diagonal/>
    </border>
    <border>
      <left/>
      <right style="medium">
        <color indexed="51"/>
      </right>
      <top/>
      <bottom/>
      <diagonal/>
    </border>
    <border>
      <left style="thin">
        <color indexed="32"/>
      </left>
      <right/>
      <top/>
      <bottom style="thin">
        <color indexed="32"/>
      </bottom>
      <diagonal/>
    </border>
    <border>
      <left style="thin">
        <color indexed="32"/>
      </left>
      <right/>
      <top style="thin">
        <color indexed="32"/>
      </top>
      <bottom style="medium">
        <color indexed="51"/>
      </bottom>
      <diagonal/>
    </border>
    <border>
      <left style="thin">
        <color indexed="58"/>
      </left>
      <right style="thin">
        <color indexed="58"/>
      </right>
      <top style="thin">
        <color indexed="58"/>
      </top>
      <bottom style="medium">
        <color indexed="51"/>
      </bottom>
      <diagonal/>
    </border>
    <border>
      <left/>
      <right/>
      <top style="thin">
        <color indexed="30"/>
      </top>
      <bottom style="thin">
        <color indexed="30"/>
      </bottom>
      <diagonal/>
    </border>
    <border>
      <left style="thin">
        <color indexed="32"/>
      </left>
      <right style="medium">
        <color indexed="32"/>
      </right>
      <top style="medium">
        <color indexed="32"/>
      </top>
      <bottom style="thin">
        <color indexed="32"/>
      </bottom>
      <diagonal/>
    </border>
    <border>
      <left style="thin">
        <color indexed="32"/>
      </left>
      <right style="medium">
        <color indexed="32"/>
      </right>
      <top style="thin">
        <color indexed="32"/>
      </top>
      <bottom style="medium">
        <color indexed="32"/>
      </bottom>
      <diagonal/>
    </border>
    <border>
      <left style="medium">
        <color indexed="32"/>
      </left>
      <right style="thin">
        <color indexed="32"/>
      </right>
      <top style="thin">
        <color indexed="32"/>
      </top>
      <bottom style="medium">
        <color indexed="32"/>
      </bottom>
      <diagonal/>
    </border>
    <border>
      <left style="thin">
        <color indexed="32"/>
      </left>
      <right/>
      <top style="medium">
        <color indexed="32"/>
      </top>
      <bottom style="thin">
        <color indexed="32"/>
      </bottom>
      <diagonal/>
    </border>
    <border>
      <left style="thin">
        <color indexed="32"/>
      </left>
      <right style="thin">
        <color indexed="32"/>
      </right>
      <top style="medium">
        <color indexed="32"/>
      </top>
      <bottom style="thin">
        <color indexed="32"/>
      </bottom>
      <diagonal/>
    </border>
    <border>
      <left/>
      <right style="medium">
        <color indexed="32"/>
      </right>
      <top style="medium">
        <color indexed="32"/>
      </top>
      <bottom style="thin">
        <color indexed="32"/>
      </bottom>
      <diagonal/>
    </border>
    <border>
      <left/>
      <right style="medium">
        <color indexed="32"/>
      </right>
      <top style="thin">
        <color indexed="32"/>
      </top>
      <bottom style="thin">
        <color indexed="32"/>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medium">
        <color indexed="60"/>
      </left>
      <right style="dotted">
        <color indexed="32"/>
      </right>
      <top style="medium">
        <color indexed="60"/>
      </top>
      <bottom style="hair">
        <color indexed="32"/>
      </bottom>
      <diagonal/>
    </border>
    <border>
      <left style="dotted">
        <color indexed="32"/>
      </left>
      <right style="dotted">
        <color indexed="32"/>
      </right>
      <top style="medium">
        <color indexed="52"/>
      </top>
      <bottom style="hair">
        <color indexed="32"/>
      </bottom>
      <diagonal/>
    </border>
    <border>
      <left style="medium">
        <color indexed="60"/>
      </left>
      <right style="dotted">
        <color indexed="32"/>
      </right>
      <top style="hair">
        <color indexed="32"/>
      </top>
      <bottom style="hair">
        <color indexed="32"/>
      </bottom>
      <diagonal/>
    </border>
    <border>
      <left style="dotted">
        <color indexed="32"/>
      </left>
      <right style="dotted">
        <color indexed="32"/>
      </right>
      <top style="hair">
        <color indexed="32"/>
      </top>
      <bottom style="hair">
        <color indexed="32"/>
      </bottom>
      <diagonal/>
    </border>
    <border>
      <left style="medium">
        <color indexed="60"/>
      </left>
      <right style="dotted">
        <color indexed="32"/>
      </right>
      <top style="hair">
        <color indexed="32"/>
      </top>
      <bottom style="medium">
        <color indexed="60"/>
      </bottom>
      <diagonal/>
    </border>
    <border>
      <left style="dotted">
        <color indexed="32"/>
      </left>
      <right style="dotted">
        <color indexed="32"/>
      </right>
      <top style="hair">
        <color indexed="32"/>
      </top>
      <bottom style="medium">
        <color indexed="52"/>
      </bottom>
      <diagonal/>
    </border>
    <border>
      <left style="medium">
        <color indexed="62"/>
      </left>
      <right/>
      <top style="medium">
        <color indexed="62"/>
      </top>
      <bottom style="hair">
        <color indexed="32"/>
      </bottom>
      <diagonal/>
    </border>
    <border>
      <left style="dotted">
        <color indexed="62"/>
      </left>
      <right style="dotted">
        <color indexed="32"/>
      </right>
      <top style="medium">
        <color indexed="62"/>
      </top>
      <bottom style="hair">
        <color indexed="32"/>
      </bottom>
      <diagonal/>
    </border>
    <border>
      <left style="medium">
        <color indexed="62"/>
      </left>
      <right/>
      <top style="hair">
        <color indexed="32"/>
      </top>
      <bottom style="hair">
        <color indexed="32"/>
      </bottom>
      <diagonal/>
    </border>
    <border>
      <left style="dotted">
        <color indexed="62"/>
      </left>
      <right style="dotted">
        <color indexed="32"/>
      </right>
      <top style="hair">
        <color indexed="32"/>
      </top>
      <bottom style="hair">
        <color indexed="32"/>
      </bottom>
      <diagonal/>
    </border>
    <border>
      <left style="medium">
        <color indexed="62"/>
      </left>
      <right/>
      <top style="hair">
        <color indexed="32"/>
      </top>
      <bottom style="medium">
        <color indexed="62"/>
      </bottom>
      <diagonal/>
    </border>
    <border>
      <left style="dotted">
        <color indexed="62"/>
      </left>
      <right style="dotted">
        <color indexed="32"/>
      </right>
      <top style="hair">
        <color indexed="32"/>
      </top>
      <bottom style="medium">
        <color indexed="62"/>
      </bottom>
      <diagonal/>
    </border>
    <border>
      <left style="medium">
        <color indexed="51"/>
      </left>
      <right style="hair">
        <color indexed="32"/>
      </right>
      <top style="medium">
        <color indexed="51"/>
      </top>
      <bottom style="hair">
        <color indexed="32"/>
      </bottom>
      <diagonal/>
    </border>
    <border>
      <left style="hair">
        <color indexed="32"/>
      </left>
      <right style="hair">
        <color indexed="32"/>
      </right>
      <top style="medium">
        <color indexed="51"/>
      </top>
      <bottom style="hair">
        <color indexed="32"/>
      </bottom>
      <diagonal/>
    </border>
    <border>
      <left style="medium">
        <color indexed="51"/>
      </left>
      <right style="hair">
        <color indexed="32"/>
      </right>
      <top style="hair">
        <color indexed="32"/>
      </top>
      <bottom style="hair">
        <color indexed="32"/>
      </bottom>
      <diagonal/>
    </border>
    <border>
      <left style="hair">
        <color indexed="32"/>
      </left>
      <right style="hair">
        <color indexed="32"/>
      </right>
      <top/>
      <bottom style="hair">
        <color indexed="32"/>
      </bottom>
      <diagonal/>
    </border>
    <border>
      <left style="medium">
        <color indexed="51"/>
      </left>
      <right/>
      <top/>
      <bottom style="hair">
        <color indexed="32"/>
      </bottom>
      <diagonal/>
    </border>
    <border>
      <left style="hair">
        <color indexed="32"/>
      </left>
      <right style="hair">
        <color indexed="32"/>
      </right>
      <top/>
      <bottom/>
      <diagonal/>
    </border>
    <border>
      <left style="hair">
        <color indexed="32"/>
      </left>
      <right style="hair">
        <color indexed="32"/>
      </right>
      <top style="hair">
        <color indexed="32"/>
      </top>
      <bottom style="medium">
        <color indexed="51"/>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style="thin">
        <color indexed="32"/>
      </top>
      <bottom/>
      <diagonal/>
    </border>
    <border>
      <left style="thin">
        <color indexed="32"/>
      </left>
      <right style="thin">
        <color indexed="32"/>
      </right>
      <top/>
      <bottom/>
      <diagonal/>
    </border>
    <border>
      <left/>
      <right/>
      <top style="medium">
        <color indexed="60"/>
      </top>
      <bottom/>
      <diagonal/>
    </border>
    <border>
      <left style="medium">
        <color indexed="16"/>
      </left>
      <right style="medium">
        <color indexed="16"/>
      </right>
      <top style="medium">
        <color indexed="16"/>
      </top>
      <bottom style="thin">
        <color indexed="16"/>
      </bottom>
      <diagonal/>
    </border>
    <border>
      <left style="medium">
        <color indexed="32"/>
      </left>
      <right style="medium">
        <color indexed="32"/>
      </right>
      <top style="medium">
        <color indexed="32"/>
      </top>
      <bottom style="medium">
        <color indexed="32"/>
      </bottom>
      <diagonal/>
    </border>
    <border>
      <left style="medium">
        <color indexed="16"/>
      </left>
      <right style="medium">
        <color indexed="16"/>
      </right>
      <top style="medium">
        <color indexed="16"/>
      </top>
      <bottom style="thin">
        <color indexed="32"/>
      </bottom>
      <diagonal/>
    </border>
    <border>
      <left style="medium">
        <color indexed="48"/>
      </left>
      <right style="thin">
        <color indexed="32"/>
      </right>
      <top style="medium">
        <color indexed="48"/>
      </top>
      <bottom style="thin">
        <color indexed="32"/>
      </bottom>
      <diagonal/>
    </border>
    <border>
      <left style="medium">
        <color indexed="8"/>
      </left>
      <right style="thin">
        <color indexed="32"/>
      </right>
      <top style="thin">
        <color indexed="32"/>
      </top>
      <bottom style="medium">
        <color indexed="8"/>
      </bottom>
      <diagonal/>
    </border>
    <border>
      <left style="medium">
        <color indexed="51"/>
      </left>
      <right style="medium">
        <color indexed="51"/>
      </right>
      <top style="thin">
        <color indexed="32"/>
      </top>
      <bottom style="thin">
        <color indexed="32"/>
      </bottom>
      <diagonal/>
    </border>
    <border>
      <left style="medium">
        <color indexed="51"/>
      </left>
      <right style="thin">
        <color indexed="32"/>
      </right>
      <top style="thin">
        <color indexed="32"/>
      </top>
      <bottom style="thin">
        <color indexed="32"/>
      </bottom>
      <diagonal/>
    </border>
    <border>
      <left style="medium">
        <color indexed="51"/>
      </left>
      <right style="medium">
        <color indexed="51"/>
      </right>
      <top style="thin">
        <color indexed="32"/>
      </top>
      <bottom style="medium">
        <color indexed="51"/>
      </bottom>
      <diagonal/>
    </border>
    <border>
      <left style="medium">
        <color indexed="51"/>
      </left>
      <right style="medium">
        <color indexed="51"/>
      </right>
      <top style="medium">
        <color indexed="51"/>
      </top>
      <bottom style="medium">
        <color indexed="51"/>
      </bottom>
      <diagonal/>
    </border>
    <border>
      <left style="thin">
        <color indexed="28"/>
      </left>
      <right/>
      <top/>
      <bottom/>
      <diagonal/>
    </border>
    <border>
      <left style="medium">
        <color indexed="32"/>
      </left>
      <right style="medium">
        <color indexed="32"/>
      </right>
      <top style="medium">
        <color indexed="32"/>
      </top>
      <bottom style="thin">
        <color indexed="32"/>
      </bottom>
      <diagonal/>
    </border>
    <border>
      <left style="medium">
        <color indexed="32"/>
      </left>
      <right style="medium">
        <color indexed="32"/>
      </right>
      <top style="thin">
        <color indexed="32"/>
      </top>
      <bottom style="thin">
        <color indexed="32"/>
      </bottom>
      <diagonal/>
    </border>
    <border>
      <left style="medium">
        <color indexed="32"/>
      </left>
      <right style="medium">
        <color indexed="32"/>
      </right>
      <top style="thin">
        <color indexed="32"/>
      </top>
      <bottom style="medium">
        <color indexed="32"/>
      </bottom>
      <diagonal/>
    </border>
    <border>
      <left style="thin">
        <color indexed="8"/>
      </left>
      <right style="thin">
        <color indexed="8"/>
      </right>
      <top style="thin">
        <color indexed="8"/>
      </top>
      <bottom style="thin">
        <color indexed="8"/>
      </bottom>
      <diagonal/>
    </border>
    <border>
      <left/>
      <right style="medium">
        <color indexed="60"/>
      </right>
      <top style="hair">
        <color indexed="23"/>
      </top>
      <bottom style="hair">
        <color indexed="23"/>
      </bottom>
      <diagonal/>
    </border>
    <border>
      <left style="medium">
        <color indexed="60"/>
      </left>
      <right style="medium">
        <color indexed="60"/>
      </right>
      <top/>
      <bottom style="hair">
        <color indexed="32"/>
      </bottom>
      <diagonal/>
    </border>
    <border>
      <left style="medium">
        <color indexed="60"/>
      </left>
      <right style="medium">
        <color indexed="60"/>
      </right>
      <top style="hair">
        <color indexed="32"/>
      </top>
      <bottom style="hair">
        <color indexed="32"/>
      </bottom>
      <diagonal/>
    </border>
    <border>
      <left/>
      <right style="medium">
        <color indexed="60"/>
      </right>
      <top style="hair">
        <color indexed="23"/>
      </top>
      <bottom style="medium">
        <color indexed="60"/>
      </bottom>
      <diagonal/>
    </border>
    <border>
      <left style="medium">
        <color indexed="60"/>
      </left>
      <right style="medium">
        <color indexed="60"/>
      </right>
      <top/>
      <bottom style="medium">
        <color indexed="60"/>
      </bottom>
      <diagonal/>
    </border>
    <border>
      <left/>
      <right style="medium">
        <color indexed="52"/>
      </right>
      <top/>
      <bottom style="medium">
        <color indexed="52"/>
      </bottom>
      <diagonal/>
    </border>
    <border>
      <left style="medium">
        <color indexed="18"/>
      </left>
      <right style="medium">
        <color indexed="18"/>
      </right>
      <top style="medium">
        <color indexed="18"/>
      </top>
      <bottom/>
      <diagonal/>
    </border>
    <border>
      <left style="medium">
        <color indexed="18"/>
      </left>
      <right/>
      <top style="medium">
        <color indexed="18"/>
      </top>
      <bottom style="medium">
        <color indexed="18"/>
      </bottom>
      <diagonal/>
    </border>
    <border>
      <left/>
      <right style="medium">
        <color indexed="62"/>
      </right>
      <top style="medium">
        <color indexed="62"/>
      </top>
      <bottom style="hair">
        <color indexed="23"/>
      </bottom>
      <diagonal/>
    </border>
    <border>
      <left style="medium">
        <color indexed="18"/>
      </left>
      <right style="medium">
        <color indexed="18"/>
      </right>
      <top style="medium">
        <color indexed="18"/>
      </top>
      <bottom style="hair">
        <color indexed="18"/>
      </bottom>
      <diagonal/>
    </border>
    <border>
      <left/>
      <right style="medium">
        <color indexed="62"/>
      </right>
      <top style="hair">
        <color indexed="23"/>
      </top>
      <bottom style="hair">
        <color indexed="23"/>
      </bottom>
      <diagonal/>
    </border>
    <border>
      <left style="medium">
        <color indexed="18"/>
      </left>
      <right style="medium">
        <color indexed="18"/>
      </right>
      <top style="hair">
        <color indexed="18"/>
      </top>
      <bottom style="hair">
        <color indexed="18"/>
      </bottom>
      <diagonal/>
    </border>
    <border>
      <left/>
      <right style="medium">
        <color indexed="62"/>
      </right>
      <top style="hair">
        <color indexed="23"/>
      </top>
      <bottom style="medium">
        <color indexed="62"/>
      </bottom>
      <diagonal/>
    </border>
    <border>
      <left style="medium">
        <color indexed="18"/>
      </left>
      <right style="medium">
        <color indexed="18"/>
      </right>
      <top style="hair">
        <color indexed="18"/>
      </top>
      <bottom style="medium">
        <color indexed="18"/>
      </bottom>
      <diagonal/>
    </border>
    <border>
      <left/>
      <right style="medium">
        <color indexed="52"/>
      </right>
      <top/>
      <bottom/>
      <diagonal/>
    </border>
    <border>
      <left style="hair">
        <color indexed="32"/>
      </left>
      <right style="medium">
        <color indexed="51"/>
      </right>
      <top style="medium">
        <color indexed="51"/>
      </top>
      <bottom style="hair">
        <color indexed="32"/>
      </bottom>
      <diagonal/>
    </border>
    <border>
      <left style="medium">
        <color indexed="51"/>
      </left>
      <right style="medium">
        <color indexed="51"/>
      </right>
      <top style="medium">
        <color indexed="51"/>
      </top>
      <bottom style="hair">
        <color indexed="51"/>
      </bottom>
      <diagonal/>
    </border>
    <border>
      <left style="hair">
        <color indexed="32"/>
      </left>
      <right style="medium">
        <color indexed="51"/>
      </right>
      <top style="hair">
        <color indexed="32"/>
      </top>
      <bottom style="hair">
        <color indexed="32"/>
      </bottom>
      <diagonal/>
    </border>
    <border>
      <left style="medium">
        <color indexed="51"/>
      </left>
      <right style="medium">
        <color indexed="51"/>
      </right>
      <top style="hair">
        <color indexed="51"/>
      </top>
      <bottom style="hair">
        <color indexed="51"/>
      </bottom>
      <diagonal/>
    </border>
    <border>
      <left style="medium">
        <color indexed="51"/>
      </left>
      <right style="medium">
        <color indexed="51"/>
      </right>
      <top style="hair">
        <color indexed="51"/>
      </top>
      <bottom style="medium">
        <color indexed="51"/>
      </bottom>
      <diagonal/>
    </border>
    <border>
      <left style="medium">
        <color indexed="57"/>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hair">
        <color indexed="57"/>
      </left>
      <right style="medium">
        <color indexed="57"/>
      </right>
      <top style="medium">
        <color indexed="57"/>
      </top>
      <bottom style="medium">
        <color indexed="57"/>
      </bottom>
      <diagonal/>
    </border>
    <border>
      <left style="thin">
        <color indexed="32"/>
      </left>
      <right/>
      <top style="medium">
        <color indexed="57"/>
      </top>
      <bottom/>
      <diagonal/>
    </border>
    <border>
      <left style="medium">
        <color indexed="32"/>
      </left>
      <right style="hair">
        <color indexed="32"/>
      </right>
      <top style="medium">
        <color indexed="57"/>
      </top>
      <bottom style="hair">
        <color indexed="32"/>
      </bottom>
      <diagonal/>
    </border>
    <border>
      <left style="hair">
        <color indexed="32"/>
      </left>
      <right style="hair">
        <color indexed="32"/>
      </right>
      <top style="medium">
        <color indexed="57"/>
      </top>
      <bottom style="hair">
        <color indexed="32"/>
      </bottom>
      <diagonal/>
    </border>
    <border>
      <left style="hair">
        <color indexed="32"/>
      </left>
      <right style="medium">
        <color indexed="32"/>
      </right>
      <top style="medium">
        <color indexed="57"/>
      </top>
      <bottom style="hair">
        <color indexed="32"/>
      </bottom>
      <diagonal/>
    </border>
    <border>
      <left/>
      <right style="medium">
        <color indexed="32"/>
      </right>
      <top style="hair">
        <color indexed="32"/>
      </top>
      <bottom style="hair">
        <color indexed="32"/>
      </bottom>
      <diagonal/>
    </border>
    <border>
      <left style="medium">
        <color indexed="32"/>
      </left>
      <right style="hair">
        <color indexed="32"/>
      </right>
      <top style="hair">
        <color indexed="32"/>
      </top>
      <bottom style="hair">
        <color indexed="32"/>
      </bottom>
      <diagonal/>
    </border>
    <border>
      <left style="hair">
        <color indexed="32"/>
      </left>
      <right style="hair">
        <color indexed="32"/>
      </right>
      <top style="hair">
        <color indexed="32"/>
      </top>
      <bottom style="hair">
        <color indexed="32"/>
      </bottom>
      <diagonal/>
    </border>
    <border>
      <left style="hair">
        <color indexed="32"/>
      </left>
      <right style="medium">
        <color indexed="32"/>
      </right>
      <top style="hair">
        <color indexed="32"/>
      </top>
      <bottom style="hair">
        <color indexed="32"/>
      </bottom>
      <diagonal/>
    </border>
    <border>
      <left/>
      <right style="medium">
        <color indexed="32"/>
      </right>
      <top style="hair">
        <color indexed="32"/>
      </top>
      <bottom style="medium">
        <color indexed="32"/>
      </bottom>
      <diagonal/>
    </border>
    <border>
      <left style="medium">
        <color indexed="32"/>
      </left>
      <right style="hair">
        <color indexed="32"/>
      </right>
      <top style="hair">
        <color indexed="32"/>
      </top>
      <bottom style="medium">
        <color indexed="32"/>
      </bottom>
      <diagonal/>
    </border>
    <border>
      <left style="hair">
        <color indexed="32"/>
      </left>
      <right style="hair">
        <color indexed="32"/>
      </right>
      <top style="hair">
        <color indexed="32"/>
      </top>
      <bottom style="medium">
        <color indexed="32"/>
      </bottom>
      <diagonal/>
    </border>
    <border>
      <left style="hair">
        <color indexed="32"/>
      </left>
      <right style="medium">
        <color indexed="32"/>
      </right>
      <top style="hair">
        <color indexed="32"/>
      </top>
      <bottom style="medium">
        <color indexed="32"/>
      </bottom>
      <diagonal/>
    </border>
    <border>
      <left style="medium">
        <color indexed="32"/>
      </left>
      <right style="medium">
        <color indexed="32"/>
      </right>
      <top style="medium">
        <color indexed="57"/>
      </top>
      <bottom style="hair">
        <color indexed="32"/>
      </bottom>
      <diagonal/>
    </border>
    <border>
      <left style="medium">
        <color indexed="32"/>
      </left>
      <right style="hair">
        <color indexed="32"/>
      </right>
      <top/>
      <bottom style="hair">
        <color indexed="32"/>
      </bottom>
      <diagonal/>
    </border>
    <border>
      <left style="hair">
        <color indexed="32"/>
      </left>
      <right style="medium">
        <color indexed="32"/>
      </right>
      <top/>
      <bottom style="hair">
        <color indexed="32"/>
      </bottom>
      <diagonal/>
    </border>
    <border>
      <left style="medium">
        <color indexed="32"/>
      </left>
      <right style="medium">
        <color indexed="32"/>
      </right>
      <top style="hair">
        <color indexed="32"/>
      </top>
      <bottom style="hair">
        <color indexed="32"/>
      </bottom>
      <diagonal/>
    </border>
    <border>
      <left style="medium">
        <color indexed="32"/>
      </left>
      <right style="medium">
        <color indexed="32"/>
      </right>
      <top style="hair">
        <color indexed="32"/>
      </top>
      <bottom style="medium">
        <color indexed="32"/>
      </bottom>
      <diagonal/>
    </border>
  </borders>
  <cellStyleXfs count="40">
    <xf numFmtId="0" fontId="0" fillId="0" borderId="0"/>
    <xf numFmtId="164" fontId="104" fillId="0" borderId="0" applyFill="0" applyBorder="0" applyProtection="0"/>
    <xf numFmtId="165" fontId="104" fillId="0" borderId="0" applyFill="0" applyBorder="0" applyProtection="0"/>
    <xf numFmtId="165" fontId="1" fillId="0" borderId="0" applyFill="0" applyBorder="0" applyProtection="0"/>
    <xf numFmtId="166" fontId="1" fillId="0" borderId="0" applyFill="0" applyBorder="0" applyProtection="0"/>
    <xf numFmtId="165"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4" fillId="0" borderId="0"/>
    <xf numFmtId="165" fontId="104" fillId="0" borderId="0"/>
    <xf numFmtId="165" fontId="104" fillId="0" borderId="0"/>
    <xf numFmtId="165" fontId="104" fillId="0" borderId="0"/>
    <xf numFmtId="165" fontId="104" fillId="0" borderId="0"/>
    <xf numFmtId="165" fontId="104" fillId="0" borderId="0"/>
    <xf numFmtId="165" fontId="104" fillId="0" borderId="0"/>
    <xf numFmtId="165" fontId="104" fillId="0" borderId="0"/>
    <xf numFmtId="165" fontId="104" fillId="0" borderId="0"/>
    <xf numFmtId="0" fontId="1" fillId="0" borderId="0"/>
    <xf numFmtId="9" fontId="104" fillId="0" borderId="0" applyFill="0" applyBorder="0" applyProtection="0"/>
    <xf numFmtId="165" fontId="104" fillId="0" borderId="0" applyFill="0" applyBorder="0" applyProtection="0"/>
    <xf numFmtId="165" fontId="104" fillId="0" borderId="0" applyFill="0" applyBorder="0" applyProtection="0"/>
    <xf numFmtId="165" fontId="104" fillId="0" borderId="0" applyFill="0" applyBorder="0" applyProtection="0"/>
    <xf numFmtId="165" fontId="104" fillId="0" borderId="0" applyFill="0" applyBorder="0" applyProtection="0"/>
    <xf numFmtId="165" fontId="104" fillId="0" borderId="0" applyFill="0" applyBorder="0" applyProtection="0"/>
    <xf numFmtId="165" fontId="104" fillId="0" borderId="0" applyFill="0" applyBorder="0" applyProtection="0"/>
    <xf numFmtId="165" fontId="104" fillId="0" borderId="0" applyFill="0" applyBorder="0" applyProtection="0"/>
    <xf numFmtId="0" fontId="104" fillId="0" borderId="1" applyNumberFormat="0" applyFill="0" applyProtection="0"/>
    <xf numFmtId="0" fontId="104" fillId="0" borderId="1" applyNumberFormat="0" applyFill="0" applyProtection="0"/>
    <xf numFmtId="0" fontId="104" fillId="0" borderId="1" applyNumberFormat="0" applyFill="0" applyProtection="0"/>
    <xf numFmtId="0" fontId="104" fillId="0" borderId="1" applyNumberFormat="0" applyFill="0" applyProtection="0"/>
    <xf numFmtId="0" fontId="104" fillId="0" borderId="1" applyNumberFormat="0" applyFill="0" applyProtection="0"/>
    <xf numFmtId="0" fontId="104" fillId="0" borderId="1" applyNumberFormat="0" applyFill="0" applyProtection="0"/>
    <xf numFmtId="0" fontId="104" fillId="0" borderId="1" applyNumberFormat="0" applyFill="0" applyProtection="0"/>
    <xf numFmtId="0" fontId="104" fillId="0" borderId="1" applyNumberFormat="0" applyFill="0" applyProtection="0"/>
    <xf numFmtId="0" fontId="104" fillId="0" borderId="1" applyNumberFormat="0" applyFill="0" applyProtection="0"/>
  </cellStyleXfs>
  <cellXfs count="614">
    <xf numFmtId="0" fontId="0" fillId="0" borderId="0" xfId="0"/>
    <xf numFmtId="165" fontId="3" fillId="0" borderId="0" xfId="14" applyFont="1" applyAlignment="1">
      <alignment vertical="center"/>
    </xf>
    <xf numFmtId="0" fontId="5" fillId="0" borderId="0" xfId="0" applyFont="1"/>
    <xf numFmtId="165" fontId="5" fillId="0" borderId="0" xfId="0" applyNumberFormat="1" applyFont="1"/>
    <xf numFmtId="165" fontId="2" fillId="0" borderId="0" xfId="13" applyFont="1" applyAlignment="1">
      <alignment horizontal="center" vertical="center"/>
    </xf>
    <xf numFmtId="165" fontId="3" fillId="0" borderId="0" xfId="13" applyFont="1" applyAlignment="1">
      <alignment vertical="center"/>
    </xf>
    <xf numFmtId="0" fontId="12" fillId="0" borderId="0" xfId="0" applyFont="1"/>
    <xf numFmtId="0" fontId="0" fillId="0" borderId="0" xfId="0" applyAlignment="1">
      <alignment horizontal="center"/>
    </xf>
    <xf numFmtId="0" fontId="15" fillId="0" borderId="0" xfId="0" applyFont="1"/>
    <xf numFmtId="0" fontId="10"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2"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8" fillId="0" borderId="2" xfId="0" applyFont="1" applyBorder="1" applyAlignment="1">
      <alignment vertical="center" wrapText="1"/>
    </xf>
    <xf numFmtId="0" fontId="8" fillId="0" borderId="3" xfId="0" applyFont="1" applyBorder="1" applyAlignment="1">
      <alignment vertical="center" wrapText="1"/>
    </xf>
    <xf numFmtId="0" fontId="10" fillId="0" borderId="3" xfId="0" applyFont="1" applyBorder="1" applyAlignment="1">
      <alignment horizontal="justify" vertical="center" wrapText="1"/>
    </xf>
    <xf numFmtId="0" fontId="9" fillId="0" borderId="3"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2" xfId="0" applyFont="1" applyBorder="1" applyAlignment="1">
      <alignment horizontal="justify" vertical="center" wrapText="1"/>
    </xf>
    <xf numFmtId="165" fontId="20" fillId="0" borderId="0" xfId="5" applyFont="1" applyAlignment="1">
      <alignment vertical="center"/>
    </xf>
    <xf numFmtId="165" fontId="21" fillId="0" borderId="0" xfId="0" applyNumberFormat="1" applyFont="1" applyAlignment="1">
      <alignment horizontal="right"/>
    </xf>
    <xf numFmtId="165" fontId="0" fillId="0" borderId="5" xfId="0" applyNumberFormat="1" applyBorder="1" applyAlignment="1" applyProtection="1">
      <alignment horizontal="center"/>
      <protection locked="0"/>
    </xf>
    <xf numFmtId="0" fontId="21" fillId="0" borderId="0" xfId="0" applyFont="1" applyAlignment="1">
      <alignment horizontal="right"/>
    </xf>
    <xf numFmtId="0" fontId="21" fillId="0" borderId="0" xfId="0" applyFont="1"/>
    <xf numFmtId="49" fontId="21" fillId="0" borderId="0" xfId="0" applyNumberFormat="1" applyFont="1" applyAlignment="1">
      <alignment horizontal="right"/>
    </xf>
    <xf numFmtId="167" fontId="0" fillId="0" borderId="0" xfId="0" applyNumberFormat="1"/>
    <xf numFmtId="167" fontId="0" fillId="0" borderId="5" xfId="32" applyNumberFormat="1" applyFont="1" applyBorder="1" applyAlignment="1" applyProtection="1">
      <alignment horizontal="center"/>
      <protection locked="0"/>
    </xf>
    <xf numFmtId="165" fontId="21" fillId="0" borderId="6" xfId="0" applyNumberFormat="1" applyFont="1" applyBorder="1" applyAlignment="1">
      <alignment horizontal="right"/>
    </xf>
    <xf numFmtId="165" fontId="21" fillId="0" borderId="0" xfId="0" applyNumberFormat="1" applyFont="1"/>
    <xf numFmtId="0" fontId="0" fillId="3" borderId="5" xfId="0" applyFill="1" applyBorder="1"/>
    <xf numFmtId="0" fontId="0" fillId="4" borderId="5" xfId="0" applyFill="1" applyBorder="1"/>
    <xf numFmtId="165" fontId="24" fillId="0" borderId="7" xfId="38" applyNumberFormat="1" applyFont="1" applyBorder="1"/>
    <xf numFmtId="165" fontId="104" fillId="0" borderId="7" xfId="38" applyNumberFormat="1" applyBorder="1" applyAlignment="1">
      <alignment vertical="center"/>
    </xf>
    <xf numFmtId="165" fontId="25" fillId="0" borderId="7" xfId="38" applyNumberFormat="1" applyFont="1" applyBorder="1" applyAlignment="1">
      <alignment horizontal="left" vertical="center"/>
    </xf>
    <xf numFmtId="165" fontId="104" fillId="3" borderId="8" xfId="38" applyNumberFormat="1" applyFill="1" applyBorder="1" applyAlignment="1">
      <alignment vertical="center"/>
    </xf>
    <xf numFmtId="165" fontId="26" fillId="0" borderId="0" xfId="38" applyNumberFormat="1" applyFont="1" applyBorder="1" applyAlignment="1" applyProtection="1">
      <alignment vertical="center"/>
      <protection locked="0"/>
    </xf>
    <xf numFmtId="165" fontId="27" fillId="0" borderId="5" xfId="0" applyNumberFormat="1" applyFont="1" applyBorder="1" applyAlignment="1" applyProtection="1">
      <alignment horizontal="center"/>
      <protection locked="0"/>
    </xf>
    <xf numFmtId="165" fontId="104" fillId="0" borderId="0" xfId="38" applyNumberFormat="1" applyBorder="1" applyAlignment="1">
      <alignment vertical="center"/>
    </xf>
    <xf numFmtId="165" fontId="0" fillId="0" borderId="0" xfId="38" applyNumberFormat="1" applyFont="1" applyBorder="1" applyAlignment="1">
      <alignment vertical="center"/>
    </xf>
    <xf numFmtId="165" fontId="104" fillId="0" borderId="0" xfId="38" applyNumberFormat="1" applyBorder="1" applyAlignment="1" applyProtection="1">
      <alignment vertical="center"/>
      <protection locked="0"/>
    </xf>
    <xf numFmtId="165" fontId="24" fillId="0" borderId="0" xfId="38" applyNumberFormat="1" applyFont="1" applyBorder="1"/>
    <xf numFmtId="0" fontId="22" fillId="5" borderId="0" xfId="0" applyFont="1" applyFill="1"/>
    <xf numFmtId="168" fontId="22" fillId="5" borderId="0" xfId="0" applyNumberFormat="1" applyFont="1" applyFill="1"/>
    <xf numFmtId="165" fontId="28" fillId="0" borderId="9" xfId="0" applyNumberFormat="1" applyFont="1" applyBorder="1" applyAlignment="1">
      <alignment horizontal="left"/>
    </xf>
    <xf numFmtId="0" fontId="28" fillId="6" borderId="10" xfId="0" applyFont="1" applyFill="1" applyBorder="1" applyAlignment="1" applyProtection="1">
      <alignment horizontal="center"/>
      <protection locked="0"/>
    </xf>
    <xf numFmtId="167" fontId="29" fillId="0" borderId="11" xfId="0" applyNumberFormat="1" applyFont="1" applyBorder="1" applyAlignment="1">
      <alignment horizontal="left"/>
    </xf>
    <xf numFmtId="169" fontId="29" fillId="3" borderId="12" xfId="0" applyNumberFormat="1" applyFont="1" applyFill="1" applyBorder="1" applyProtection="1">
      <protection locked="0"/>
    </xf>
    <xf numFmtId="170" fontId="29" fillId="3" borderId="10" xfId="0" applyNumberFormat="1" applyFont="1" applyFill="1" applyBorder="1" applyProtection="1">
      <protection locked="0"/>
    </xf>
    <xf numFmtId="0" fontId="29" fillId="0" borderId="9" xfId="0" applyFont="1" applyBorder="1" applyAlignment="1">
      <alignment horizontal="left"/>
    </xf>
    <xf numFmtId="170" fontId="29" fillId="3" borderId="12" xfId="0" applyNumberFormat="1" applyFont="1" applyFill="1" applyBorder="1" applyProtection="1">
      <protection locked="0"/>
    </xf>
    <xf numFmtId="167" fontId="29" fillId="0" borderId="13" xfId="0" applyNumberFormat="1" applyFont="1" applyBorder="1" applyAlignment="1">
      <alignment horizontal="left"/>
    </xf>
    <xf numFmtId="170" fontId="29" fillId="0" borderId="5" xfId="0" applyNumberFormat="1" applyFont="1" applyBorder="1"/>
    <xf numFmtId="171" fontId="29" fillId="0" borderId="5" xfId="0" applyNumberFormat="1" applyFont="1" applyBorder="1"/>
    <xf numFmtId="167" fontId="29" fillId="0" borderId="14" xfId="0" applyNumberFormat="1" applyFont="1" applyBorder="1" applyAlignment="1">
      <alignment horizontal="left"/>
    </xf>
    <xf numFmtId="170" fontId="29" fillId="0" borderId="15" xfId="0" applyNumberFormat="1" applyFont="1" applyBorder="1"/>
    <xf numFmtId="9" fontId="22" fillId="0" borderId="0" xfId="23" applyFont="1"/>
    <xf numFmtId="49" fontId="0" fillId="0" borderId="0" xfId="0" applyNumberFormat="1"/>
    <xf numFmtId="168" fontId="0" fillId="0" borderId="0" xfId="0" applyNumberFormat="1"/>
    <xf numFmtId="0" fontId="28" fillId="0" borderId="0" xfId="0" applyFont="1" applyAlignment="1">
      <alignment horizontal="center"/>
    </xf>
    <xf numFmtId="165" fontId="29" fillId="0" borderId="0" xfId="0" applyNumberFormat="1" applyFont="1"/>
    <xf numFmtId="0" fontId="21" fillId="0" borderId="0" xfId="0" applyFont="1" applyAlignment="1">
      <alignment horizontal="center"/>
    </xf>
    <xf numFmtId="0" fontId="31" fillId="0" borderId="0" xfId="0" applyFont="1" applyAlignment="1">
      <alignment horizontal="center" vertical="center"/>
    </xf>
    <xf numFmtId="0" fontId="32" fillId="0" borderId="0" xfId="0" applyFont="1" applyAlignment="1">
      <alignment horizontal="center"/>
    </xf>
    <xf numFmtId="167" fontId="21" fillId="0" borderId="0" xfId="0" applyNumberFormat="1" applyFont="1" applyAlignment="1">
      <alignment horizontal="center"/>
    </xf>
    <xf numFmtId="173" fontId="0" fillId="0" borderId="0" xfId="0" applyNumberFormat="1"/>
    <xf numFmtId="0" fontId="0" fillId="0" borderId="0" xfId="0" applyProtection="1">
      <protection locked="0"/>
    </xf>
    <xf numFmtId="175" fontId="0" fillId="0" borderId="0" xfId="0" applyNumberFormat="1"/>
    <xf numFmtId="170" fontId="0" fillId="0" borderId="0" xfId="0" applyNumberFormat="1"/>
    <xf numFmtId="170" fontId="22" fillId="5" borderId="0" xfId="0" applyNumberFormat="1" applyFont="1" applyFill="1"/>
    <xf numFmtId="49" fontId="32" fillId="0" borderId="24" xfId="0" applyNumberFormat="1" applyFont="1" applyBorder="1" applyProtection="1">
      <protection locked="0"/>
    </xf>
    <xf numFmtId="170" fontId="31" fillId="0" borderId="0" xfId="0" applyNumberFormat="1" applyFont="1" applyAlignment="1">
      <alignment horizontal="right"/>
    </xf>
    <xf numFmtId="0" fontId="30" fillId="0" borderId="25" xfId="0" applyFont="1" applyBorder="1" applyAlignment="1">
      <alignment vertical="distributed" wrapText="1"/>
    </xf>
    <xf numFmtId="165" fontId="33" fillId="0" borderId="26" xfId="0" applyNumberFormat="1" applyFont="1" applyBorder="1" applyAlignment="1">
      <alignment horizontal="center" vertical="center" wrapText="1"/>
    </xf>
    <xf numFmtId="167" fontId="33" fillId="0" borderId="27" xfId="0" applyNumberFormat="1" applyFont="1" applyBorder="1" applyAlignment="1">
      <alignment horizontal="center" vertical="center" wrapText="1"/>
    </xf>
    <xf numFmtId="0" fontId="34" fillId="0" borderId="0" xfId="0" applyFont="1" applyAlignment="1">
      <alignment horizontal="center" vertical="center"/>
    </xf>
    <xf numFmtId="167" fontId="35" fillId="0" borderId="0" xfId="0" applyNumberFormat="1" applyFont="1" applyAlignment="1">
      <alignment horizontal="center" vertical="center" wrapText="1"/>
    </xf>
    <xf numFmtId="167" fontId="35" fillId="0" borderId="0" xfId="0" applyNumberFormat="1" applyFont="1" applyAlignment="1" applyProtection="1">
      <alignment horizontal="center" vertical="center" wrapText="1"/>
      <protection locked="0"/>
    </xf>
    <xf numFmtId="165" fontId="31" fillId="0" borderId="28" xfId="0" applyNumberFormat="1" applyFont="1" applyBorder="1"/>
    <xf numFmtId="174" fontId="36" fillId="3" borderId="29" xfId="2" applyNumberFormat="1" applyFont="1" applyFill="1" applyBorder="1" applyProtection="1">
      <protection locked="0"/>
    </xf>
    <xf numFmtId="172" fontId="36" fillId="3" borderId="29" xfId="2" applyNumberFormat="1" applyFont="1" applyFill="1" applyBorder="1" applyProtection="1">
      <protection locked="0"/>
    </xf>
    <xf numFmtId="0" fontId="31" fillId="0" borderId="0" xfId="0" applyFont="1" applyAlignment="1">
      <alignment horizontal="center"/>
    </xf>
    <xf numFmtId="0" fontId="31" fillId="0" borderId="0" xfId="0" applyFont="1" applyProtection="1">
      <protection locked="0"/>
    </xf>
    <xf numFmtId="168" fontId="22" fillId="0" borderId="0" xfId="0" applyNumberFormat="1" applyFont="1"/>
    <xf numFmtId="168" fontId="31" fillId="0" borderId="0" xfId="2" applyNumberFormat="1" applyFont="1" applyProtection="1">
      <protection locked="0"/>
    </xf>
    <xf numFmtId="175" fontId="31" fillId="0" borderId="0" xfId="23" applyNumberFormat="1" applyFont="1" applyAlignment="1">
      <alignment horizontal="center"/>
    </xf>
    <xf numFmtId="165" fontId="31" fillId="0" borderId="30" xfId="0" applyNumberFormat="1" applyFont="1" applyBorder="1"/>
    <xf numFmtId="167" fontId="31" fillId="0" borderId="0" xfId="0" applyNumberFormat="1" applyFont="1" applyAlignment="1">
      <alignment horizontal="center"/>
    </xf>
    <xf numFmtId="175" fontId="31" fillId="0" borderId="0" xfId="23" applyNumberFormat="1" applyFont="1" applyAlignment="1" applyProtection="1">
      <alignment horizontal="center"/>
      <protection locked="0"/>
    </xf>
    <xf numFmtId="165" fontId="31" fillId="5" borderId="31" xfId="0" applyNumberFormat="1" applyFont="1" applyFill="1" applyBorder="1" applyAlignment="1">
      <alignment wrapText="1"/>
    </xf>
    <xf numFmtId="174" fontId="36" fillId="3" borderId="32" xfId="2" applyNumberFormat="1" applyFont="1" applyFill="1" applyBorder="1" applyProtection="1">
      <protection locked="0"/>
    </xf>
    <xf numFmtId="0" fontId="32" fillId="0" borderId="8" xfId="0" applyFont="1" applyBorder="1" applyAlignment="1">
      <alignment vertical="distributed" wrapText="1"/>
    </xf>
    <xf numFmtId="0" fontId="37" fillId="0" borderId="0" xfId="0" applyFont="1" applyAlignment="1" applyProtection="1">
      <alignment horizontal="left"/>
      <protection locked="0"/>
    </xf>
    <xf numFmtId="0" fontId="31" fillId="0" borderId="0" xfId="0" applyFont="1"/>
    <xf numFmtId="0" fontId="32" fillId="0" borderId="33" xfId="0" applyFont="1" applyBorder="1" applyAlignment="1">
      <alignment vertical="distributed" wrapText="1"/>
    </xf>
    <xf numFmtId="165" fontId="31" fillId="0" borderId="34" xfId="0" applyNumberFormat="1" applyFont="1" applyBorder="1"/>
    <xf numFmtId="170" fontId="36" fillId="0" borderId="0" xfId="2" applyNumberFormat="1" applyFont="1" applyProtection="1">
      <protection locked="0"/>
    </xf>
    <xf numFmtId="170" fontId="31" fillId="0" borderId="0" xfId="2" applyNumberFormat="1" applyFont="1"/>
    <xf numFmtId="177" fontId="0" fillId="0" borderId="0" xfId="0" applyNumberFormat="1"/>
    <xf numFmtId="178" fontId="0" fillId="0" borderId="0" xfId="0" applyNumberFormat="1"/>
    <xf numFmtId="167" fontId="32" fillId="0" borderId="35" xfId="0" applyNumberFormat="1" applyFont="1" applyBorder="1"/>
    <xf numFmtId="165" fontId="32" fillId="0" borderId="5" xfId="0" applyNumberFormat="1" applyFont="1" applyBorder="1" applyAlignment="1">
      <alignment horizontal="center"/>
    </xf>
    <xf numFmtId="165" fontId="32" fillId="0" borderId="36" xfId="0" applyNumberFormat="1" applyFont="1" applyBorder="1" applyAlignment="1">
      <alignment horizontal="center"/>
    </xf>
    <xf numFmtId="165" fontId="32" fillId="0" borderId="35" xfId="0" applyNumberFormat="1" applyFont="1" applyBorder="1"/>
    <xf numFmtId="1" fontId="0" fillId="3" borderId="5" xfId="0" applyNumberFormat="1" applyFill="1" applyBorder="1" applyAlignment="1" applyProtection="1">
      <alignment horizontal="center"/>
      <protection locked="0"/>
    </xf>
    <xf numFmtId="1" fontId="0" fillId="3" borderId="36" xfId="0" applyNumberFormat="1" applyFill="1" applyBorder="1" applyAlignment="1" applyProtection="1">
      <alignment horizontal="center"/>
      <protection locked="0"/>
    </xf>
    <xf numFmtId="165" fontId="32" fillId="0" borderId="37" xfId="0" applyNumberFormat="1" applyFont="1" applyBorder="1"/>
    <xf numFmtId="165" fontId="32" fillId="0" borderId="38" xfId="0" applyNumberFormat="1" applyFont="1" applyBorder="1"/>
    <xf numFmtId="1" fontId="0" fillId="3" borderId="15" xfId="0" applyNumberFormat="1" applyFill="1" applyBorder="1" applyAlignment="1" applyProtection="1">
      <alignment horizontal="center"/>
      <protection locked="0"/>
    </xf>
    <xf numFmtId="1" fontId="0" fillId="3" borderId="39" xfId="0" applyNumberFormat="1" applyFill="1" applyBorder="1" applyAlignment="1" applyProtection="1">
      <alignment horizontal="center"/>
      <protection locked="0"/>
    </xf>
    <xf numFmtId="165" fontId="32" fillId="0" borderId="40" xfId="0" applyNumberFormat="1" applyFont="1" applyBorder="1"/>
    <xf numFmtId="0" fontId="0" fillId="0" borderId="41" xfId="0" applyBorder="1"/>
    <xf numFmtId="165" fontId="38" fillId="0" borderId="41" xfId="38" applyNumberFormat="1" applyFont="1" applyBorder="1"/>
    <xf numFmtId="165" fontId="26" fillId="0" borderId="41" xfId="38" applyNumberFormat="1" applyFont="1" applyBorder="1" applyAlignment="1">
      <alignment vertical="center"/>
    </xf>
    <xf numFmtId="165" fontId="39" fillId="0" borderId="41" xfId="38" applyNumberFormat="1" applyFont="1" applyBorder="1" applyAlignment="1">
      <alignment vertical="center"/>
    </xf>
    <xf numFmtId="165" fontId="26" fillId="0" borderId="41" xfId="38" applyNumberFormat="1" applyFont="1" applyBorder="1" applyAlignment="1">
      <alignment horizontal="center" vertical="center"/>
    </xf>
    <xf numFmtId="165" fontId="26" fillId="4" borderId="42" xfId="38" applyNumberFormat="1" applyFont="1" applyFill="1" applyBorder="1" applyAlignment="1">
      <alignment horizontal="center" vertical="center"/>
    </xf>
    <xf numFmtId="165" fontId="26" fillId="0" borderId="43" xfId="38" applyNumberFormat="1" applyFont="1" applyBorder="1" applyAlignment="1">
      <alignment vertical="center"/>
    </xf>
    <xf numFmtId="165" fontId="26" fillId="0" borderId="0" xfId="38" applyNumberFormat="1" applyFont="1" applyBorder="1" applyAlignment="1" applyProtection="1">
      <alignment horizontal="center" vertical="center"/>
      <protection locked="0"/>
    </xf>
    <xf numFmtId="165" fontId="38" fillId="0" borderId="0" xfId="38" applyNumberFormat="1" applyFont="1" applyBorder="1"/>
    <xf numFmtId="165" fontId="26" fillId="0" borderId="0" xfId="38" applyNumberFormat="1" applyFont="1" applyBorder="1" applyAlignment="1">
      <alignment vertical="center"/>
    </xf>
    <xf numFmtId="165" fontId="40" fillId="0" borderId="0" xfId="38" applyNumberFormat="1" applyFont="1" applyBorder="1" applyAlignment="1">
      <alignment vertical="center"/>
    </xf>
    <xf numFmtId="0" fontId="16" fillId="0" borderId="0" xfId="0" applyFont="1" applyAlignment="1">
      <alignment horizontal="center"/>
    </xf>
    <xf numFmtId="165" fontId="16" fillId="0" borderId="44" xfId="0" applyNumberFormat="1" applyFont="1" applyBorder="1" applyAlignment="1">
      <alignment horizontal="center"/>
    </xf>
    <xf numFmtId="165" fontId="16" fillId="0" borderId="44" xfId="0" applyNumberFormat="1" applyFont="1" applyBorder="1" applyAlignment="1">
      <alignment horizontal="center" wrapText="1"/>
    </xf>
    <xf numFmtId="165" fontId="16" fillId="0" borderId="45" xfId="0" applyNumberFormat="1" applyFont="1" applyBorder="1" applyAlignment="1">
      <alignment horizontal="center"/>
    </xf>
    <xf numFmtId="0" fontId="26" fillId="0" borderId="0" xfId="0" applyFont="1" applyAlignment="1">
      <alignment horizontal="center" vertical="center"/>
    </xf>
    <xf numFmtId="165" fontId="0" fillId="0" borderId="46" xfId="0" applyNumberFormat="1" applyBorder="1" applyAlignment="1">
      <alignment horizontal="left"/>
    </xf>
    <xf numFmtId="1" fontId="16" fillId="4" borderId="5" xfId="0" applyNumberFormat="1" applyFont="1" applyFill="1" applyBorder="1" applyAlignment="1" applyProtection="1">
      <alignment horizontal="center"/>
      <protection locked="0"/>
    </xf>
    <xf numFmtId="1" fontId="36" fillId="4" borderId="5" xfId="0" applyNumberFormat="1" applyFont="1" applyFill="1" applyBorder="1" applyAlignment="1" applyProtection="1">
      <alignment horizontal="center"/>
      <protection locked="0"/>
    </xf>
    <xf numFmtId="1" fontId="36" fillId="5" borderId="47" xfId="0" applyNumberFormat="1" applyFont="1" applyFill="1" applyBorder="1" applyAlignment="1">
      <alignment horizontal="center"/>
    </xf>
    <xf numFmtId="0" fontId="0" fillId="0" borderId="0" xfId="0" applyAlignment="1" applyProtection="1">
      <alignment horizontal="left" vertical="top"/>
      <protection locked="0"/>
    </xf>
    <xf numFmtId="165" fontId="0" fillId="0" borderId="48" xfId="0" applyNumberFormat="1" applyBorder="1" applyAlignment="1">
      <alignment horizontal="left"/>
    </xf>
    <xf numFmtId="1" fontId="41" fillId="4" borderId="49" xfId="0" applyNumberFormat="1" applyFont="1" applyFill="1" applyBorder="1" applyAlignment="1" applyProtection="1">
      <alignment horizontal="center"/>
      <protection locked="0"/>
    </xf>
    <xf numFmtId="1" fontId="36" fillId="4" borderId="49" xfId="0" applyNumberFormat="1" applyFont="1" applyFill="1" applyBorder="1" applyAlignment="1" applyProtection="1">
      <alignment horizontal="center"/>
      <protection locked="0"/>
    </xf>
    <xf numFmtId="1" fontId="36" fillId="5" borderId="50" xfId="0" applyNumberFormat="1" applyFont="1" applyFill="1" applyBorder="1" applyAlignment="1">
      <alignment horizontal="center"/>
    </xf>
    <xf numFmtId="0" fontId="42" fillId="0" borderId="0" xfId="0" applyFont="1"/>
    <xf numFmtId="0" fontId="0" fillId="0" borderId="51" xfId="0" applyBorder="1"/>
    <xf numFmtId="165" fontId="0" fillId="0" borderId="44" xfId="0" applyNumberFormat="1" applyBorder="1" applyAlignment="1">
      <alignment horizontal="center"/>
    </xf>
    <xf numFmtId="165" fontId="0" fillId="0" borderId="45" xfId="0" applyNumberFormat="1" applyBorder="1" applyAlignment="1">
      <alignment horizontal="center"/>
    </xf>
    <xf numFmtId="0" fontId="16" fillId="4" borderId="49" xfId="0" applyFont="1" applyFill="1" applyBorder="1" applyAlignment="1" applyProtection="1">
      <alignment horizontal="center"/>
      <protection locked="0"/>
    </xf>
    <xf numFmtId="0" fontId="0" fillId="0" borderId="50" xfId="0" applyBorder="1" applyAlignment="1">
      <alignment horizontal="center"/>
    </xf>
    <xf numFmtId="167" fontId="0" fillId="0" borderId="0" xfId="0" applyNumberFormat="1" applyAlignment="1">
      <alignment horizontal="left"/>
    </xf>
    <xf numFmtId="0" fontId="16" fillId="0" borderId="0" xfId="0" applyFont="1"/>
    <xf numFmtId="165" fontId="0" fillId="0" borderId="45" xfId="0" applyNumberFormat="1" applyBorder="1" applyAlignment="1">
      <alignment horizontal="center" wrapText="1"/>
    </xf>
    <xf numFmtId="0" fontId="43" fillId="0" borderId="0" xfId="0" applyFont="1" applyAlignment="1">
      <alignment horizontal="center" wrapText="1"/>
    </xf>
    <xf numFmtId="0" fontId="0" fillId="4" borderId="50" xfId="0" applyFill="1" applyBorder="1" applyAlignment="1" applyProtection="1">
      <alignment horizontal="center"/>
      <protection locked="0"/>
    </xf>
    <xf numFmtId="167" fontId="0" fillId="0" borderId="0" xfId="0" applyNumberFormat="1" applyAlignment="1" applyProtection="1">
      <alignment horizontal="center"/>
      <protection locked="0"/>
    </xf>
    <xf numFmtId="165" fontId="28" fillId="0" borderId="44" xfId="0" applyNumberFormat="1" applyFont="1" applyBorder="1" applyAlignment="1">
      <alignment horizontal="center"/>
    </xf>
    <xf numFmtId="165" fontId="28" fillId="0" borderId="45" xfId="0" applyNumberFormat="1" applyFont="1" applyBorder="1" applyAlignment="1">
      <alignment horizontal="center"/>
    </xf>
    <xf numFmtId="1" fontId="0" fillId="4" borderId="5" xfId="0" applyNumberFormat="1" applyFill="1" applyBorder="1" applyAlignment="1" applyProtection="1">
      <alignment horizontal="center"/>
      <protection locked="0"/>
    </xf>
    <xf numFmtId="1" fontId="0" fillId="0" borderId="47" xfId="0" applyNumberFormat="1" applyBorder="1" applyAlignment="1">
      <alignment horizontal="center"/>
    </xf>
    <xf numFmtId="1" fontId="16" fillId="4" borderId="52" xfId="0" applyNumberFormat="1" applyFont="1" applyFill="1" applyBorder="1" applyAlignment="1" applyProtection="1">
      <alignment horizontal="center"/>
      <protection locked="0"/>
    </xf>
    <xf numFmtId="1" fontId="0" fillId="4" borderId="52" xfId="0" applyNumberFormat="1" applyFill="1" applyBorder="1" applyAlignment="1" applyProtection="1">
      <alignment horizontal="center"/>
      <protection locked="0"/>
    </xf>
    <xf numFmtId="165" fontId="41" fillId="0" borderId="53" xfId="0" applyNumberFormat="1" applyFont="1" applyBorder="1" applyAlignment="1">
      <alignment horizontal="left"/>
    </xf>
    <xf numFmtId="0" fontId="0" fillId="0" borderId="54" xfId="0" applyBorder="1"/>
    <xf numFmtId="0" fontId="28" fillId="6" borderId="55" xfId="0" applyFont="1" applyFill="1" applyBorder="1" applyAlignment="1" applyProtection="1">
      <alignment horizontal="center"/>
      <protection locked="0"/>
    </xf>
    <xf numFmtId="0" fontId="28" fillId="6" borderId="56" xfId="0" applyFont="1" applyFill="1" applyBorder="1" applyAlignment="1" applyProtection="1">
      <alignment horizontal="center"/>
      <protection locked="0"/>
    </xf>
    <xf numFmtId="0" fontId="0" fillId="0" borderId="57" xfId="0" applyBorder="1" applyAlignment="1">
      <alignment horizontal="left"/>
    </xf>
    <xf numFmtId="169" fontId="0" fillId="4" borderId="29" xfId="0" applyNumberFormat="1" applyFill="1" applyBorder="1" applyAlignment="1">
      <alignment horizontal="right" wrapText="1"/>
    </xf>
    <xf numFmtId="170" fontId="0" fillId="4" borderId="29" xfId="0" applyNumberFormat="1" applyFill="1" applyBorder="1" applyAlignment="1">
      <alignment horizontal="right" wrapText="1"/>
    </xf>
    <xf numFmtId="170" fontId="0" fillId="4" borderId="5" xfId="0" applyNumberFormat="1" applyFill="1" applyBorder="1" applyAlignment="1" applyProtection="1">
      <alignment horizontal="right" wrapText="1"/>
      <protection locked="0"/>
    </xf>
    <xf numFmtId="0" fontId="0" fillId="0" borderId="58" xfId="0" applyBorder="1" applyAlignment="1">
      <alignment horizontal="left"/>
    </xf>
    <xf numFmtId="169" fontId="0" fillId="0" borderId="29" xfId="0" applyNumberFormat="1" applyBorder="1" applyAlignment="1">
      <alignment horizontal="right" wrapText="1"/>
    </xf>
    <xf numFmtId="166" fontId="36" fillId="0" borderId="29" xfId="4" applyFont="1" applyBorder="1" applyAlignment="1">
      <alignment horizontal="right" wrapText="1"/>
    </xf>
    <xf numFmtId="170" fontId="0" fillId="0" borderId="29" xfId="0" applyNumberFormat="1" applyBorder="1" applyAlignment="1">
      <alignment horizontal="right" wrapText="1"/>
    </xf>
    <xf numFmtId="170" fontId="0" fillId="0" borderId="5" xfId="0" applyNumberFormat="1" applyBorder="1" applyAlignment="1">
      <alignment horizontal="right" wrapText="1"/>
    </xf>
    <xf numFmtId="0" fontId="0" fillId="0" borderId="37" xfId="0" applyBorder="1" applyAlignment="1">
      <alignment horizontal="left" wrapText="1"/>
    </xf>
    <xf numFmtId="169" fontId="0" fillId="0" borderId="29" xfId="2" applyNumberFormat="1" applyFont="1" applyBorder="1" applyAlignment="1">
      <alignment horizontal="right"/>
    </xf>
    <xf numFmtId="0" fontId="0" fillId="0" borderId="0" xfId="0" applyAlignment="1">
      <alignment horizontal="center" wrapText="1"/>
    </xf>
    <xf numFmtId="165" fontId="0" fillId="0" borderId="0" xfId="2" applyFont="1"/>
    <xf numFmtId="165" fontId="0" fillId="0" borderId="0" xfId="0" applyNumberFormat="1"/>
    <xf numFmtId="165" fontId="0" fillId="0" borderId="59" xfId="0" applyNumberFormat="1" applyBorder="1" applyAlignment="1">
      <alignment horizontal="left"/>
    </xf>
    <xf numFmtId="165" fontId="44" fillId="0" borderId="60" xfId="0" applyNumberFormat="1" applyFont="1" applyBorder="1" applyAlignment="1">
      <alignment horizontal="center" wrapText="1"/>
    </xf>
    <xf numFmtId="165" fontId="44" fillId="0" borderId="61" xfId="0" applyNumberFormat="1" applyFont="1" applyBorder="1" applyAlignment="1">
      <alignment horizontal="center" wrapText="1"/>
    </xf>
    <xf numFmtId="165" fontId="0" fillId="4" borderId="5" xfId="0" applyNumberFormat="1" applyFill="1" applyBorder="1" applyProtection="1">
      <protection locked="0"/>
    </xf>
    <xf numFmtId="0" fontId="0" fillId="4" borderId="29" xfId="0" applyFill="1" applyBorder="1" applyAlignment="1">
      <alignment horizontal="center" vertical="center"/>
    </xf>
    <xf numFmtId="0" fontId="0" fillId="0" borderId="5" xfId="0" applyBorder="1" applyAlignment="1">
      <alignment horizontal="center" vertical="center"/>
    </xf>
    <xf numFmtId="179" fontId="0" fillId="4" borderId="29" xfId="0" applyNumberFormat="1" applyFill="1" applyBorder="1" applyAlignment="1">
      <alignment horizontal="center" vertical="center"/>
    </xf>
    <xf numFmtId="1" fontId="0" fillId="0" borderId="5" xfId="0" applyNumberFormat="1" applyBorder="1" applyAlignment="1">
      <alignment horizontal="center" vertical="center"/>
    </xf>
    <xf numFmtId="170" fontId="0" fillId="4" borderId="29" xfId="0" applyNumberFormat="1" applyFill="1" applyBorder="1" applyAlignment="1">
      <alignment horizontal="center" vertical="center"/>
    </xf>
    <xf numFmtId="180" fontId="0" fillId="0" borderId="5" xfId="0" applyNumberFormat="1" applyBorder="1" applyAlignment="1">
      <alignment horizontal="center" vertical="center"/>
    </xf>
    <xf numFmtId="180" fontId="0" fillId="0" borderId="62" xfId="0" applyNumberFormat="1" applyBorder="1" applyAlignment="1">
      <alignment horizontal="center" vertical="center"/>
    </xf>
    <xf numFmtId="49" fontId="0" fillId="4" borderId="52" xfId="0" applyNumberFormat="1" applyFill="1" applyBorder="1" applyAlignment="1" applyProtection="1">
      <alignment horizontal="left"/>
      <protection locked="0"/>
    </xf>
    <xf numFmtId="0" fontId="0" fillId="4" borderId="63" xfId="0" applyFill="1" applyBorder="1" applyAlignment="1">
      <alignment horizontal="center" vertical="center"/>
    </xf>
    <xf numFmtId="170" fontId="0" fillId="4" borderId="63" xfId="0" applyNumberFormat="1" applyFill="1" applyBorder="1" applyAlignment="1">
      <alignment horizontal="center" vertical="center"/>
    </xf>
    <xf numFmtId="49" fontId="0" fillId="4" borderId="64" xfId="0" applyNumberFormat="1" applyFill="1" applyBorder="1" applyAlignment="1" applyProtection="1">
      <alignment horizontal="left"/>
      <protection locked="0"/>
    </xf>
    <xf numFmtId="0" fontId="0" fillId="4" borderId="65" xfId="0" applyFill="1" applyBorder="1" applyAlignment="1">
      <alignment horizontal="center" vertical="center"/>
    </xf>
    <xf numFmtId="170" fontId="0" fillId="4" borderId="65" xfId="0" applyNumberFormat="1" applyFill="1" applyBorder="1" applyAlignment="1">
      <alignment horizontal="center" vertical="center"/>
    </xf>
    <xf numFmtId="49" fontId="0" fillId="4" borderId="66" xfId="0" applyNumberFormat="1" applyFill="1" applyBorder="1" applyAlignment="1">
      <alignment horizontal="left"/>
    </xf>
    <xf numFmtId="0" fontId="0" fillId="4" borderId="67" xfId="0" applyFill="1" applyBorder="1" applyAlignment="1">
      <alignment horizontal="center" vertical="center"/>
    </xf>
    <xf numFmtId="0" fontId="0" fillId="0" borderId="68" xfId="0" applyBorder="1" applyAlignment="1">
      <alignment horizontal="center" vertical="center"/>
    </xf>
    <xf numFmtId="179" fontId="0" fillId="4" borderId="69" xfId="0" applyNumberFormat="1" applyFill="1" applyBorder="1" applyAlignment="1">
      <alignment horizontal="center" vertical="center"/>
    </xf>
    <xf numFmtId="1" fontId="0" fillId="0" borderId="68" xfId="0" applyNumberFormat="1" applyBorder="1" applyAlignment="1">
      <alignment horizontal="center" vertical="center"/>
    </xf>
    <xf numFmtId="170" fontId="0" fillId="4" borderId="69" xfId="0" applyNumberFormat="1" applyFill="1" applyBorder="1" applyAlignment="1">
      <alignment horizontal="center" vertical="center"/>
    </xf>
    <xf numFmtId="180" fontId="0" fillId="0" borderId="68" xfId="0" applyNumberFormat="1" applyBorder="1" applyAlignment="1">
      <alignment horizontal="center" vertical="center"/>
    </xf>
    <xf numFmtId="0" fontId="0" fillId="4" borderId="69" xfId="0" applyFill="1" applyBorder="1" applyAlignment="1">
      <alignment horizontal="center" vertical="center"/>
    </xf>
    <xf numFmtId="180" fontId="0" fillId="0" borderId="70" xfId="0" applyNumberFormat="1" applyBorder="1" applyAlignment="1">
      <alignment horizontal="center" vertical="center"/>
    </xf>
    <xf numFmtId="0" fontId="45" fillId="0" borderId="0" xfId="0" applyFont="1"/>
    <xf numFmtId="165" fontId="46" fillId="0" borderId="71" xfId="38" applyNumberFormat="1" applyFont="1" applyBorder="1"/>
    <xf numFmtId="165" fontId="47" fillId="0" borderId="71" xfId="38" applyNumberFormat="1" applyFont="1" applyBorder="1"/>
    <xf numFmtId="165" fontId="26" fillId="0" borderId="71" xfId="38" applyNumberFormat="1" applyFont="1" applyBorder="1" applyAlignment="1">
      <alignment vertical="center"/>
    </xf>
    <xf numFmtId="165" fontId="48" fillId="0" borderId="71" xfId="38" applyNumberFormat="1" applyFont="1" applyBorder="1" applyAlignment="1">
      <alignment vertical="center"/>
    </xf>
    <xf numFmtId="165" fontId="49" fillId="0" borderId="71" xfId="38" applyNumberFormat="1" applyFont="1" applyBorder="1" applyAlignment="1">
      <alignment vertical="center"/>
    </xf>
    <xf numFmtId="0" fontId="0" fillId="0" borderId="71" xfId="0" applyBorder="1"/>
    <xf numFmtId="165" fontId="47" fillId="0" borderId="71" xfId="38" applyNumberFormat="1" applyFont="1" applyBorder="1" applyAlignment="1">
      <alignment vertical="center"/>
    </xf>
    <xf numFmtId="165" fontId="50" fillId="0" borderId="72" xfId="0" applyNumberFormat="1" applyFont="1" applyBorder="1" applyAlignment="1">
      <alignment horizontal="center" vertical="center"/>
    </xf>
    <xf numFmtId="165" fontId="50" fillId="0" borderId="73" xfId="0" applyNumberFormat="1" applyFont="1" applyBorder="1" applyAlignment="1">
      <alignment horizontal="center" vertical="center" wrapText="1"/>
    </xf>
    <xf numFmtId="0" fontId="1" fillId="0" borderId="74" xfId="0" applyFont="1" applyBorder="1" applyAlignment="1">
      <alignment horizontal="center"/>
    </xf>
    <xf numFmtId="0" fontId="16" fillId="6" borderId="75" xfId="0" applyFont="1" applyFill="1" applyBorder="1" applyAlignment="1" applyProtection="1">
      <alignment horizontal="center"/>
      <protection locked="0"/>
    </xf>
    <xf numFmtId="165" fontId="50" fillId="0" borderId="76" xfId="0" applyNumberFormat="1" applyFont="1" applyBorder="1" applyAlignment="1">
      <alignment horizontal="center" vertical="center"/>
    </xf>
    <xf numFmtId="0" fontId="50" fillId="0" borderId="77" xfId="0" applyFont="1" applyBorder="1" applyAlignment="1">
      <alignment horizontal="center" vertical="center"/>
    </xf>
    <xf numFmtId="165" fontId="50" fillId="0" borderId="78" xfId="0" applyNumberFormat="1" applyFont="1" applyBorder="1" applyAlignment="1">
      <alignment horizontal="center" vertical="center"/>
    </xf>
    <xf numFmtId="165" fontId="50" fillId="0" borderId="79" xfId="0" applyNumberFormat="1" applyFont="1" applyBorder="1" applyAlignment="1">
      <alignment horizontal="center" vertical="center" wrapText="1"/>
    </xf>
    <xf numFmtId="0" fontId="1" fillId="0" borderId="80" xfId="0" applyFont="1" applyBorder="1" applyAlignment="1">
      <alignment horizontal="center"/>
    </xf>
    <xf numFmtId="0" fontId="16" fillId="6" borderId="0" xfId="0" applyFont="1" applyFill="1" applyAlignment="1" applyProtection="1">
      <alignment horizontal="center"/>
      <protection locked="0"/>
    </xf>
    <xf numFmtId="0" fontId="16" fillId="6" borderId="81" xfId="0" applyFont="1" applyFill="1" applyBorder="1" applyAlignment="1" applyProtection="1">
      <alignment horizontal="center"/>
      <protection locked="0"/>
    </xf>
    <xf numFmtId="49" fontId="1" fillId="0" borderId="5" xfId="0" applyNumberFormat="1" applyFont="1" applyBorder="1" applyAlignment="1">
      <alignment horizontal="left"/>
    </xf>
    <xf numFmtId="170" fontId="1" fillId="2" borderId="29" xfId="0" applyNumberFormat="1" applyFont="1" applyFill="1" applyBorder="1" applyAlignment="1">
      <alignment horizontal="center" vertical="center" wrapText="1"/>
    </xf>
    <xf numFmtId="181" fontId="1" fillId="2" borderId="5" xfId="0" applyNumberFormat="1" applyFont="1" applyFill="1" applyBorder="1" applyAlignment="1">
      <alignment horizontal="center" vertical="center" wrapText="1"/>
    </xf>
    <xf numFmtId="180" fontId="1" fillId="2" borderId="29" xfId="0" applyNumberFormat="1" applyFont="1" applyFill="1" applyBorder="1" applyAlignment="1">
      <alignment horizontal="center" vertical="center" wrapText="1"/>
    </xf>
    <xf numFmtId="170" fontId="1" fillId="2" borderId="5" xfId="0" applyNumberFormat="1" applyFont="1" applyFill="1" applyBorder="1" applyAlignment="1">
      <alignment horizontal="center" vertical="center" wrapText="1"/>
    </xf>
    <xf numFmtId="173" fontId="1" fillId="2" borderId="5" xfId="0" applyNumberFormat="1" applyFont="1" applyFill="1" applyBorder="1" applyAlignment="1">
      <alignment horizontal="center" vertical="center" wrapText="1"/>
    </xf>
    <xf numFmtId="170" fontId="1" fillId="2" borderId="5" xfId="0" applyNumberFormat="1" applyFont="1" applyFill="1" applyBorder="1" applyAlignment="1" applyProtection="1">
      <alignment vertical="center"/>
      <protection locked="0"/>
    </xf>
    <xf numFmtId="49" fontId="1" fillId="7" borderId="5" xfId="0" applyNumberFormat="1" applyFont="1" applyFill="1" applyBorder="1" applyAlignment="1">
      <alignment horizontal="left"/>
    </xf>
    <xf numFmtId="9" fontId="104" fillId="2" borderId="29" xfId="23" applyFill="1" applyBorder="1" applyAlignment="1">
      <alignment horizontal="center" vertical="center" wrapText="1"/>
    </xf>
    <xf numFmtId="170" fontId="1" fillId="8" borderId="5" xfId="0" applyNumberFormat="1" applyFont="1" applyFill="1" applyBorder="1" applyAlignment="1" applyProtection="1">
      <alignment vertical="center"/>
      <protection locked="0"/>
    </xf>
    <xf numFmtId="182" fontId="1" fillId="2" borderId="5" xfId="0" applyNumberFormat="1" applyFont="1" applyFill="1" applyBorder="1" applyAlignment="1">
      <alignment horizontal="center" vertical="center" wrapText="1"/>
    </xf>
    <xf numFmtId="1" fontId="104" fillId="2" borderId="29" xfId="23" applyNumberFormat="1" applyFill="1" applyBorder="1" applyAlignment="1">
      <alignment horizontal="center" vertical="center" wrapText="1"/>
    </xf>
    <xf numFmtId="1" fontId="51" fillId="2" borderId="29" xfId="0" applyNumberFormat="1" applyFont="1" applyFill="1" applyBorder="1" applyAlignment="1">
      <alignment horizontal="center" vertical="center" wrapText="1"/>
    </xf>
    <xf numFmtId="170" fontId="1" fillId="8" borderId="5" xfId="0" applyNumberFormat="1" applyFont="1" applyFill="1" applyBorder="1" applyAlignment="1" applyProtection="1">
      <alignment horizontal="right" vertical="center"/>
      <protection locked="0"/>
    </xf>
    <xf numFmtId="1" fontId="1" fillId="2" borderId="29" xfId="0" applyNumberFormat="1" applyFont="1" applyFill="1" applyBorder="1" applyAlignment="1">
      <alignment horizontal="center" vertical="center" wrapText="1"/>
    </xf>
    <xf numFmtId="183" fontId="51" fillId="2" borderId="29" xfId="0" applyNumberFormat="1" applyFont="1" applyFill="1" applyBorder="1" applyAlignment="1">
      <alignment horizontal="center" vertical="center" wrapText="1"/>
    </xf>
    <xf numFmtId="9" fontId="1" fillId="2" borderId="29" xfId="0" applyNumberFormat="1" applyFont="1" applyFill="1" applyBorder="1" applyAlignment="1">
      <alignment horizontal="center" vertical="center" wrapText="1"/>
    </xf>
    <xf numFmtId="49" fontId="50" fillId="0" borderId="72" xfId="0" applyNumberFormat="1" applyFont="1" applyBorder="1" applyAlignment="1">
      <alignment horizontal="center" vertical="center"/>
    </xf>
    <xf numFmtId="49" fontId="50" fillId="0" borderId="73" xfId="0" applyNumberFormat="1" applyFont="1" applyBorder="1" applyAlignment="1">
      <alignment horizontal="center" vertical="center" wrapText="1"/>
    </xf>
    <xf numFmtId="49" fontId="1" fillId="5" borderId="82" xfId="0" applyNumberFormat="1" applyFont="1" applyFill="1" applyBorder="1"/>
    <xf numFmtId="170" fontId="1" fillId="0" borderId="29" xfId="0" applyNumberFormat="1" applyFont="1" applyBorder="1" applyAlignment="1">
      <alignment vertical="center"/>
    </xf>
    <xf numFmtId="170" fontId="1" fillId="0" borderId="5" xfId="0" applyNumberFormat="1" applyFont="1" applyBorder="1" applyAlignment="1">
      <alignment vertical="center"/>
    </xf>
    <xf numFmtId="49" fontId="1" fillId="5" borderId="2" xfId="0" applyNumberFormat="1" applyFont="1" applyFill="1" applyBorder="1"/>
    <xf numFmtId="49" fontId="1" fillId="7" borderId="5" xfId="0" applyNumberFormat="1" applyFont="1" applyFill="1" applyBorder="1"/>
    <xf numFmtId="170" fontId="1" fillId="9" borderId="29" xfId="0" applyNumberFormat="1" applyFont="1" applyFill="1" applyBorder="1" applyAlignment="1">
      <alignment vertical="center"/>
    </xf>
    <xf numFmtId="170" fontId="1" fillId="7" borderId="5" xfId="0" applyNumberFormat="1" applyFont="1" applyFill="1" applyBorder="1" applyAlignment="1">
      <alignment vertical="center"/>
    </xf>
    <xf numFmtId="49" fontId="1" fillId="5" borderId="83" xfId="0" applyNumberFormat="1" applyFont="1" applyFill="1" applyBorder="1"/>
    <xf numFmtId="170" fontId="1" fillId="0" borderId="84" xfId="0" applyNumberFormat="1" applyFont="1" applyBorder="1" applyAlignment="1">
      <alignment vertical="center"/>
    </xf>
    <xf numFmtId="165" fontId="53" fillId="0" borderId="0" xfId="5" applyFont="1" applyAlignment="1">
      <alignment vertical="center"/>
    </xf>
    <xf numFmtId="0" fontId="36" fillId="0" borderId="0" xfId="0" applyFont="1"/>
    <xf numFmtId="165" fontId="54" fillId="0" borderId="0" xfId="17" applyFont="1" applyAlignment="1">
      <alignment horizontal="right" vertical="center"/>
    </xf>
    <xf numFmtId="0" fontId="22" fillId="0" borderId="0" xfId="0" applyFont="1" applyAlignment="1">
      <alignment horizontal="center"/>
    </xf>
    <xf numFmtId="0" fontId="41" fillId="0" borderId="0" xfId="0" applyFont="1" applyAlignment="1">
      <alignment horizontal="left"/>
    </xf>
    <xf numFmtId="0" fontId="55" fillId="0" borderId="0" xfId="0" applyFont="1"/>
    <xf numFmtId="0" fontId="22" fillId="0" borderId="0" xfId="0" applyFont="1"/>
    <xf numFmtId="165" fontId="56" fillId="0" borderId="0" xfId="17" applyFont="1"/>
    <xf numFmtId="165" fontId="56" fillId="0" borderId="0" xfId="17" applyFont="1" applyAlignment="1">
      <alignment horizontal="center"/>
    </xf>
    <xf numFmtId="165" fontId="56" fillId="0" borderId="0" xfId="17" applyFont="1" applyAlignment="1">
      <alignment horizontal="right"/>
    </xf>
    <xf numFmtId="165" fontId="104" fillId="0" borderId="0" xfId="16"/>
    <xf numFmtId="0" fontId="22" fillId="0" borderId="0" xfId="0" applyFont="1" applyAlignment="1">
      <alignment horizontal="left" indent="1"/>
    </xf>
    <xf numFmtId="0" fontId="57" fillId="0" borderId="0" xfId="0" applyFont="1" applyAlignment="1">
      <alignment horizontal="left" indent="1"/>
    </xf>
    <xf numFmtId="165" fontId="0" fillId="0" borderId="85" xfId="32" applyNumberFormat="1" applyFont="1" applyBorder="1" applyAlignment="1">
      <alignment horizontal="right"/>
    </xf>
    <xf numFmtId="14" fontId="17" fillId="4" borderId="85" xfId="32" applyNumberFormat="1" applyFont="1" applyFill="1" applyBorder="1" applyAlignment="1">
      <alignment horizontal="center" vertical="center"/>
    </xf>
    <xf numFmtId="165" fontId="54" fillId="0" borderId="85" xfId="32" applyNumberFormat="1" applyFont="1" applyBorder="1" applyAlignment="1">
      <alignment horizontal="right"/>
    </xf>
    <xf numFmtId="165" fontId="17" fillId="4" borderId="85" xfId="32" applyNumberFormat="1" applyFont="1" applyFill="1" applyBorder="1" applyAlignment="1">
      <alignment horizontal="center" vertical="center"/>
    </xf>
    <xf numFmtId="167" fontId="17" fillId="4" borderId="85" xfId="32" applyNumberFormat="1" applyFont="1" applyFill="1" applyBorder="1" applyAlignment="1">
      <alignment horizontal="center" vertical="center"/>
    </xf>
    <xf numFmtId="165" fontId="22" fillId="0" borderId="0" xfId="16" applyFont="1"/>
    <xf numFmtId="185" fontId="17" fillId="4" borderId="85" xfId="32" applyNumberFormat="1" applyFont="1" applyFill="1" applyBorder="1" applyAlignment="1">
      <alignment horizontal="center"/>
    </xf>
    <xf numFmtId="170" fontId="17" fillId="4" borderId="85" xfId="32" applyNumberFormat="1" applyFont="1" applyFill="1" applyBorder="1" applyAlignment="1">
      <alignment horizontal="center"/>
    </xf>
    <xf numFmtId="165" fontId="17" fillId="4" borderId="85" xfId="32" applyNumberFormat="1" applyFont="1" applyFill="1" applyBorder="1" applyAlignment="1">
      <alignment horizontal="center"/>
    </xf>
    <xf numFmtId="167" fontId="17" fillId="4" borderId="85" xfId="32" applyNumberFormat="1" applyFont="1" applyFill="1" applyBorder="1" applyAlignment="1">
      <alignment horizontal="center"/>
    </xf>
    <xf numFmtId="0" fontId="59" fillId="0" borderId="0" xfId="0" applyFont="1"/>
    <xf numFmtId="0" fontId="57" fillId="0" borderId="0" xfId="16" applyNumberFormat="1" applyFont="1"/>
    <xf numFmtId="165" fontId="60" fillId="0" borderId="0" xfId="16" applyFont="1"/>
    <xf numFmtId="165" fontId="22" fillId="0" borderId="0" xfId="18" applyFont="1"/>
    <xf numFmtId="165" fontId="60" fillId="0" borderId="0" xfId="18" applyFont="1"/>
    <xf numFmtId="165" fontId="3" fillId="0" borderId="0" xfId="5" applyFont="1" applyAlignment="1">
      <alignment vertical="center"/>
    </xf>
    <xf numFmtId="165" fontId="29" fillId="0" borderId="0" xfId="0" applyNumberFormat="1" applyFont="1" applyAlignment="1">
      <alignment horizontal="right"/>
    </xf>
    <xf numFmtId="0" fontId="29" fillId="0" borderId="0" xfId="0" applyFont="1" applyAlignment="1">
      <alignment horizontal="center"/>
    </xf>
    <xf numFmtId="167" fontId="29" fillId="0" borderId="0" xfId="0" applyNumberFormat="1" applyFont="1" applyAlignment="1">
      <alignment horizontal="center"/>
    </xf>
    <xf numFmtId="168" fontId="29" fillId="0" borderId="0" xfId="2" applyNumberFormat="1" applyFont="1" applyAlignment="1">
      <alignment horizontal="left"/>
    </xf>
    <xf numFmtId="0" fontId="56" fillId="0" borderId="0" xfId="0" applyFont="1" applyAlignment="1">
      <alignment horizontal="center"/>
    </xf>
    <xf numFmtId="167" fontId="29" fillId="0" borderId="0" xfId="0" applyNumberFormat="1" applyFont="1" applyAlignment="1">
      <alignment horizontal="right"/>
    </xf>
    <xf numFmtId="167" fontId="29" fillId="0" borderId="0" xfId="0" applyNumberFormat="1" applyFont="1" applyAlignment="1">
      <alignment horizontal="left"/>
    </xf>
    <xf numFmtId="165" fontId="62" fillId="0" borderId="0" xfId="0" applyNumberFormat="1" applyFont="1"/>
    <xf numFmtId="0" fontId="44" fillId="0" borderId="0" xfId="0" applyFont="1"/>
    <xf numFmtId="0" fontId="63" fillId="2" borderId="0" xfId="0" applyFont="1" applyFill="1" applyAlignment="1" applyProtection="1">
      <alignment horizontal="left" vertical="center"/>
      <protection locked="0"/>
    </xf>
    <xf numFmtId="0" fontId="64" fillId="2" borderId="0" xfId="0" applyFont="1" applyFill="1" applyAlignment="1" applyProtection="1">
      <alignment horizontal="left" vertical="center"/>
      <protection locked="0"/>
    </xf>
    <xf numFmtId="0" fontId="64" fillId="2" borderId="64" xfId="0" applyFont="1" applyFill="1" applyBorder="1" applyAlignment="1" applyProtection="1">
      <alignment horizontal="left" vertical="center"/>
      <protection locked="0"/>
    </xf>
    <xf numFmtId="165" fontId="64" fillId="0" borderId="0" xfId="0" applyNumberFormat="1" applyFont="1"/>
    <xf numFmtId="0" fontId="0" fillId="0" borderId="0" xfId="0" applyAlignment="1">
      <alignment horizontal="left" wrapText="1"/>
    </xf>
    <xf numFmtId="0" fontId="44" fillId="0" borderId="0" xfId="0" applyFont="1" applyAlignment="1" applyProtection="1">
      <alignment horizontal="left"/>
      <protection locked="0"/>
    </xf>
    <xf numFmtId="165" fontId="65" fillId="0" borderId="0" xfId="0" applyNumberFormat="1" applyFont="1" applyAlignment="1">
      <alignment vertical="center" wrapText="1"/>
    </xf>
    <xf numFmtId="165" fontId="65" fillId="0" borderId="54" xfId="0" applyNumberFormat="1" applyFont="1" applyBorder="1" applyAlignment="1">
      <alignment horizontal="center" wrapText="1"/>
    </xf>
    <xf numFmtId="165" fontId="65" fillId="0" borderId="86" xfId="0" applyNumberFormat="1" applyFont="1" applyBorder="1" applyAlignment="1">
      <alignment horizontal="center" wrapText="1"/>
    </xf>
    <xf numFmtId="0" fontId="65" fillId="0" borderId="0" xfId="0" applyFont="1" applyAlignment="1">
      <alignment wrapText="1"/>
    </xf>
    <xf numFmtId="0" fontId="62" fillId="0" borderId="37" xfId="0" applyFont="1" applyBorder="1" applyAlignment="1">
      <alignment horizontal="center"/>
    </xf>
    <xf numFmtId="1" fontId="28" fillId="3" borderId="87" xfId="0" applyNumberFormat="1" applyFont="1" applyFill="1" applyBorder="1" applyAlignment="1">
      <alignment horizontal="center"/>
    </xf>
    <xf numFmtId="0" fontId="28" fillId="3" borderId="87" xfId="0" applyFont="1" applyFill="1" applyBorder="1" applyAlignment="1">
      <alignment horizontal="center"/>
    </xf>
    <xf numFmtId="0" fontId="62" fillId="0" borderId="88" xfId="0" applyFont="1" applyBorder="1" applyAlignment="1">
      <alignment horizontal="center"/>
    </xf>
    <xf numFmtId="165" fontId="3" fillId="0" borderId="0" xfId="15" applyFont="1" applyAlignment="1">
      <alignment vertical="center"/>
    </xf>
    <xf numFmtId="0" fontId="0" fillId="0" borderId="0" xfId="0" applyAlignment="1">
      <alignment horizontal="left"/>
    </xf>
    <xf numFmtId="186" fontId="0" fillId="0" borderId="0" xfId="0" applyNumberFormat="1"/>
    <xf numFmtId="177" fontId="104" fillId="0" borderId="0" xfId="32" applyNumberFormat="1" applyBorder="1" applyAlignment="1" applyProtection="1">
      <alignment horizontal="center"/>
      <protection locked="0"/>
    </xf>
    <xf numFmtId="167" fontId="0" fillId="0" borderId="0" xfId="0" applyNumberFormat="1" applyAlignment="1">
      <alignment horizontal="center"/>
    </xf>
    <xf numFmtId="1" fontId="36" fillId="0" borderId="0" xfId="0" applyNumberFormat="1" applyFont="1" applyAlignment="1">
      <alignment horizontal="center"/>
    </xf>
    <xf numFmtId="1" fontId="41" fillId="5" borderId="0" xfId="0" applyNumberFormat="1" applyFont="1" applyFill="1" applyAlignment="1">
      <alignment horizontal="center"/>
    </xf>
    <xf numFmtId="0" fontId="68" fillId="0" borderId="0" xfId="0" applyFont="1"/>
    <xf numFmtId="0" fontId="29" fillId="0" borderId="0" xfId="0" applyFont="1" applyAlignment="1">
      <alignment wrapText="1"/>
    </xf>
    <xf numFmtId="0" fontId="44" fillId="0" borderId="54" xfId="0" applyFont="1" applyBorder="1" applyAlignment="1">
      <alignment horizontal="center" vertical="center" wrapText="1"/>
    </xf>
    <xf numFmtId="0" fontId="44" fillId="0" borderId="89" xfId="0" applyFont="1" applyBorder="1" applyAlignment="1">
      <alignment horizontal="center" vertical="center" wrapText="1"/>
    </xf>
    <xf numFmtId="0" fontId="44" fillId="0" borderId="90" xfId="0" applyFont="1" applyBorder="1" applyAlignment="1">
      <alignment horizontal="center" vertical="center" wrapText="1"/>
    </xf>
    <xf numFmtId="0" fontId="44" fillId="0" borderId="91" xfId="0" applyFont="1" applyBorder="1" applyAlignment="1">
      <alignment horizontal="center" vertical="center" wrapText="1"/>
    </xf>
    <xf numFmtId="0" fontId="44" fillId="0" borderId="88" xfId="0" applyFont="1" applyBorder="1" applyAlignment="1">
      <alignment horizontal="left" vertical="center"/>
    </xf>
    <xf numFmtId="180" fontId="44" fillId="0" borderId="88" xfId="0" applyNumberFormat="1" applyFont="1" applyBorder="1" applyAlignment="1">
      <alignment horizontal="center" vertical="center"/>
    </xf>
    <xf numFmtId="0" fontId="44" fillId="0" borderId="88" xfId="0" applyFont="1" applyBorder="1" applyAlignment="1">
      <alignment horizontal="center" vertical="center"/>
    </xf>
    <xf numFmtId="180" fontId="22" fillId="10" borderId="92" xfId="0" applyNumberFormat="1" applyFont="1" applyFill="1" applyBorder="1" applyAlignment="1">
      <alignment horizontal="center"/>
    </xf>
    <xf numFmtId="180" fontId="36" fillId="10" borderId="92" xfId="0" applyNumberFormat="1" applyFont="1" applyFill="1" applyBorder="1" applyAlignment="1">
      <alignment horizontal="center"/>
    </xf>
    <xf numFmtId="167" fontId="29" fillId="0" borderId="0" xfId="0" applyNumberFormat="1" applyFont="1"/>
    <xf numFmtId="0" fontId="70" fillId="0" borderId="0" xfId="0" applyFont="1"/>
    <xf numFmtId="165" fontId="16" fillId="0" borderId="0" xfId="0" applyNumberFormat="1" applyFont="1" applyAlignment="1">
      <alignment horizontal="center"/>
    </xf>
    <xf numFmtId="165" fontId="0" fillId="0" borderId="0" xfId="0" applyNumberFormat="1" applyAlignment="1">
      <alignment horizontal="right"/>
    </xf>
    <xf numFmtId="167" fontId="28" fillId="0" borderId="0" xfId="0" applyNumberFormat="1" applyFont="1" applyAlignment="1">
      <alignment horizontal="center"/>
    </xf>
    <xf numFmtId="165" fontId="62" fillId="2" borderId="0" xfId="0" applyNumberFormat="1" applyFont="1" applyFill="1" applyAlignment="1" applyProtection="1">
      <alignment horizontal="left" vertical="top"/>
      <protection locked="0"/>
    </xf>
    <xf numFmtId="0" fontId="44" fillId="0" borderId="5" xfId="0" applyFont="1" applyBorder="1" applyAlignment="1">
      <alignment horizontal="center" vertical="center" wrapText="1"/>
    </xf>
    <xf numFmtId="9" fontId="71" fillId="11" borderId="2" xfId="23" applyFont="1" applyFill="1" applyBorder="1" applyAlignment="1">
      <alignment horizontal="center" vertical="center" wrapText="1"/>
    </xf>
    <xf numFmtId="170" fontId="22" fillId="5" borderId="93" xfId="0" applyNumberFormat="1" applyFont="1" applyFill="1" applyBorder="1" applyAlignment="1">
      <alignment horizontal="right"/>
    </xf>
    <xf numFmtId="170" fontId="22" fillId="5" borderId="94" xfId="2" applyNumberFormat="1" applyFont="1" applyFill="1" applyBorder="1"/>
    <xf numFmtId="9" fontId="22" fillId="5" borderId="94" xfId="23" applyFont="1" applyFill="1" applyBorder="1"/>
    <xf numFmtId="170" fontId="22" fillId="5" borderId="94" xfId="0" applyNumberFormat="1" applyFont="1" applyFill="1" applyBorder="1" applyAlignment="1">
      <alignment horizontal="right"/>
    </xf>
    <xf numFmtId="183" fontId="0" fillId="0" borderId="5" xfId="0" applyNumberFormat="1" applyBorder="1" applyAlignment="1">
      <alignment horizontal="center" vertical="center" wrapText="1"/>
    </xf>
    <xf numFmtId="0" fontId="22" fillId="5" borderId="93" xfId="0" applyFont="1" applyFill="1" applyBorder="1"/>
    <xf numFmtId="9" fontId="22" fillId="5" borderId="94" xfId="23" applyFont="1" applyFill="1" applyBorder="1" applyAlignment="1">
      <alignment horizontal="center"/>
    </xf>
    <xf numFmtId="170" fontId="22" fillId="0" borderId="0" xfId="0" applyNumberFormat="1" applyFont="1"/>
    <xf numFmtId="170" fontId="22" fillId="5" borderId="94" xfId="0" applyNumberFormat="1" applyFont="1" applyFill="1" applyBorder="1"/>
    <xf numFmtId="165" fontId="22" fillId="0" borderId="0" xfId="0" applyNumberFormat="1" applyFont="1"/>
    <xf numFmtId="0" fontId="73" fillId="0" borderId="0" xfId="0" applyFont="1"/>
    <xf numFmtId="0" fontId="73" fillId="0" borderId="0" xfId="0" applyFont="1" applyAlignment="1">
      <alignment horizontal="right"/>
    </xf>
    <xf numFmtId="165" fontId="19" fillId="0" borderId="0" xfId="15" applyFont="1" applyAlignment="1">
      <alignment vertical="center"/>
    </xf>
    <xf numFmtId="0" fontId="74" fillId="0" borderId="0" xfId="0" applyFont="1" applyAlignment="1">
      <alignment horizontal="left" vertical="center"/>
    </xf>
    <xf numFmtId="0" fontId="74" fillId="0" borderId="0" xfId="0" applyFont="1" applyAlignment="1">
      <alignment horizontal="left"/>
    </xf>
    <xf numFmtId="187" fontId="74" fillId="0" borderId="0" xfId="0" applyNumberFormat="1" applyFont="1" applyAlignment="1">
      <alignment horizontal="left"/>
    </xf>
    <xf numFmtId="0" fontId="76" fillId="0" borderId="0" xfId="0" applyFont="1"/>
    <xf numFmtId="0" fontId="79" fillId="0" borderId="0" xfId="0" applyFont="1" applyAlignment="1">
      <alignment horizontal="right"/>
    </xf>
    <xf numFmtId="0" fontId="50" fillId="0" borderId="95" xfId="0" applyFont="1" applyBorder="1" applyAlignment="1">
      <alignment horizontal="center" vertical="center" wrapText="1"/>
    </xf>
    <xf numFmtId="0" fontId="80" fillId="0" borderId="96" xfId="0" applyFont="1" applyBorder="1" applyAlignment="1">
      <alignment horizontal="right"/>
    </xf>
    <xf numFmtId="9" fontId="82" fillId="0" borderId="0" xfId="0" applyNumberFormat="1" applyFont="1"/>
    <xf numFmtId="0" fontId="50" fillId="0" borderId="97" xfId="0" applyFont="1" applyBorder="1" applyAlignment="1">
      <alignment horizontal="center"/>
    </xf>
    <xf numFmtId="0" fontId="80" fillId="0" borderId="98" xfId="0" applyFont="1" applyBorder="1" applyAlignment="1">
      <alignment horizontal="right"/>
    </xf>
    <xf numFmtId="0" fontId="50" fillId="0" borderId="99" xfId="0" applyFont="1" applyBorder="1" applyAlignment="1">
      <alignment horizontal="center"/>
    </xf>
    <xf numFmtId="0" fontId="80" fillId="0" borderId="100" xfId="0" applyFont="1" applyBorder="1" applyAlignment="1">
      <alignment horizontal="right"/>
    </xf>
    <xf numFmtId="0" fontId="83" fillId="0" borderId="0" xfId="0" applyFont="1" applyAlignment="1">
      <alignment horizontal="center"/>
    </xf>
    <xf numFmtId="0" fontId="80" fillId="0" borderId="0" xfId="0" applyFont="1" applyAlignment="1">
      <alignment horizontal="right"/>
    </xf>
    <xf numFmtId="0" fontId="10" fillId="0" borderId="0" xfId="0" applyFont="1" applyAlignment="1">
      <alignment horizontal="center" vertical="center"/>
    </xf>
    <xf numFmtId="9" fontId="82" fillId="0" borderId="0" xfId="0" applyNumberFormat="1" applyFont="1" applyAlignment="1">
      <alignment horizontal="center"/>
    </xf>
    <xf numFmtId="188" fontId="84" fillId="5" borderId="0" xfId="0" applyNumberFormat="1" applyFont="1" applyFill="1" applyAlignment="1">
      <alignment vertical="center"/>
    </xf>
    <xf numFmtId="0" fontId="80" fillId="5" borderId="0" xfId="0" applyFont="1" applyFill="1" applyAlignment="1">
      <alignment horizontal="right"/>
    </xf>
    <xf numFmtId="0" fontId="10" fillId="5" borderId="0" xfId="0" applyFont="1" applyFill="1" applyAlignment="1">
      <alignment horizontal="center" vertical="center"/>
    </xf>
    <xf numFmtId="0" fontId="85" fillId="5" borderId="0" xfId="0" applyFont="1" applyFill="1" applyAlignment="1">
      <alignment horizontal="center" vertical="center"/>
    </xf>
    <xf numFmtId="180" fontId="84" fillId="5" borderId="0" xfId="23" applyNumberFormat="1" applyFont="1" applyFill="1" applyAlignment="1">
      <alignment horizontal="right"/>
    </xf>
    <xf numFmtId="9" fontId="86" fillId="5" borderId="0" xfId="0" applyNumberFormat="1" applyFont="1" applyFill="1"/>
    <xf numFmtId="0" fontId="87" fillId="5" borderId="0" xfId="0" applyFont="1" applyFill="1" applyAlignment="1">
      <alignment horizontal="center" vertical="center"/>
    </xf>
    <xf numFmtId="9" fontId="86" fillId="5" borderId="0" xfId="0" applyNumberFormat="1" applyFont="1" applyFill="1" applyAlignment="1">
      <alignment horizontal="left"/>
    </xf>
    <xf numFmtId="0" fontId="44" fillId="0" borderId="0" xfId="0" applyFont="1" applyAlignment="1">
      <alignment horizontal="center" vertical="center"/>
    </xf>
    <xf numFmtId="0" fontId="84" fillId="5" borderId="0" xfId="0" applyFont="1" applyFill="1" applyAlignment="1">
      <alignment horizontal="left" vertical="center"/>
    </xf>
    <xf numFmtId="170" fontId="88" fillId="0" borderId="0" xfId="0" applyNumberFormat="1" applyFont="1" applyAlignment="1">
      <alignment horizontal="right" vertical="center"/>
    </xf>
    <xf numFmtId="0" fontId="89" fillId="5" borderId="0" xfId="0" applyFont="1" applyFill="1" applyAlignment="1">
      <alignment horizontal="left" vertical="center"/>
    </xf>
    <xf numFmtId="0" fontId="50" fillId="0" borderId="101" xfId="0" applyFont="1" applyBorder="1" applyAlignment="1">
      <alignment horizontal="center"/>
    </xf>
    <xf numFmtId="0" fontId="80" fillId="0" borderId="102" xfId="0" applyFont="1" applyBorder="1" applyAlignment="1">
      <alignment horizontal="right"/>
    </xf>
    <xf numFmtId="9" fontId="86" fillId="0" borderId="0" xfId="0" applyNumberFormat="1" applyFont="1"/>
    <xf numFmtId="0" fontId="50" fillId="0" borderId="103" xfId="0" applyFont="1" applyBorder="1" applyAlignment="1">
      <alignment horizontal="center"/>
    </xf>
    <xf numFmtId="0" fontId="80" fillId="0" borderId="104" xfId="0" applyFont="1" applyBorder="1" applyAlignment="1">
      <alignment horizontal="right"/>
    </xf>
    <xf numFmtId="0" fontId="50" fillId="0" borderId="103" xfId="0" applyFont="1" applyBorder="1" applyAlignment="1">
      <alignment horizontal="center" vertical="center"/>
    </xf>
    <xf numFmtId="0" fontId="50" fillId="0" borderId="105" xfId="0" applyFont="1" applyBorder="1" applyAlignment="1">
      <alignment horizontal="center" vertical="center"/>
    </xf>
    <xf numFmtId="0" fontId="80" fillId="0" borderId="106" xfId="0" applyFont="1" applyBorder="1" applyAlignment="1">
      <alignment horizontal="right"/>
    </xf>
    <xf numFmtId="0" fontId="91" fillId="0" borderId="0" xfId="0" applyFont="1"/>
    <xf numFmtId="0" fontId="92" fillId="0" borderId="0" xfId="0" applyFont="1"/>
    <xf numFmtId="0" fontId="93" fillId="0" borderId="0" xfId="0" applyFont="1" applyAlignment="1">
      <alignment horizontal="center" vertical="center"/>
    </xf>
    <xf numFmtId="0" fontId="94" fillId="0" borderId="0" xfId="0" applyFont="1" applyAlignment="1">
      <alignment horizontal="center" vertical="center"/>
    </xf>
    <xf numFmtId="0" fontId="94" fillId="0" borderId="0" xfId="0" applyFont="1" applyAlignment="1">
      <alignment horizontal="right" vertical="center" indent="1"/>
    </xf>
    <xf numFmtId="0" fontId="95" fillId="0" borderId="0" xfId="0" applyFont="1" applyAlignment="1">
      <alignment horizontal="center"/>
    </xf>
    <xf numFmtId="0" fontId="96" fillId="0" borderId="107" xfId="0" applyFont="1" applyBorder="1" applyAlignment="1">
      <alignment horizontal="center" vertical="center"/>
    </xf>
    <xf numFmtId="0" fontId="44" fillId="0" borderId="108" xfId="0" applyFont="1" applyBorder="1" applyAlignment="1">
      <alignment vertical="center"/>
    </xf>
    <xf numFmtId="0" fontId="96" fillId="0" borderId="109" xfId="0" applyFont="1" applyBorder="1" applyAlignment="1">
      <alignment horizontal="center" vertical="center"/>
    </xf>
    <xf numFmtId="0" fontId="44" fillId="0" borderId="110" xfId="0" applyFont="1" applyBorder="1" applyAlignment="1">
      <alignment vertical="center"/>
    </xf>
    <xf numFmtId="0" fontId="96" fillId="0" borderId="111" xfId="0" applyFont="1" applyBorder="1" applyAlignment="1">
      <alignment horizontal="center" vertical="center"/>
    </xf>
    <xf numFmtId="0" fontId="44" fillId="0" borderId="112" xfId="0" applyFont="1" applyBorder="1" applyAlignment="1">
      <alignment vertical="center"/>
    </xf>
    <xf numFmtId="0" fontId="44" fillId="0" borderId="113" xfId="0" applyFont="1" applyBorder="1" applyAlignment="1">
      <alignment vertical="center"/>
    </xf>
    <xf numFmtId="0" fontId="4" fillId="0" borderId="0" xfId="0" applyFont="1" applyAlignment="1">
      <alignment horizontal="center"/>
    </xf>
    <xf numFmtId="0" fontId="75" fillId="6" borderId="114" xfId="0" applyFont="1" applyFill="1" applyBorder="1" applyAlignment="1">
      <alignment vertical="center"/>
    </xf>
    <xf numFmtId="0" fontId="32" fillId="0" borderId="0" xfId="0" applyFont="1"/>
    <xf numFmtId="0" fontId="97" fillId="0" borderId="0" xfId="22" applyFont="1" applyAlignment="1">
      <alignment horizontal="center" vertical="center" wrapText="1"/>
    </xf>
    <xf numFmtId="0" fontId="97" fillId="12" borderId="115" xfId="22" applyFont="1" applyFill="1" applyBorder="1" applyAlignment="1">
      <alignment horizontal="center" vertical="center" wrapText="1"/>
    </xf>
    <xf numFmtId="0" fontId="99" fillId="0" borderId="0" xfId="0" applyFont="1"/>
    <xf numFmtId="0" fontId="99" fillId="0" borderId="0" xfId="0" applyFont="1" applyAlignment="1">
      <alignment horizontal="center"/>
    </xf>
    <xf numFmtId="0" fontId="100" fillId="0" borderId="0" xfId="0" applyFont="1"/>
    <xf numFmtId="0" fontId="101" fillId="6" borderId="114" xfId="0" applyFont="1" applyFill="1" applyBorder="1" applyAlignment="1">
      <alignment vertical="center"/>
    </xf>
    <xf numFmtId="0" fontId="30" fillId="0" borderId="0" xfId="0" applyFont="1"/>
    <xf numFmtId="0" fontId="102" fillId="6" borderId="5" xfId="0" applyFont="1" applyFill="1" applyBorder="1" applyAlignment="1">
      <alignment horizontal="center"/>
    </xf>
    <xf numFmtId="0" fontId="0" fillId="0" borderId="5" xfId="0" applyBorder="1"/>
    <xf numFmtId="0" fontId="0" fillId="0" borderId="5" xfId="0" applyBorder="1" applyAlignment="1">
      <alignment horizontal="center"/>
    </xf>
    <xf numFmtId="0" fontId="60" fillId="0" borderId="5" xfId="0" applyFont="1" applyBorder="1" applyAlignment="1">
      <alignment horizontal="center"/>
    </xf>
    <xf numFmtId="0" fontId="103" fillId="0" borderId="5" xfId="0" applyFont="1" applyBorder="1" applyAlignment="1">
      <alignment horizontal="left" indent="1"/>
    </xf>
    <xf numFmtId="0" fontId="60" fillId="0" borderId="0" xfId="0" applyFont="1"/>
    <xf numFmtId="0" fontId="60" fillId="0" borderId="5" xfId="0" applyFont="1" applyBorder="1"/>
    <xf numFmtId="165" fontId="60" fillId="0" borderId="5" xfId="18" applyFont="1" applyBorder="1"/>
    <xf numFmtId="10" fontId="104" fillId="2" borderId="29" xfId="23" applyNumberFormat="1" applyFill="1" applyBorder="1" applyAlignment="1">
      <alignment horizontal="center" vertical="center" wrapText="1"/>
    </xf>
    <xf numFmtId="9" fontId="104" fillId="2" borderId="29" xfId="23" applyFill="1" applyBorder="1" applyAlignment="1">
      <alignment horizontal="center"/>
    </xf>
    <xf numFmtId="10" fontId="104" fillId="2" borderId="29" xfId="23" applyNumberFormat="1" applyFill="1" applyBorder="1" applyAlignment="1">
      <alignment horizontal="center" vertical="center"/>
    </xf>
    <xf numFmtId="9" fontId="104" fillId="2" borderId="29" xfId="23" applyFill="1" applyBorder="1" applyAlignment="1">
      <alignment horizontal="center" vertical="center"/>
    </xf>
    <xf numFmtId="2" fontId="0" fillId="0" borderId="5" xfId="0" applyNumberFormat="1" applyBorder="1" applyAlignment="1">
      <alignment horizontal="center" vertical="center" wrapText="1"/>
    </xf>
    <xf numFmtId="10" fontId="0" fillId="0" borderId="5" xfId="0" applyNumberFormat="1" applyBorder="1" applyAlignment="1">
      <alignment horizontal="center" vertical="center" wrapText="1"/>
    </xf>
    <xf numFmtId="189" fontId="0" fillId="0" borderId="0" xfId="0" applyNumberFormat="1"/>
    <xf numFmtId="190" fontId="0" fillId="0" borderId="0" xfId="0" applyNumberFormat="1"/>
    <xf numFmtId="2" fontId="0" fillId="0" borderId="0" xfId="0" applyNumberFormat="1"/>
    <xf numFmtId="165" fontId="107" fillId="0" borderId="31" xfId="0" applyNumberFormat="1" applyFont="1" applyBorder="1" applyAlignment="1">
      <alignment wrapText="1"/>
    </xf>
    <xf numFmtId="176" fontId="31" fillId="0" borderId="0" xfId="0" applyNumberFormat="1" applyFont="1" applyAlignment="1">
      <alignment horizontal="center"/>
    </xf>
    <xf numFmtId="176" fontId="0" fillId="0" borderId="0" xfId="0" applyNumberFormat="1"/>
    <xf numFmtId="44" fontId="0" fillId="0" borderId="0" xfId="0" applyNumberFormat="1"/>
    <xf numFmtId="191" fontId="31" fillId="0" borderId="0" xfId="0" applyNumberFormat="1" applyFont="1" applyProtection="1">
      <protection locked="0"/>
    </xf>
    <xf numFmtId="178" fontId="31" fillId="0" borderId="0" xfId="0" applyNumberFormat="1" applyFont="1" applyProtection="1">
      <protection locked="0"/>
    </xf>
    <xf numFmtId="191" fontId="31" fillId="0" borderId="0" xfId="0" applyNumberFormat="1" applyFont="1" applyAlignment="1">
      <alignment horizontal="center" vertical="center"/>
    </xf>
    <xf numFmtId="191" fontId="0" fillId="0" borderId="0" xfId="0" applyNumberFormat="1"/>
    <xf numFmtId="165" fontId="99" fillId="0" borderId="16" xfId="0" applyNumberFormat="1" applyFont="1" applyBorder="1" applyAlignment="1">
      <alignment vertical="center" wrapText="1"/>
    </xf>
    <xf numFmtId="0" fontId="99" fillId="0" borderId="17" xfId="0" applyFont="1" applyBorder="1" applyAlignment="1">
      <alignment horizontal="center" vertical="center" wrapText="1"/>
    </xf>
    <xf numFmtId="0" fontId="99" fillId="0" borderId="18" xfId="0" applyFont="1" applyBorder="1" applyAlignment="1">
      <alignment horizontal="center" vertical="center" wrapText="1"/>
    </xf>
    <xf numFmtId="165" fontId="111" fillId="0" borderId="19" xfId="0" applyNumberFormat="1" applyFont="1" applyBorder="1" applyAlignment="1" applyProtection="1">
      <alignment wrapText="1"/>
      <protection locked="0"/>
    </xf>
    <xf numFmtId="172" fontId="56" fillId="3" borderId="20" xfId="2" applyNumberFormat="1" applyFont="1" applyFill="1" applyBorder="1" applyProtection="1">
      <protection locked="0"/>
    </xf>
    <xf numFmtId="165" fontId="111" fillId="0" borderId="19" xfId="0" applyNumberFormat="1" applyFont="1" applyBorder="1" applyProtection="1">
      <protection locked="0"/>
    </xf>
    <xf numFmtId="169" fontId="56" fillId="3" borderId="20" xfId="2" applyNumberFormat="1" applyFont="1" applyFill="1" applyBorder="1" applyProtection="1">
      <protection locked="0"/>
    </xf>
    <xf numFmtId="49" fontId="111" fillId="0" borderId="19" xfId="0" applyNumberFormat="1" applyFont="1" applyBorder="1" applyProtection="1">
      <protection locked="0"/>
    </xf>
    <xf numFmtId="0" fontId="111" fillId="0" borderId="19" xfId="0" applyFont="1" applyBorder="1" applyAlignment="1" applyProtection="1">
      <alignment wrapText="1"/>
      <protection locked="0"/>
    </xf>
    <xf numFmtId="166" fontId="112" fillId="3" borderId="21" xfId="4" applyFont="1" applyFill="1" applyBorder="1" applyProtection="1">
      <protection locked="0"/>
    </xf>
    <xf numFmtId="166" fontId="112" fillId="3" borderId="20" xfId="4" applyFont="1" applyFill="1" applyBorder="1" applyProtection="1">
      <protection locked="0"/>
    </xf>
    <xf numFmtId="165" fontId="56" fillId="0" borderId="22" xfId="0" applyNumberFormat="1" applyFont="1" applyBorder="1"/>
    <xf numFmtId="174" fontId="56" fillId="0" borderId="23" xfId="0" applyNumberFormat="1" applyFont="1" applyBorder="1"/>
    <xf numFmtId="165" fontId="2" fillId="13" borderId="0" xfId="14" applyFont="1" applyFill="1" applyAlignment="1">
      <alignment horizontal="center" vertical="center"/>
    </xf>
    <xf numFmtId="165" fontId="4" fillId="0" borderId="0" xfId="0" applyNumberFormat="1" applyFont="1" applyAlignment="1">
      <alignment horizontal="center"/>
    </xf>
    <xf numFmtId="0" fontId="17" fillId="0" borderId="5" xfId="0" applyFont="1" applyBorder="1" applyAlignment="1">
      <alignment horizontal="center" vertical="center" wrapText="1"/>
    </xf>
    <xf numFmtId="0" fontId="0" fillId="0" borderId="5" xfId="0" applyBorder="1" applyAlignment="1">
      <alignment horizontal="center" vertical="center" wrapText="1"/>
    </xf>
    <xf numFmtId="0" fontId="18" fillId="5" borderId="5" xfId="0" applyFont="1" applyFill="1" applyBorder="1" applyAlignment="1" applyProtection="1">
      <alignment vertical="center" wrapText="1"/>
      <protection locked="0"/>
    </xf>
    <xf numFmtId="0" fontId="10" fillId="0" borderId="5" xfId="0" applyFont="1" applyBorder="1" applyAlignment="1" applyProtection="1">
      <alignment horizontal="justify" vertical="center" wrapText="1"/>
      <protection locked="0"/>
    </xf>
    <xf numFmtId="0" fontId="10" fillId="0" borderId="5" xfId="0" applyFont="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0" fontId="9" fillId="5" borderId="5" xfId="0" applyFont="1" applyFill="1" applyBorder="1" applyAlignment="1" applyProtection="1">
      <alignment vertical="center" wrapText="1"/>
      <protection locked="0"/>
    </xf>
    <xf numFmtId="0" fontId="9" fillId="2" borderId="5" xfId="0" applyFont="1" applyFill="1" applyBorder="1" applyAlignment="1">
      <alignment vertical="center" wrapText="1"/>
    </xf>
    <xf numFmtId="0" fontId="9" fillId="0" borderId="5" xfId="0" applyFont="1" applyBorder="1" applyAlignment="1" applyProtection="1">
      <alignment vertical="center" wrapText="1"/>
      <protection locked="0"/>
    </xf>
    <xf numFmtId="0" fontId="6" fillId="0" borderId="0" xfId="0" applyFont="1" applyAlignment="1">
      <alignment horizontal="center"/>
    </xf>
    <xf numFmtId="0" fontId="16"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165" fontId="8" fillId="0" borderId="5" xfId="0" applyNumberFormat="1" applyFont="1" applyBorder="1" applyAlignment="1">
      <alignment horizontal="justify" vertical="center" wrapText="1"/>
    </xf>
    <xf numFmtId="0" fontId="10" fillId="0" borderId="5" xfId="0" applyFont="1" applyBorder="1" applyAlignment="1">
      <alignment horizontal="justify" vertical="center" wrapText="1"/>
    </xf>
    <xf numFmtId="0" fontId="10" fillId="0" borderId="5" xfId="0" applyFont="1" applyBorder="1" applyAlignment="1">
      <alignment horizontal="left" vertical="center" wrapText="1"/>
    </xf>
    <xf numFmtId="0" fontId="14" fillId="0" borderId="80" xfId="0" applyFont="1" applyBorder="1" applyAlignment="1">
      <alignment horizontal="justify" vertical="center" wrapText="1"/>
    </xf>
    <xf numFmtId="0" fontId="14" fillId="0" borderId="5" xfId="0" applyFont="1" applyBorder="1" applyAlignment="1">
      <alignment horizontal="left" vertical="center" wrapText="1"/>
    </xf>
    <xf numFmtId="0" fontId="14" fillId="0" borderId="5" xfId="0" applyFont="1" applyBorder="1" applyAlignment="1">
      <alignment horizontal="justify" vertical="center" wrapText="1"/>
    </xf>
    <xf numFmtId="165" fontId="8" fillId="0" borderId="5" xfId="0" applyNumberFormat="1" applyFont="1" applyBorder="1" applyAlignment="1">
      <alignment horizontal="left" vertical="center" wrapText="1"/>
    </xf>
    <xf numFmtId="0" fontId="10" fillId="0" borderId="52" xfId="0" applyFont="1" applyBorder="1" applyAlignment="1">
      <alignment horizontal="justify" wrapText="1"/>
    </xf>
    <xf numFmtId="0" fontId="9" fillId="0" borderId="80" xfId="0" applyFont="1" applyBorder="1" applyAlignment="1">
      <alignment horizontal="justify" vertical="center" wrapText="1"/>
    </xf>
    <xf numFmtId="0" fontId="7" fillId="4" borderId="5" xfId="0" applyFont="1" applyFill="1" applyBorder="1" applyAlignment="1">
      <alignment horizontal="center"/>
    </xf>
    <xf numFmtId="0" fontId="0" fillId="0" borderId="0" xfId="0" applyAlignment="1">
      <alignment horizontal="center"/>
    </xf>
    <xf numFmtId="0" fontId="0" fillId="0" borderId="0" xfId="0" applyAlignment="1">
      <alignment horizontal="center" wrapText="1"/>
    </xf>
    <xf numFmtId="0" fontId="9" fillId="0" borderId="5" xfId="0" applyFont="1" applyBorder="1" applyAlignment="1">
      <alignment horizontal="justify" vertical="center" wrapText="1"/>
    </xf>
    <xf numFmtId="0" fontId="0" fillId="0" borderId="116" xfId="0" applyBorder="1" applyAlignment="1">
      <alignment horizontal="center"/>
    </xf>
    <xf numFmtId="0" fontId="0" fillId="0" borderId="116" xfId="0" applyBorder="1" applyAlignment="1">
      <alignment horizontal="center" wrapText="1"/>
    </xf>
    <xf numFmtId="9" fontId="9" fillId="0" borderId="5" xfId="23" applyFont="1" applyBorder="1" applyAlignment="1">
      <alignment horizontal="justify" vertical="center" wrapText="1"/>
    </xf>
    <xf numFmtId="9" fontId="10" fillId="0" borderId="5" xfId="0" applyNumberFormat="1" applyFont="1" applyBorder="1" applyAlignment="1">
      <alignment horizontal="left" vertical="center" wrapText="1"/>
    </xf>
    <xf numFmtId="165" fontId="2" fillId="14" borderId="0" xfId="13" applyFont="1" applyFill="1" applyAlignment="1">
      <alignment horizontal="center" vertical="center"/>
    </xf>
    <xf numFmtId="0" fontId="7" fillId="3" borderId="5" xfId="0" applyFont="1" applyFill="1" applyBorder="1" applyAlignment="1">
      <alignment horizontal="center"/>
    </xf>
    <xf numFmtId="0" fontId="1" fillId="0" borderId="127" xfId="0" applyFont="1" applyBorder="1" applyAlignment="1">
      <alignment horizontal="left" vertical="center" wrapText="1"/>
    </xf>
    <xf numFmtId="0" fontId="1" fillId="0" borderId="124" xfId="0" applyFont="1" applyBorder="1" applyAlignment="1">
      <alignment horizontal="center" vertical="center" wrapText="1"/>
    </xf>
    <xf numFmtId="0" fontId="1" fillId="0" borderId="125" xfId="0" applyFont="1" applyBorder="1" applyAlignment="1">
      <alignment horizontal="center" vertical="center" wrapText="1"/>
    </xf>
    <xf numFmtId="0" fontId="1" fillId="0" borderId="126" xfId="0" applyFont="1" applyBorder="1" applyAlignment="1">
      <alignment horizontal="left" vertical="center" wrapText="1"/>
    </xf>
    <xf numFmtId="0" fontId="1" fillId="7" borderId="127" xfId="0" applyFont="1" applyFill="1" applyBorder="1" applyAlignment="1">
      <alignment horizontal="left" vertical="center" wrapText="1"/>
    </xf>
    <xf numFmtId="0" fontId="1" fillId="7" borderId="124" xfId="0" applyFont="1" applyFill="1" applyBorder="1" applyAlignment="1">
      <alignment horizontal="center" vertical="center" wrapText="1"/>
    </xf>
    <xf numFmtId="0" fontId="1" fillId="7" borderId="125" xfId="0" applyFont="1" applyFill="1" applyBorder="1" applyAlignment="1">
      <alignment horizontal="center" vertical="center" wrapText="1"/>
    </xf>
    <xf numFmtId="49" fontId="1" fillId="8" borderId="124" xfId="0" applyNumberFormat="1" applyFont="1" applyFill="1" applyBorder="1" applyAlignment="1">
      <alignment horizontal="left" vertical="center" wrapText="1"/>
    </xf>
    <xf numFmtId="0" fontId="1" fillId="2" borderId="124" xfId="0" applyFont="1" applyFill="1" applyBorder="1" applyAlignment="1">
      <alignment horizontal="center" vertical="center" wrapText="1"/>
    </xf>
    <xf numFmtId="49" fontId="1" fillId="2" borderId="125" xfId="0" applyNumberFormat="1" applyFont="1" applyFill="1" applyBorder="1" applyAlignment="1">
      <alignment horizontal="center" vertical="center" wrapText="1"/>
    </xf>
    <xf numFmtId="49" fontId="1" fillId="2" borderId="124" xfId="0" applyNumberFormat="1" applyFont="1" applyFill="1" applyBorder="1" applyAlignment="1">
      <alignment horizontal="left" vertical="center" wrapText="1"/>
    </xf>
    <xf numFmtId="165" fontId="50" fillId="0" borderId="72" xfId="0" applyNumberFormat="1" applyFont="1" applyBorder="1" applyAlignment="1">
      <alignment horizontal="center" vertical="center"/>
    </xf>
    <xf numFmtId="0" fontId="0" fillId="6" borderId="81" xfId="0" applyFill="1" applyBorder="1" applyAlignment="1">
      <alignment horizontal="center" vertical="center" textRotation="90"/>
    </xf>
    <xf numFmtId="0" fontId="1" fillId="2" borderId="124" xfId="0" applyFont="1" applyFill="1" applyBorder="1" applyAlignment="1">
      <alignment horizontal="left" vertical="center" wrapText="1"/>
    </xf>
    <xf numFmtId="0" fontId="0" fillId="0" borderId="122" xfId="0" applyBorder="1" applyAlignment="1">
      <alignment horizontal="center"/>
    </xf>
    <xf numFmtId="165" fontId="0" fillId="0" borderId="46" xfId="0" applyNumberFormat="1" applyBorder="1" applyAlignment="1">
      <alignment horizontal="left"/>
    </xf>
    <xf numFmtId="165" fontId="0" fillId="0" borderId="48" xfId="0" applyNumberFormat="1" applyBorder="1" applyAlignment="1">
      <alignment horizontal="left"/>
    </xf>
    <xf numFmtId="165" fontId="0" fillId="0" borderId="123" xfId="0" applyNumberFormat="1" applyBorder="1" applyAlignment="1" applyProtection="1">
      <alignment horizontal="left" vertical="center"/>
      <protection locked="0"/>
    </xf>
    <xf numFmtId="165" fontId="27" fillId="0" borderId="118" xfId="0" applyNumberFormat="1" applyFont="1" applyBorder="1" applyAlignment="1">
      <alignment horizontal="right"/>
    </xf>
    <xf numFmtId="165" fontId="16" fillId="0" borderId="119" xfId="0" applyNumberFormat="1" applyFont="1" applyBorder="1" applyAlignment="1">
      <alignment horizontal="center"/>
    </xf>
    <xf numFmtId="0" fontId="0" fillId="16" borderId="120" xfId="0" applyFill="1" applyBorder="1" applyAlignment="1">
      <alignment horizontal="center"/>
    </xf>
    <xf numFmtId="165" fontId="32" fillId="0" borderId="121" xfId="0" applyNumberFormat="1" applyFont="1" applyBorder="1" applyAlignment="1">
      <alignment horizontal="center" wrapText="1"/>
    </xf>
    <xf numFmtId="165" fontId="22" fillId="15" borderId="5" xfId="32" applyNumberFormat="1" applyFont="1" applyFill="1" applyBorder="1" applyAlignment="1" applyProtection="1">
      <alignment horizontal="center"/>
      <protection locked="0"/>
    </xf>
    <xf numFmtId="165" fontId="21" fillId="0" borderId="6" xfId="0" applyNumberFormat="1" applyFont="1" applyBorder="1" applyAlignment="1">
      <alignment horizontal="right"/>
    </xf>
    <xf numFmtId="49" fontId="0" fillId="0" borderId="29" xfId="0" applyNumberFormat="1" applyBorder="1" applyAlignment="1" applyProtection="1">
      <alignment horizontal="center"/>
      <protection locked="0"/>
    </xf>
    <xf numFmtId="165" fontId="19" fillId="14" borderId="0" xfId="5" applyFont="1" applyFill="1" applyAlignment="1">
      <alignment horizontal="center" vertical="center"/>
    </xf>
    <xf numFmtId="165" fontId="21" fillId="0" borderId="0" xfId="0" applyNumberFormat="1" applyFont="1" applyAlignment="1">
      <alignment horizontal="right"/>
    </xf>
    <xf numFmtId="0" fontId="0" fillId="2" borderId="5" xfId="0" applyFill="1" applyBorder="1" applyAlignment="1">
      <alignment horizontal="center"/>
    </xf>
    <xf numFmtId="165" fontId="23" fillId="0" borderId="117" xfId="0" applyNumberFormat="1" applyFont="1" applyBorder="1" applyAlignment="1">
      <alignment horizontal="right"/>
    </xf>
    <xf numFmtId="165" fontId="21" fillId="0" borderId="40" xfId="0" applyNumberFormat="1" applyFont="1" applyBorder="1" applyAlignment="1">
      <alignment horizontal="right"/>
    </xf>
    <xf numFmtId="49" fontId="16" fillId="0" borderId="5" xfId="0" applyNumberFormat="1" applyFont="1" applyBorder="1" applyAlignment="1" applyProtection="1">
      <alignment horizontal="center"/>
      <protection locked="0"/>
    </xf>
    <xf numFmtId="165" fontId="0" fillId="0" borderId="5" xfId="0" applyNumberFormat="1" applyBorder="1" applyAlignment="1" applyProtection="1">
      <alignment horizontal="center"/>
      <protection locked="0"/>
    </xf>
    <xf numFmtId="49" fontId="0" fillId="0" borderId="29" xfId="0" applyNumberFormat="1" applyBorder="1" applyAlignment="1" applyProtection="1">
      <alignment horizontal="center" wrapText="1"/>
      <protection locked="0"/>
    </xf>
    <xf numFmtId="167" fontId="0" fillId="0" borderId="5" xfId="32" applyNumberFormat="1" applyFont="1" applyBorder="1" applyAlignment="1" applyProtection="1">
      <alignment horizontal="center"/>
      <protection locked="0"/>
    </xf>
    <xf numFmtId="165" fontId="21" fillId="0" borderId="117" xfId="0" applyNumberFormat="1" applyFont="1" applyBorder="1" applyAlignment="1">
      <alignment horizontal="right"/>
    </xf>
    <xf numFmtId="49" fontId="0" fillId="0" borderId="5" xfId="0" applyNumberFormat="1" applyBorder="1" applyAlignment="1" applyProtection="1">
      <alignment horizontal="center"/>
      <protection locked="0"/>
    </xf>
    <xf numFmtId="166" fontId="0" fillId="0" borderId="29" xfId="0" applyNumberFormat="1" applyBorder="1" applyAlignment="1" applyProtection="1">
      <alignment horizontal="center"/>
      <protection locked="0"/>
    </xf>
    <xf numFmtId="165" fontId="17" fillId="4" borderId="85" xfId="32" applyNumberFormat="1" applyFont="1" applyFill="1" applyBorder="1" applyAlignment="1">
      <alignment horizontal="center"/>
    </xf>
    <xf numFmtId="165" fontId="0" fillId="0" borderId="85" xfId="32" applyNumberFormat="1" applyFont="1" applyBorder="1" applyAlignment="1">
      <alignment horizontal="right"/>
    </xf>
    <xf numFmtId="167" fontId="17" fillId="4" borderId="85" xfId="32" applyNumberFormat="1" applyFont="1" applyFill="1" applyBorder="1" applyAlignment="1">
      <alignment horizontal="center"/>
    </xf>
    <xf numFmtId="165" fontId="58" fillId="13" borderId="85" xfId="32" applyNumberFormat="1" applyFont="1" applyFill="1" applyBorder="1" applyAlignment="1">
      <alignment horizontal="center"/>
    </xf>
    <xf numFmtId="184" fontId="17" fillId="4" borderId="85" xfId="32" applyNumberFormat="1" applyFont="1" applyFill="1" applyBorder="1" applyAlignment="1">
      <alignment horizontal="center" vertical="center"/>
    </xf>
    <xf numFmtId="165" fontId="2" fillId="14" borderId="0" xfId="5" applyFont="1" applyFill="1" applyAlignment="1">
      <alignment horizontal="center" vertical="center"/>
    </xf>
    <xf numFmtId="165" fontId="4" fillId="4" borderId="0" xfId="17" applyFont="1" applyFill="1" applyAlignment="1">
      <alignment horizontal="center" vertical="center" wrapText="1"/>
    </xf>
    <xf numFmtId="165" fontId="54" fillId="0" borderId="0" xfId="17" applyFont="1" applyAlignment="1">
      <alignment horizontal="right" vertical="center"/>
    </xf>
    <xf numFmtId="165" fontId="17" fillId="4" borderId="0" xfId="17" applyFont="1" applyFill="1" applyAlignment="1">
      <alignment horizontal="center" vertical="center" wrapText="1"/>
    </xf>
    <xf numFmtId="0" fontId="66" fillId="0" borderId="130" xfId="0" applyFont="1" applyBorder="1" applyAlignment="1">
      <alignment horizontal="left" wrapText="1"/>
    </xf>
    <xf numFmtId="0" fontId="66" fillId="0" borderId="131" xfId="0" applyFont="1" applyBorder="1" applyAlignment="1">
      <alignment horizontal="left" wrapText="1"/>
    </xf>
    <xf numFmtId="0" fontId="108" fillId="2" borderId="29" xfId="0" applyFont="1" applyFill="1" applyBorder="1" applyAlignment="1" applyProtection="1">
      <alignment horizontal="left" vertical="center" wrapText="1"/>
      <protection locked="0"/>
    </xf>
    <xf numFmtId="165" fontId="65" fillId="0" borderId="120" xfId="0" applyNumberFormat="1" applyFont="1" applyBorder="1" applyAlignment="1">
      <alignment horizontal="center" vertical="center" wrapText="1"/>
    </xf>
    <xf numFmtId="0" fontId="0" fillId="0" borderId="129" xfId="0" applyBorder="1" applyAlignment="1">
      <alignment horizontal="center"/>
    </xf>
    <xf numFmtId="0" fontId="109" fillId="2" borderId="29" xfId="0" applyFont="1" applyFill="1" applyBorder="1" applyAlignment="1" applyProtection="1">
      <alignment horizontal="left" vertical="center" wrapText="1"/>
      <protection locked="0"/>
    </xf>
    <xf numFmtId="0" fontId="109" fillId="2" borderId="6" xfId="0" applyFont="1" applyFill="1" applyBorder="1" applyAlignment="1" applyProtection="1">
      <alignment horizontal="center" vertical="center" wrapText="1"/>
      <protection locked="0"/>
    </xf>
    <xf numFmtId="0" fontId="110" fillId="2" borderId="128" xfId="0" applyFont="1" applyFill="1" applyBorder="1" applyAlignment="1" applyProtection="1">
      <alignment horizontal="left" vertical="center" wrapText="1"/>
      <protection locked="0"/>
    </xf>
    <xf numFmtId="165" fontId="22" fillId="13" borderId="0" xfId="32" applyNumberFormat="1" applyFont="1" applyFill="1" applyBorder="1" applyAlignment="1">
      <alignment horizontal="center"/>
    </xf>
    <xf numFmtId="165" fontId="16" fillId="0" borderId="0" xfId="0" applyNumberFormat="1" applyFont="1" applyAlignment="1">
      <alignment horizontal="center"/>
    </xf>
    <xf numFmtId="165" fontId="29" fillId="0" borderId="0" xfId="0" applyNumberFormat="1" applyFont="1" applyAlignment="1">
      <alignment horizontal="right"/>
    </xf>
    <xf numFmtId="165" fontId="16" fillId="0" borderId="0" xfId="0" applyNumberFormat="1" applyFont="1" applyAlignment="1">
      <alignment horizontal="center" wrapText="1"/>
    </xf>
    <xf numFmtId="165" fontId="29" fillId="0" borderId="0" xfId="0" applyNumberFormat="1" applyFont="1" applyAlignment="1">
      <alignment horizontal="left"/>
    </xf>
    <xf numFmtId="0" fontId="61" fillId="0" borderId="0" xfId="0" applyFont="1" applyAlignment="1">
      <alignment horizontal="center"/>
    </xf>
    <xf numFmtId="0" fontId="44" fillId="0" borderId="131" xfId="0" applyFont="1" applyBorder="1" applyAlignment="1">
      <alignment horizontal="center" vertical="center"/>
    </xf>
    <xf numFmtId="0" fontId="69" fillId="0" borderId="0" xfId="0" applyFont="1" applyAlignment="1">
      <alignment horizontal="left" wrapText="1"/>
    </xf>
    <xf numFmtId="0" fontId="44" fillId="2" borderId="5" xfId="0" applyFont="1" applyFill="1" applyBorder="1" applyAlignment="1" applyProtection="1">
      <alignment horizontal="left" wrapText="1"/>
      <protection locked="0"/>
    </xf>
    <xf numFmtId="0" fontId="67" fillId="2" borderId="5" xfId="0" applyFont="1" applyFill="1" applyBorder="1" applyAlignment="1" applyProtection="1">
      <alignment horizontal="left" vertical="center" wrapText="1"/>
      <protection locked="0"/>
    </xf>
    <xf numFmtId="0" fontId="44" fillId="2" borderId="5" xfId="0" applyFont="1" applyFill="1" applyBorder="1" applyAlignment="1" applyProtection="1">
      <alignment horizontal="left" vertical="center" wrapText="1"/>
      <protection locked="0"/>
    </xf>
    <xf numFmtId="0" fontId="44" fillId="2" borderId="29" xfId="0" applyFont="1" applyFill="1" applyBorder="1" applyAlignment="1" applyProtection="1">
      <alignment horizontal="left" wrapText="1"/>
      <protection locked="0"/>
    </xf>
    <xf numFmtId="0" fontId="16" fillId="0" borderId="0" xfId="0" applyFont="1" applyAlignment="1">
      <alignment horizontal="center"/>
    </xf>
    <xf numFmtId="165" fontId="19" fillId="14" borderId="0" xfId="15" applyFont="1" applyFill="1" applyAlignment="1">
      <alignment horizontal="center" vertical="center"/>
    </xf>
    <xf numFmtId="0" fontId="0" fillId="0" borderId="5" xfId="0" applyBorder="1" applyAlignment="1">
      <alignment vertical="center" wrapText="1"/>
    </xf>
    <xf numFmtId="9" fontId="29" fillId="0" borderId="2" xfId="23" applyFont="1" applyBorder="1" applyAlignment="1">
      <alignment horizontal="center" vertical="center" wrapText="1"/>
    </xf>
    <xf numFmtId="9" fontId="29" fillId="2" borderId="132" xfId="23" applyFont="1" applyFill="1" applyBorder="1" applyAlignment="1" applyProtection="1">
      <alignment horizontal="left" vertical="center" wrapText="1"/>
      <protection locked="0"/>
    </xf>
    <xf numFmtId="49" fontId="36" fillId="0" borderId="5" xfId="0" applyNumberFormat="1" applyFont="1" applyBorder="1" applyAlignment="1">
      <alignment vertical="center" wrapText="1"/>
    </xf>
    <xf numFmtId="183" fontId="29" fillId="0" borderId="2" xfId="23" applyNumberFormat="1" applyFont="1" applyBorder="1" applyAlignment="1">
      <alignment horizontal="center" vertical="center" wrapText="1"/>
    </xf>
    <xf numFmtId="0" fontId="44" fillId="0" borderId="64" xfId="0" applyFont="1" applyBorder="1" applyAlignment="1">
      <alignment horizontal="center" vertical="center"/>
    </xf>
    <xf numFmtId="0" fontId="36" fillId="0" borderId="5" xfId="0" applyFont="1" applyBorder="1" applyAlignment="1">
      <alignment vertical="center" wrapText="1"/>
    </xf>
    <xf numFmtId="0" fontId="4" fillId="0" borderId="77" xfId="0" applyFont="1" applyBorder="1" applyAlignment="1">
      <alignment horizontal="center"/>
    </xf>
    <xf numFmtId="0" fontId="44" fillId="0" borderId="5" xfId="0" applyFont="1" applyBorder="1" applyAlignment="1">
      <alignment horizontal="center" vertical="center" wrapText="1"/>
    </xf>
    <xf numFmtId="9" fontId="62" fillId="16" borderId="5" xfId="23" applyFont="1" applyFill="1" applyBorder="1" applyAlignment="1">
      <alignment horizontal="center" vertical="center" wrapText="1"/>
    </xf>
    <xf numFmtId="9" fontId="62" fillId="17" borderId="5" xfId="23" applyFont="1" applyFill="1" applyBorder="1" applyAlignment="1">
      <alignment horizontal="center" vertical="center" wrapText="1"/>
    </xf>
    <xf numFmtId="0" fontId="44" fillId="0" borderId="116" xfId="0" applyFont="1" applyBorder="1" applyAlignment="1">
      <alignment horizontal="left" vertical="center" wrapText="1"/>
    </xf>
    <xf numFmtId="0" fontId="105" fillId="2" borderId="5" xfId="0" applyFont="1" applyFill="1" applyBorder="1" applyAlignment="1" applyProtection="1">
      <alignment horizontal="left" vertical="center" wrapText="1"/>
      <protection locked="0"/>
    </xf>
    <xf numFmtId="0" fontId="106" fillId="2" borderId="5" xfId="0" applyFont="1" applyFill="1" applyBorder="1" applyAlignment="1" applyProtection="1">
      <alignment horizontal="left" vertical="center" wrapText="1"/>
      <protection locked="0"/>
    </xf>
    <xf numFmtId="165" fontId="22" fillId="13" borderId="0" xfId="33" applyNumberFormat="1" applyFont="1" applyFill="1" applyBorder="1" applyAlignment="1">
      <alignment horizontal="center"/>
    </xf>
    <xf numFmtId="165" fontId="61" fillId="0" borderId="0" xfId="0" applyNumberFormat="1" applyFont="1" applyAlignment="1">
      <alignment horizontal="center"/>
    </xf>
    <xf numFmtId="9" fontId="1" fillId="0" borderId="150" xfId="23" applyFont="1" applyBorder="1" applyAlignment="1">
      <alignment horizontal="left" vertical="center" wrapText="1"/>
    </xf>
    <xf numFmtId="0" fontId="1" fillId="2" borderId="152" xfId="0" applyFont="1" applyFill="1" applyBorder="1" applyAlignment="1" applyProtection="1">
      <alignment horizontal="center" vertical="top" wrapText="1"/>
      <protection locked="0"/>
    </xf>
    <xf numFmtId="0" fontId="1" fillId="2" borderId="151" xfId="0" applyFont="1" applyFill="1" applyBorder="1" applyAlignment="1" applyProtection="1">
      <alignment horizontal="center" vertical="top" wrapText="1"/>
      <protection locked="0"/>
    </xf>
    <xf numFmtId="0" fontId="1" fillId="0" borderId="150" xfId="23" applyNumberFormat="1" applyFont="1" applyBorder="1" applyAlignment="1">
      <alignment horizontal="left" vertical="center" wrapText="1"/>
    </xf>
    <xf numFmtId="0" fontId="81" fillId="0" borderId="148" xfId="0" applyFont="1" applyBorder="1" applyAlignment="1">
      <alignment horizontal="left" vertical="center" wrapText="1"/>
    </xf>
    <xf numFmtId="0" fontId="1" fillId="2" borderId="149" xfId="0" applyFont="1" applyFill="1" applyBorder="1" applyAlignment="1" applyProtection="1">
      <alignment horizontal="center" vertical="top" wrapText="1"/>
      <protection locked="0"/>
    </xf>
    <xf numFmtId="170" fontId="75" fillId="6" borderId="114" xfId="0" applyNumberFormat="1" applyFont="1" applyFill="1" applyBorder="1" applyAlignment="1">
      <alignment horizontal="center" vertical="center"/>
    </xf>
    <xf numFmtId="170" fontId="77" fillId="0" borderId="147" xfId="0" applyNumberFormat="1" applyFont="1" applyBorder="1" applyAlignment="1">
      <alignment horizontal="center"/>
    </xf>
    <xf numFmtId="170" fontId="78" fillId="2" borderId="127" xfId="0" applyNumberFormat="1" applyFont="1" applyFill="1" applyBorder="1" applyAlignment="1">
      <alignment horizontal="center" vertical="center"/>
    </xf>
    <xf numFmtId="0" fontId="81" fillId="0" borderId="143" xfId="0" applyFont="1" applyBorder="1" applyAlignment="1">
      <alignment horizontal="left" vertical="top" wrapText="1"/>
    </xf>
    <xf numFmtId="0" fontId="1" fillId="4" borderId="144" xfId="0" applyFont="1" applyFill="1" applyBorder="1" applyAlignment="1" applyProtection="1">
      <alignment horizontal="center" vertical="top" wrapText="1"/>
      <protection locked="0"/>
    </xf>
    <xf numFmtId="0" fontId="81" fillId="0" borderId="145" xfId="0" applyFont="1" applyBorder="1" applyAlignment="1">
      <alignment horizontal="left" vertical="top" wrapText="1"/>
    </xf>
    <xf numFmtId="0" fontId="1" fillId="4" borderId="146" xfId="0" applyFont="1" applyFill="1" applyBorder="1" applyAlignment="1" applyProtection="1">
      <alignment horizontal="center" vertical="top" wrapText="1"/>
      <protection locked="0"/>
    </xf>
    <xf numFmtId="0" fontId="81" fillId="0" borderId="141" xfId="0" applyFont="1" applyBorder="1" applyAlignment="1">
      <alignment horizontal="left" vertical="top" wrapText="1"/>
    </xf>
    <xf numFmtId="0" fontId="1" fillId="4" borderId="142" xfId="0" applyFont="1" applyFill="1" applyBorder="1" applyAlignment="1" applyProtection="1">
      <alignment horizontal="center" vertical="top" wrapText="1"/>
      <protection locked="0"/>
    </xf>
    <xf numFmtId="170" fontId="77" fillId="0" borderId="138" xfId="0" applyNumberFormat="1" applyFont="1" applyBorder="1" applyAlignment="1">
      <alignment horizontal="center"/>
    </xf>
    <xf numFmtId="170" fontId="90" fillId="4" borderId="139" xfId="0" applyNumberFormat="1" applyFont="1" applyFill="1" applyBorder="1" applyAlignment="1">
      <alignment horizontal="center" vertical="center"/>
    </xf>
    <xf numFmtId="170" fontId="90" fillId="4" borderId="140" xfId="0" applyNumberFormat="1" applyFont="1" applyFill="1" applyBorder="1" applyAlignment="1">
      <alignment horizontal="center" vertical="center"/>
    </xf>
    <xf numFmtId="0" fontId="81" fillId="0" borderId="133" xfId="0" applyFont="1" applyBorder="1" applyAlignment="1">
      <alignment horizontal="left" vertical="top" wrapText="1"/>
    </xf>
    <xf numFmtId="49" fontId="1" fillId="3" borderId="135" xfId="0" applyNumberFormat="1" applyFont="1" applyFill="1" applyBorder="1" applyAlignment="1" applyProtection="1">
      <alignment horizontal="center" vertical="center"/>
      <protection locked="0"/>
    </xf>
    <xf numFmtId="0" fontId="81" fillId="0" borderId="136" xfId="0" applyFont="1" applyBorder="1" applyAlignment="1">
      <alignment horizontal="left" vertical="top" wrapText="1"/>
    </xf>
    <xf numFmtId="49" fontId="1" fillId="3" borderId="137" xfId="0" applyNumberFormat="1" applyFont="1" applyFill="1" applyBorder="1" applyAlignment="1" applyProtection="1">
      <alignment horizontal="center" vertical="center"/>
      <protection locked="0"/>
    </xf>
    <xf numFmtId="49" fontId="1" fillId="3" borderId="134" xfId="0" applyNumberFormat="1" applyFont="1" applyFill="1" applyBorder="1" applyAlignment="1" applyProtection="1">
      <alignment horizontal="center" vertical="center"/>
      <protection locked="0"/>
    </xf>
    <xf numFmtId="49" fontId="1" fillId="3" borderId="135" xfId="0" applyNumberFormat="1" applyFont="1" applyFill="1" applyBorder="1" applyAlignment="1" applyProtection="1">
      <alignment horizontal="center" vertical="center" wrapText="1"/>
      <protection locked="0"/>
    </xf>
    <xf numFmtId="170" fontId="61" fillId="0" borderId="0" xfId="0" applyNumberFormat="1" applyFont="1" applyAlignment="1">
      <alignment horizontal="center"/>
    </xf>
    <xf numFmtId="170" fontId="77" fillId="0" borderId="0" xfId="0" applyNumberFormat="1" applyFont="1" applyAlignment="1">
      <alignment horizontal="center"/>
    </xf>
    <xf numFmtId="170" fontId="78" fillId="3" borderId="8" xfId="0" applyNumberFormat="1" applyFont="1" applyFill="1" applyBorder="1" applyAlignment="1">
      <alignment horizontal="center" vertical="center"/>
    </xf>
    <xf numFmtId="0" fontId="32" fillId="0" borderId="171" xfId="0" applyFont="1" applyBorder="1" applyAlignment="1" applyProtection="1">
      <alignment horizontal="left"/>
      <protection locked="0"/>
    </xf>
    <xf numFmtId="0" fontId="32" fillId="0" borderId="161" xfId="0" applyFont="1" applyBorder="1" applyAlignment="1" applyProtection="1">
      <alignment horizontal="left"/>
      <protection locked="0"/>
    </xf>
    <xf numFmtId="0" fontId="32" fillId="0" borderId="162" xfId="0" applyFont="1" applyBorder="1" applyAlignment="1" applyProtection="1">
      <alignment horizontal="left"/>
      <protection locked="0"/>
    </xf>
    <xf numFmtId="0" fontId="32" fillId="0" borderId="163" xfId="0" applyFont="1" applyBorder="1" applyAlignment="1" applyProtection="1">
      <alignment horizontal="left"/>
      <protection locked="0"/>
    </xf>
    <xf numFmtId="0" fontId="32" fillId="0" borderId="172" xfId="0" applyFont="1" applyBorder="1" applyAlignment="1" applyProtection="1">
      <alignment horizontal="left"/>
      <protection locked="0"/>
    </xf>
    <xf numFmtId="0" fontId="32" fillId="0" borderId="165" xfId="0" applyFont="1" applyBorder="1" applyAlignment="1" applyProtection="1">
      <alignment horizontal="left"/>
      <protection locked="0"/>
    </xf>
    <xf numFmtId="0" fontId="32" fillId="0" borderId="166" xfId="0" applyFont="1" applyBorder="1" applyAlignment="1" applyProtection="1">
      <alignment horizontal="left"/>
      <protection locked="0"/>
    </xf>
    <xf numFmtId="0" fontId="32" fillId="0" borderId="167" xfId="0" applyFont="1" applyBorder="1" applyAlignment="1" applyProtection="1">
      <alignment horizontal="left"/>
      <protection locked="0"/>
    </xf>
    <xf numFmtId="0" fontId="97" fillId="12" borderId="153" xfId="22" applyFont="1" applyFill="1" applyBorder="1" applyAlignment="1">
      <alignment horizontal="center" vertical="center" wrapText="1"/>
    </xf>
    <xf numFmtId="0" fontId="97" fillId="12" borderId="154" xfId="22" applyFont="1" applyFill="1" applyBorder="1" applyAlignment="1">
      <alignment horizontal="center" vertical="center" wrapText="1"/>
    </xf>
    <xf numFmtId="0" fontId="97" fillId="12" borderId="155" xfId="22" applyFont="1" applyFill="1" applyBorder="1" applyAlignment="1">
      <alignment horizontal="center" vertical="center" wrapText="1"/>
    </xf>
    <xf numFmtId="0" fontId="98" fillId="12" borderId="5" xfId="0" applyFont="1" applyFill="1" applyBorder="1" applyAlignment="1">
      <alignment horizontal="center" vertical="center" textRotation="90"/>
    </xf>
    <xf numFmtId="0" fontId="32" fillId="0" borderId="168" xfId="0" applyFont="1" applyBorder="1" applyAlignment="1" applyProtection="1">
      <alignment horizontal="left" vertical="top" wrapText="1"/>
      <protection locked="0"/>
    </xf>
    <xf numFmtId="0" fontId="32" fillId="0" borderId="169" xfId="0" applyFont="1" applyBorder="1" applyAlignment="1" applyProtection="1">
      <alignment horizontal="left"/>
      <protection locked="0"/>
    </xf>
    <xf numFmtId="0" fontId="32" fillId="0" borderId="110" xfId="0" applyFont="1" applyBorder="1" applyAlignment="1" applyProtection="1">
      <alignment horizontal="left"/>
      <protection locked="0"/>
    </xf>
    <xf numFmtId="0" fontId="32" fillId="0" borderId="170" xfId="0" applyFont="1" applyBorder="1" applyAlignment="1" applyProtection="1">
      <alignment horizontal="left"/>
      <protection locked="0"/>
    </xf>
    <xf numFmtId="0" fontId="32" fillId="0" borderId="160" xfId="0" applyFont="1" applyBorder="1" applyAlignment="1" applyProtection="1">
      <alignment horizontal="left" vertical="center" wrapText="1"/>
      <protection locked="0"/>
    </xf>
    <xf numFmtId="0" fontId="32" fillId="0" borderId="164" xfId="0" applyFont="1" applyBorder="1" applyAlignment="1" applyProtection="1">
      <alignment horizontal="left" vertical="center" wrapText="1"/>
      <protection locked="0"/>
    </xf>
    <xf numFmtId="0" fontId="31" fillId="0" borderId="156" xfId="0" applyFont="1" applyBorder="1" applyAlignment="1">
      <alignment horizontal="left" wrapText="1"/>
    </xf>
    <xf numFmtId="0" fontId="32" fillId="0" borderId="157" xfId="0" applyFont="1" applyBorder="1" applyAlignment="1" applyProtection="1">
      <alignment horizontal="left" wrapText="1"/>
      <protection locked="0"/>
    </xf>
    <xf numFmtId="0" fontId="32" fillId="0" borderId="158" xfId="0" applyFont="1" applyBorder="1" applyAlignment="1" applyProtection="1">
      <alignment horizontal="left" wrapText="1"/>
      <protection locked="0"/>
    </xf>
    <xf numFmtId="0" fontId="32" fillId="0" borderId="161" xfId="0" applyFont="1" applyBorder="1" applyAlignment="1" applyProtection="1">
      <alignment horizontal="left" vertical="top" wrapText="1"/>
      <protection locked="0"/>
    </xf>
    <xf numFmtId="0" fontId="32" fillId="0" borderId="159" xfId="0" applyFont="1" applyBorder="1" applyAlignment="1" applyProtection="1">
      <alignment horizontal="left" wrapText="1"/>
      <protection locked="0"/>
    </xf>
    <xf numFmtId="0" fontId="32" fillId="0" borderId="161" xfId="0" applyFont="1" applyBorder="1" applyAlignment="1" applyProtection="1">
      <alignment horizontal="left" wrapText="1"/>
      <protection locked="0"/>
    </xf>
    <xf numFmtId="0" fontId="32" fillId="0" borderId="162" xfId="0" applyFont="1" applyBorder="1" applyAlignment="1" applyProtection="1">
      <alignment horizontal="left" wrapText="1"/>
      <protection locked="0"/>
    </xf>
    <xf numFmtId="0" fontId="0" fillId="2" borderId="5" xfId="0" applyFill="1" applyBorder="1" applyAlignment="1" applyProtection="1">
      <alignment horizontal="center"/>
      <protection locked="0"/>
    </xf>
    <xf numFmtId="165" fontId="22" fillId="13" borderId="0" xfId="34" applyNumberFormat="1" applyFont="1" applyFill="1" applyBorder="1" applyAlignment="1" applyProtection="1">
      <alignment horizontal="center"/>
      <protection locked="0"/>
    </xf>
    <xf numFmtId="0" fontId="4" fillId="0" borderId="0" xfId="0" applyFont="1" applyAlignment="1">
      <alignment horizontal="center"/>
    </xf>
    <xf numFmtId="168" fontId="104" fillId="2" borderId="29" xfId="2" applyNumberFormat="1" applyFill="1" applyBorder="1"/>
    <xf numFmtId="195" fontId="1" fillId="2" borderId="29" xfId="0" applyNumberFormat="1" applyFont="1" applyFill="1" applyBorder="1" applyAlignment="1">
      <alignment horizontal="center" vertical="center" wrapText="1"/>
    </xf>
  </cellXfs>
  <cellStyles count="40">
    <cellStyle name="Euro" xfId="1" xr:uid="{00000000-0005-0000-0000-000000000000}"/>
    <cellStyle name="Millares" xfId="2" builtinId="3"/>
    <cellStyle name="Millares 2" xfId="3" xr:uid="{00000000-0005-0000-0000-000002000000}"/>
    <cellStyle name="Moneda" xfId="4" builtinId="4"/>
    <cellStyle name="Normal" xfId="0" builtinId="0"/>
    <cellStyle name="Normal 2" xfId="5" xr:uid="{00000000-0005-0000-0000-000005000000}"/>
    <cellStyle name="Normal 2 2" xfId="6" xr:uid="{00000000-0005-0000-0000-000006000000}"/>
    <cellStyle name="Normal 2 3" xfId="7" xr:uid="{00000000-0005-0000-0000-000007000000}"/>
    <cellStyle name="Normal 2 4" xfId="8" xr:uid="{00000000-0005-0000-0000-000008000000}"/>
    <cellStyle name="Normal 2 5" xfId="9" xr:uid="{00000000-0005-0000-0000-000009000000}"/>
    <cellStyle name="Normal 2 6" xfId="10" xr:uid="{00000000-0005-0000-0000-00000A000000}"/>
    <cellStyle name="Normal 2 7" xfId="11" xr:uid="{00000000-0005-0000-0000-00000B000000}"/>
    <cellStyle name="Normal 2 8" xfId="12" xr:uid="{00000000-0005-0000-0000-00000C000000}"/>
    <cellStyle name="Normal 2_Dashboard ver 2.2 ES" xfId="13" xr:uid="{00000000-0005-0000-0000-00000D000000}"/>
    <cellStyle name="Normal 2_Ficticia HIV Dashboard_ES - Set Up and Maintenance Guide" xfId="14" xr:uid="{00000000-0005-0000-0000-00000E000000}"/>
    <cellStyle name="Normal 2_Prototipo" xfId="15" xr:uid="{00000000-0005-0000-0000-00000F000000}"/>
    <cellStyle name="Normal 3" xfId="16" xr:uid="{00000000-0005-0000-0000-000010000000}"/>
    <cellStyle name="Normal 4" xfId="17" xr:uid="{00000000-0005-0000-0000-000011000000}"/>
    <cellStyle name="Normal 5" xfId="18" xr:uid="{00000000-0005-0000-0000-000012000000}"/>
    <cellStyle name="Normal 6" xfId="19" xr:uid="{00000000-0005-0000-0000-000013000000}"/>
    <cellStyle name="Normal 7" xfId="20" xr:uid="{00000000-0005-0000-0000-000014000000}"/>
    <cellStyle name="Normal 8" xfId="21" xr:uid="{00000000-0005-0000-0000-000015000000}"/>
    <cellStyle name="Normal_TZ_R3HIV_Phase_2_21_August_08" xfId="22" xr:uid="{00000000-0005-0000-0000-000016000000}"/>
    <cellStyle name="Porcentaje" xfId="23" builtinId="5"/>
    <cellStyle name="Porcentual 2" xfId="24" xr:uid="{00000000-0005-0000-0000-000018000000}"/>
    <cellStyle name="Porcentual 3" xfId="25" xr:uid="{00000000-0005-0000-0000-000019000000}"/>
    <cellStyle name="Porcentual 4" xfId="26" xr:uid="{00000000-0005-0000-0000-00001A000000}"/>
    <cellStyle name="Porcentual 5" xfId="27" xr:uid="{00000000-0005-0000-0000-00001B000000}"/>
    <cellStyle name="Porcentual 6" xfId="28" xr:uid="{00000000-0005-0000-0000-00001C000000}"/>
    <cellStyle name="Porcentual 7" xfId="29" xr:uid="{00000000-0005-0000-0000-00001D000000}"/>
    <cellStyle name="Porcentual 8" xfId="30" xr:uid="{00000000-0005-0000-0000-00001E000000}"/>
    <cellStyle name="Título 3 2" xfId="31" xr:uid="{00000000-0005-0000-0000-00001F000000}"/>
    <cellStyle name="Título 3 3" xfId="32" xr:uid="{00000000-0005-0000-0000-000020000000}"/>
    <cellStyle name="Título 3 3_Prototipo" xfId="33" xr:uid="{00000000-0005-0000-0000-000021000000}"/>
    <cellStyle name="Título 3 3_PrototipoRep1" xfId="34" xr:uid="{00000000-0005-0000-0000-000022000000}"/>
    <cellStyle name="Título 3 4" xfId="35" xr:uid="{00000000-0005-0000-0000-000023000000}"/>
    <cellStyle name="Título 3 5" xfId="36" xr:uid="{00000000-0005-0000-0000-000024000000}"/>
    <cellStyle name="Título 3 6" xfId="37" xr:uid="{00000000-0005-0000-0000-000025000000}"/>
    <cellStyle name="Título 3 7" xfId="38" xr:uid="{00000000-0005-0000-0000-000026000000}"/>
    <cellStyle name="Título 3 8" xfId="39" xr:uid="{00000000-0005-0000-0000-000027000000}"/>
  </cellStyles>
  <dxfs count="38">
    <dxf>
      <font>
        <b val="0"/>
        <i val="0"/>
        <condense val="0"/>
        <extend val="0"/>
        <sz val="11"/>
        <color indexed="9"/>
      </font>
      <fill>
        <patternFill patternType="solid">
          <fgColor indexed="32"/>
          <bgColor indexed="8"/>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i val="0"/>
        <condense val="0"/>
        <extend val="0"/>
        <sz val="11"/>
        <color indexed="8"/>
      </font>
      <fill>
        <patternFill patternType="solid">
          <fgColor indexed="4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29"/>
          <bgColor indexed="19"/>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i val="0"/>
        <condense val="0"/>
        <extend val="0"/>
        <sz val="11"/>
        <color indexed="8"/>
      </font>
      <fill>
        <patternFill patternType="solid">
          <fgColor indexed="51"/>
          <bgColor indexed="13"/>
        </patternFill>
      </fill>
    </dxf>
    <dxf>
      <font>
        <b/>
        <i val="0"/>
        <condense val="0"/>
        <extend val="0"/>
        <sz val="11"/>
        <color indexed="8"/>
      </font>
      <fill>
        <patternFill patternType="solid">
          <fgColor indexed="49"/>
          <bgColor indexed="11"/>
        </patternFill>
      </fill>
    </dxf>
    <dxf>
      <font>
        <b/>
        <i val="0"/>
        <condense val="0"/>
        <extend val="0"/>
        <sz val="11"/>
        <color indexed="8"/>
      </font>
      <fill>
        <patternFill patternType="solid">
          <fgColor indexed="29"/>
          <bgColor indexed="19"/>
        </patternFill>
      </fill>
    </dxf>
    <dxf>
      <font>
        <b/>
        <i val="0"/>
        <condense val="0"/>
        <extend val="0"/>
        <sz val="11"/>
        <color indexed="8"/>
      </font>
      <fill>
        <patternFill patternType="solid">
          <fgColor indexed="51"/>
          <bgColor indexed="13"/>
        </patternFill>
      </fill>
    </dxf>
    <dxf>
      <font>
        <b/>
        <i val="0"/>
        <condense val="0"/>
        <extend val="0"/>
        <sz val="11"/>
        <color indexed="8"/>
      </font>
      <fill>
        <patternFill patternType="solid">
          <fgColor indexed="49"/>
          <bgColor indexed="11"/>
        </patternFill>
      </fill>
    </dxf>
    <dxf>
      <font>
        <b/>
        <i val="0"/>
        <condense val="0"/>
        <extend val="0"/>
        <sz val="11"/>
        <color indexed="8"/>
      </font>
      <fill>
        <patternFill patternType="solid">
          <fgColor indexed="29"/>
          <bgColor indexed="19"/>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val="0"/>
        <i val="0"/>
        <condense val="0"/>
        <extend val="0"/>
        <sz val="11"/>
        <color indexed="9"/>
      </font>
      <fill>
        <patternFill patternType="solid">
          <fgColor indexed="45"/>
          <bgColor indexed="29"/>
        </patternFill>
      </fill>
    </dxf>
    <dxf>
      <font>
        <b val="0"/>
        <i val="0"/>
        <condense val="0"/>
        <extend val="0"/>
        <sz val="11"/>
        <color indexed="8"/>
      </font>
      <fill>
        <patternFill patternType="solid">
          <fgColor indexed="51"/>
          <bgColor indexed="13"/>
        </patternFill>
      </fill>
    </dxf>
    <dxf>
      <font>
        <b val="0"/>
        <i val="0"/>
        <condense val="0"/>
        <extend val="0"/>
        <sz val="11"/>
        <color indexed="8"/>
      </font>
      <fill>
        <patternFill patternType="solid">
          <fgColor indexed="49"/>
          <bgColor indexed="11"/>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val="0"/>
        <i val="0"/>
        <condense val="0"/>
        <extend val="0"/>
        <sz val="11"/>
        <color indexed="8"/>
      </font>
      <fill>
        <patternFill patternType="solid">
          <fgColor indexed="26"/>
          <bgColor indexed="9"/>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val="0"/>
        <i val="0"/>
        <condense val="0"/>
        <extend val="0"/>
        <sz val="11"/>
        <color indexed="8"/>
      </font>
      <fill>
        <patternFill patternType="solid">
          <fgColor indexed="49"/>
          <bgColor indexed="11"/>
        </patternFill>
      </fill>
    </dxf>
    <dxf>
      <font>
        <b val="0"/>
        <i val="0"/>
        <condense val="0"/>
        <extend val="0"/>
        <sz val="11"/>
        <color indexed="9"/>
      </font>
      <fill>
        <patternFill patternType="solid">
          <fgColor indexed="32"/>
          <bgColor indexed="8"/>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29"/>
          <bgColor indexed="19"/>
        </patternFill>
      </fill>
    </dxf>
    <dxf>
      <font>
        <b val="0"/>
        <i val="0"/>
        <condense val="0"/>
        <extend val="0"/>
        <sz val="11"/>
        <color indexed="9"/>
      </font>
      <fill>
        <patternFill patternType="solid">
          <fgColor indexed="59"/>
          <bgColor indexed="6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5050"/>
      <rgbColor rgb="00800080"/>
      <rgbColor rgb="000070C0"/>
      <rgbColor rgb="00C0C0C0"/>
      <rgbColor rgb="00808080"/>
      <rgbColor rgb="00A6A6A6"/>
      <rgbColor rgb="00993366"/>
      <rgbColor rgb="00FFF8EF"/>
      <rgbColor rgb="00CCFFFF"/>
      <rgbColor rgb="001F1C1B"/>
      <rgbColor rgb="00FF7171"/>
      <rgbColor rgb="000066CC"/>
      <rgbColor rgb="00D9D9D9"/>
      <rgbColor rgb="00131312"/>
      <rgbColor rgb="00FF00FF"/>
      <rgbColor rgb="00FFF88F"/>
      <rgbColor rgb="0093CDDD"/>
      <rgbColor rgb="00800080"/>
      <rgbColor rgb="00800000"/>
      <rgbColor rgb="004F81BD"/>
      <rgbColor rgb="000000FF"/>
      <rgbColor rgb="0000CCFF"/>
      <rgbColor rgb="00F2F2F2"/>
      <rgbColor rgb="00CCFFCC"/>
      <rgbColor rgb="00FFFF99"/>
      <rgbColor rgb="0099CCFF"/>
      <rgbColor rgb="00ED7D31"/>
      <rgbColor rgb="00BFBFBF"/>
      <rgbColor rgb="00FFCC99"/>
      <rgbColor rgb="003366FF"/>
      <rgbColor rgb="0033CC33"/>
      <rgbColor rgb="0099CC00"/>
      <rgbColor rgb="00FFCC00"/>
      <rgbColor rgb="00FF9900"/>
      <rgbColor rgb="00FF6600"/>
      <rgbColor rgb="00595959"/>
      <rgbColor rgb="00878787"/>
      <rgbColor rgb="00003366"/>
      <rgbColor rgb="00339966"/>
      <rgbColor rgb="00003300"/>
      <rgbColor rgb="00333300"/>
      <rgbColor rgb="00993300"/>
      <rgbColor rgb="00C0504D"/>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1122259332905"/>
          <c:y val="9.2141348185135377E-2"/>
          <c:w val="0.8172252684471486"/>
          <c:h val="0.78059577918613843"/>
        </c:manualLayout>
      </c:layout>
      <c:barChart>
        <c:barDir val="col"/>
        <c:grouping val="clustered"/>
        <c:varyColors val="0"/>
        <c:ser>
          <c:idx val="0"/>
          <c:order val="0"/>
          <c:tx>
            <c:v>PRESUPUESTO</c:v>
          </c:tx>
          <c:spPr>
            <a:solidFill>
              <a:srgbClr val="993366"/>
            </a:solidFill>
            <a:ln w="12700">
              <a:solidFill>
                <a:srgbClr val="000000"/>
              </a:solidFill>
              <a:prstDash val="solid"/>
            </a:ln>
          </c:spPr>
          <c:invertIfNegative val="0"/>
          <c:dLbls>
            <c:dLbl>
              <c:idx val="0"/>
              <c:layout>
                <c:manualLayout>
                  <c:x val="-2.189811850527857E-2"/>
                  <c:y val="1.030493139577065E-2"/>
                </c:manualLayout>
              </c:layout>
              <c:numFmt formatCode="_(\$* #,##0.00_);_(\$* \(#,##0.00\);_(\$* \-??_);_(@_)" sourceLinked="0"/>
              <c:spPr>
                <a:noFill/>
                <a:ln w="25400">
                  <a:noFill/>
                </a:ln>
              </c:spPr>
              <c:txPr>
                <a:bodyPr/>
                <a:lstStyle/>
                <a:p>
                  <a:pPr>
                    <a:defRPr sz="1000" b="0"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D4-4B3C-BDE3-8BD005D4CD51}"/>
                </c:ext>
              </c:extLst>
            </c:dLbl>
            <c:dLbl>
              <c:idx val="1"/>
              <c:layout>
                <c:manualLayout>
                  <c:x val="-2.9122969635502517E-2"/>
                  <c:y val="-1.1375285406397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0D4-4B3C-BDE3-8BD005D4CD51}"/>
                </c:ext>
              </c:extLst>
            </c:dLbl>
            <c:numFmt formatCode="_(\$* #,##0.00_);_(\$* \(#,##0.00\);_(\$* \-??_);_(@_)"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datos'!$C$33:$N$33</c:f>
              <c:numCache>
                <c:formatCode>_([$$-440A]* #,##0.00_);_([$$-440A]* \(#,##0.00\);_([$$-440A]* \-??_);_(@_)</c:formatCode>
                <c:ptCount val="12"/>
                <c:pt idx="0" formatCode="#.##0">
                  <c:v>4383064.1091099996</c:v>
                </c:pt>
                <c:pt idx="1">
                  <c:v>7436732.1100000003</c:v>
                </c:pt>
                <c:pt idx="2">
                  <c:v>9950916.1099999994</c:v>
                </c:pt>
              </c:numCache>
            </c:numRef>
          </c:val>
          <c:extLst>
            <c:ext xmlns:c16="http://schemas.microsoft.com/office/drawing/2014/chart" uri="{C3380CC4-5D6E-409C-BE32-E72D297353CC}">
              <c16:uniqueId val="{00000001-C0D4-4B3C-BDE3-8BD005D4CD51}"/>
            </c:ext>
          </c:extLst>
        </c:ser>
        <c:ser>
          <c:idx val="1"/>
          <c:order val="1"/>
          <c:tx>
            <c:v>DESEMBOLSO</c:v>
          </c:tx>
          <c:spPr>
            <a:solidFill>
              <a:srgbClr val="0070C0"/>
            </a:solidFill>
            <a:ln w="12700">
              <a:solidFill>
                <a:srgbClr val="000000"/>
              </a:solidFill>
              <a:prstDash val="solid"/>
            </a:ln>
          </c:spPr>
          <c:invertIfNegative val="0"/>
          <c:val>
            <c:numRef>
              <c:f>'Introducción de datos'!$C$34:$N$34</c:f>
              <c:numCache>
                <c:formatCode>_([$$-440A]* #,##0.00_);_([$$-440A]* \(#,##0.00\);_([$$-440A]* \-??_);_(@_)</c:formatCode>
                <c:ptCount val="12"/>
                <c:pt idx="0" formatCode="#.##0">
                  <c:v>4383064.1100000003</c:v>
                </c:pt>
                <c:pt idx="1">
                  <c:v>7436732.1100000003</c:v>
                </c:pt>
                <c:pt idx="2">
                  <c:v>9950916.1099999994</c:v>
                </c:pt>
              </c:numCache>
            </c:numRef>
          </c:val>
          <c:extLst>
            <c:ext xmlns:c16="http://schemas.microsoft.com/office/drawing/2014/chart" uri="{C3380CC4-5D6E-409C-BE32-E72D297353CC}">
              <c16:uniqueId val="{00000003-C0D4-4B3C-BDE3-8BD005D4CD51}"/>
            </c:ext>
          </c:extLst>
        </c:ser>
        <c:dLbls>
          <c:showLegendKey val="0"/>
          <c:showVal val="0"/>
          <c:showCatName val="0"/>
          <c:showSerName val="0"/>
          <c:showPercent val="0"/>
          <c:showBubbleSize val="0"/>
        </c:dLbls>
        <c:gapWidth val="70"/>
        <c:axId val="192562112"/>
        <c:axId val="1"/>
      </c:barChart>
      <c:catAx>
        <c:axId val="192562112"/>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700" b="0" i="0" u="none" strike="noStrike" baseline="0">
                <a:solidFill>
                  <a:srgbClr val="000000"/>
                </a:solidFill>
                <a:latin typeface="Calibri"/>
                <a:ea typeface="Calibri"/>
                <a:cs typeface="Calibri"/>
              </a:defRPr>
            </a:pPr>
            <a:endParaRPr lang="es-SV"/>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000000"/>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192562112"/>
        <c:crossesAt val="1"/>
        <c:crossBetween val="between"/>
      </c:valAx>
      <c:spPr>
        <a:solidFill>
          <a:srgbClr val="FFFFFF"/>
        </a:solidFill>
        <a:ln w="12700">
          <a:solidFill>
            <a:srgbClr val="000000"/>
          </a:solidFill>
          <a:prstDash val="solid"/>
        </a:ln>
      </c:spPr>
    </c:plotArea>
    <c:legend>
      <c:legendPos val="b"/>
      <c:overlay val="0"/>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6702819956617"/>
          <c:y val="0.16489361702127658"/>
          <c:w val="0.7852494577006508"/>
          <c:h val="0.51063829787234039"/>
        </c:manualLayout>
      </c:layout>
      <c:barChart>
        <c:barDir val="col"/>
        <c:grouping val="clustered"/>
        <c:varyColors val="0"/>
        <c:ser>
          <c:idx val="0"/>
          <c:order val="0"/>
          <c:tx>
            <c:v>Meta</c:v>
          </c:tx>
          <c:spPr>
            <a:solidFill>
              <a:srgbClr val="0066CC"/>
            </a:solidFill>
            <a:ln w="25400">
              <a:noFill/>
            </a:ln>
          </c:spPr>
          <c:invertIfNegative val="0"/>
          <c:dLbls>
            <c:dLbl>
              <c:idx val="1"/>
              <c:numFmt formatCode="0%" sourceLinked="0"/>
              <c:spPr>
                <a:noFill/>
                <a:ln w="25400">
                  <a:noFill/>
                </a:ln>
              </c:spPr>
              <c:txPr>
                <a:bodyPr/>
                <a:lstStyle/>
                <a:p>
                  <a:pPr>
                    <a:defRPr sz="8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0-FFAA-4D6A-9138-3E763CCF59AC}"/>
                </c:ext>
              </c:extLst>
            </c:dLbl>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'Introducción de datos'!$H$129:$Q$129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'Introducción de datos'!$H$133:$Q$133</c:f>
              <c:numCache>
                <c:formatCode>0%</c:formatCode>
                <c:ptCount val="10"/>
                <c:pt idx="0">
                  <c:v>0.9</c:v>
                </c:pt>
                <c:pt idx="1">
                  <c:v>0.9</c:v>
                </c:pt>
                <c:pt idx="2">
                  <c:v>0.9</c:v>
                </c:pt>
              </c:numCache>
            </c:numRef>
          </c:val>
          <c:extLst>
            <c:ext xmlns:c16="http://schemas.microsoft.com/office/drawing/2014/chart" uri="{C3380CC4-5D6E-409C-BE32-E72D297353CC}">
              <c16:uniqueId val="{00000001-FFAA-4D6A-9138-3E763CCF59AC}"/>
            </c:ext>
          </c:extLst>
        </c:ser>
        <c:ser>
          <c:idx val="1"/>
          <c:order val="1"/>
          <c:tx>
            <c:v>Logro</c:v>
          </c:tx>
          <c:spPr>
            <a:solidFill>
              <a:srgbClr val="00CCFF"/>
            </a:solidFill>
            <a:ln w="12700">
              <a:solidFill>
                <a:srgbClr val="000000"/>
              </a:solidFill>
              <a:prstDash val="solid"/>
            </a:ln>
          </c:spPr>
          <c:invertIfNegative val="0"/>
          <c:dLbls>
            <c:dLbl>
              <c:idx val="0"/>
              <c:layout>
                <c:manualLayout>
                  <c:x val="5.9071729957805907E-2"/>
                  <c:y val="8.5106382978723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28-4237-B986-EC5E5CD13861}"/>
                </c:ext>
              </c:extLst>
            </c:dLbl>
            <c:dLbl>
              <c:idx val="1"/>
              <c:layout>
                <c:manualLayout>
                  <c:x val="5.6258790436005623E-2"/>
                  <c:y val="8.5106382978723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28-4237-B986-EC5E5CD13861}"/>
                </c:ext>
              </c:extLst>
            </c:dLbl>
            <c:numFmt formatCode="0.00%" sourceLinked="0"/>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'Introducción de datos'!$H$129:$Q$129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'Introducción de datos'!$H$134:$Q$134</c:f>
              <c:numCache>
                <c:formatCode>0.00%</c:formatCode>
                <c:ptCount val="10"/>
                <c:pt idx="0" formatCode="0%">
                  <c:v>0.94</c:v>
                </c:pt>
                <c:pt idx="1">
                  <c:v>0.91680000000000006</c:v>
                </c:pt>
                <c:pt idx="2">
                  <c:v>0.91049999999999998</c:v>
                </c:pt>
              </c:numCache>
            </c:numRef>
          </c:val>
          <c:extLst>
            <c:ext xmlns:c16="http://schemas.microsoft.com/office/drawing/2014/chart" uri="{C3380CC4-5D6E-409C-BE32-E72D297353CC}">
              <c16:uniqueId val="{00000002-FFAA-4D6A-9138-3E763CCF59AC}"/>
            </c:ext>
          </c:extLst>
        </c:ser>
        <c:dLbls>
          <c:showLegendKey val="0"/>
          <c:showVal val="0"/>
          <c:showCatName val="0"/>
          <c:showSerName val="0"/>
          <c:showPercent val="0"/>
          <c:showBubbleSize val="0"/>
        </c:dLbls>
        <c:gapWidth val="35"/>
        <c:axId val="617045248"/>
        <c:axId val="1"/>
      </c:barChart>
      <c:catAx>
        <c:axId val="617045248"/>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617045248"/>
        <c:crossesAt val="1"/>
        <c:crossBetween val="between"/>
      </c:valAx>
      <c:spPr>
        <a:noFill/>
        <a:ln w="25400">
          <a:noFill/>
        </a:ln>
      </c:spPr>
    </c:plotArea>
    <c:legend>
      <c:legendPos val="r"/>
      <c:layout>
        <c:manualLayout>
          <c:xMode val="edge"/>
          <c:yMode val="edge"/>
          <c:x val="0.61820902134068689"/>
          <c:y val="0.33865248226950356"/>
          <c:w val="0.28455541158620989"/>
          <c:h val="0.170212765957446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505302336020355E-2"/>
          <c:y val="9.722331583552056E-2"/>
          <c:w val="0.87284044363813196"/>
          <c:h val="0.67708606736657917"/>
        </c:manualLayout>
      </c:layout>
      <c:barChart>
        <c:barDir val="col"/>
        <c:grouping val="clustered"/>
        <c:varyColors val="0"/>
        <c:ser>
          <c:idx val="0"/>
          <c:order val="0"/>
          <c:tx>
            <c:v>Meta</c:v>
          </c:tx>
          <c:spPr>
            <a:solidFill>
              <a:srgbClr val="0066CC"/>
            </a:solidFill>
            <a:ln w="25400">
              <a:noFill/>
            </a:ln>
          </c:spPr>
          <c:invertIfNegative val="0"/>
          <c:dLbls>
            <c:spPr>
              <a:noFill/>
              <a:ln>
                <a:noFill/>
              </a:ln>
              <a:effectLst/>
            </c:spPr>
            <c:txPr>
              <a:bodyPr wrap="square" lIns="38100" tIns="19050" rIns="38100" bIns="19050" anchor="ctr">
                <a:spAutoFit/>
              </a:bodyPr>
              <a:lstStyle/>
              <a:p>
                <a:pPr>
                  <a:defRPr sz="900" b="1"/>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datos'!$H$129:$Q$129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'Introducción de datos'!$H$135:$Q$135</c:f>
              <c:numCache>
                <c:formatCode>0%</c:formatCode>
                <c:ptCount val="10"/>
                <c:pt idx="0">
                  <c:v>0.7</c:v>
                </c:pt>
                <c:pt idx="1">
                  <c:v>0.8</c:v>
                </c:pt>
                <c:pt idx="2">
                  <c:v>0.9</c:v>
                </c:pt>
              </c:numCache>
            </c:numRef>
          </c:val>
          <c:extLst>
            <c:ext xmlns:c16="http://schemas.microsoft.com/office/drawing/2014/chart" uri="{C3380CC4-5D6E-409C-BE32-E72D297353CC}">
              <c16:uniqueId val="{00000000-EDC9-431A-81B1-C541CFC3B2B9}"/>
            </c:ext>
          </c:extLst>
        </c:ser>
        <c:ser>
          <c:idx val="1"/>
          <c:order val="1"/>
          <c:tx>
            <c:v>Logro</c:v>
          </c:tx>
          <c:spPr>
            <a:solidFill>
              <a:srgbClr val="00CCFF"/>
            </a:solidFill>
            <a:ln w="25400">
              <a:noFill/>
            </a:ln>
          </c:spPr>
          <c:invertIfNegative val="0"/>
          <c:dLbls>
            <c:dLbl>
              <c:idx val="1"/>
              <c:layout>
                <c:manualLayout>
                  <c:x val="4.7505938242280284E-2"/>
                  <c:y val="9.7222222222222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35-40E1-8BF3-2F2EAD8F75E6}"/>
                </c:ext>
              </c:extLst>
            </c:dLbl>
            <c:spPr>
              <a:noFill/>
              <a:ln>
                <a:noFill/>
              </a:ln>
              <a:effectLst/>
            </c:spPr>
            <c:txPr>
              <a:bodyPr wrap="square" lIns="38100" tIns="19050" rIns="38100" bIns="19050" anchor="ctr">
                <a:spAutoFit/>
              </a:bodyPr>
              <a:lstStyle/>
              <a:p>
                <a:pPr>
                  <a:defRPr sz="800" b="1"/>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datos'!$H$129:$Q$129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'Introducción de datos'!$H$136:$Q$136</c:f>
              <c:numCache>
                <c:formatCode>0.00%</c:formatCode>
                <c:ptCount val="10"/>
                <c:pt idx="0" formatCode="0%">
                  <c:v>0.23300000000000001</c:v>
                </c:pt>
                <c:pt idx="1">
                  <c:v>0.75815999999999995</c:v>
                </c:pt>
                <c:pt idx="2">
                  <c:v>0.97219999999999995</c:v>
                </c:pt>
              </c:numCache>
            </c:numRef>
          </c:val>
          <c:extLst>
            <c:ext xmlns:c16="http://schemas.microsoft.com/office/drawing/2014/chart" uri="{C3380CC4-5D6E-409C-BE32-E72D297353CC}">
              <c16:uniqueId val="{00000001-EDC9-431A-81B1-C541CFC3B2B9}"/>
            </c:ext>
          </c:extLst>
        </c:ser>
        <c:dLbls>
          <c:showLegendKey val="0"/>
          <c:showVal val="0"/>
          <c:showCatName val="0"/>
          <c:showSerName val="0"/>
          <c:showPercent val="0"/>
          <c:showBubbleSize val="0"/>
        </c:dLbls>
        <c:gapWidth val="27"/>
        <c:overlap val="-4"/>
        <c:axId val="617045576"/>
        <c:axId val="1"/>
      </c:barChart>
      <c:catAx>
        <c:axId val="617045576"/>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617045576"/>
        <c:crossesAt val="1"/>
        <c:crossBetween val="between"/>
      </c:valAx>
      <c:spPr>
        <a:noFill/>
        <a:ln w="25400">
          <a:noFill/>
        </a:ln>
      </c:spPr>
    </c:plotArea>
    <c:legend>
      <c:legendPos val="r"/>
      <c:layout>
        <c:manualLayout>
          <c:xMode val="edge"/>
          <c:yMode val="edge"/>
          <c:x val="0.47831771622371433"/>
          <c:y val="0.40625437445319335"/>
          <c:w val="0.33996023856858848"/>
          <c:h val="0.1250006357861113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50102179502415E-2"/>
          <c:y val="0.19653179190751446"/>
          <c:w val="0.8459830649055099"/>
          <c:h val="0.50867052023121384"/>
        </c:manualLayout>
      </c:layout>
      <c:barChart>
        <c:barDir val="col"/>
        <c:grouping val="clustered"/>
        <c:varyColors val="0"/>
        <c:ser>
          <c:idx val="0"/>
          <c:order val="0"/>
          <c:tx>
            <c:v>Meta </c:v>
          </c:tx>
          <c:spPr>
            <a:solidFill>
              <a:srgbClr val="0066CC"/>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'Introducción de datos'!$H$129:$Q$129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'Introducción de datos'!$H$131:$Q$131</c:f>
              <c:numCache>
                <c:formatCode>#.##0</c:formatCode>
                <c:ptCount val="10"/>
                <c:pt idx="0">
                  <c:v>2322</c:v>
                </c:pt>
                <c:pt idx="1">
                  <c:v>2516</c:v>
                </c:pt>
                <c:pt idx="2">
                  <c:v>2686</c:v>
                </c:pt>
              </c:numCache>
            </c:numRef>
          </c:val>
          <c:extLst>
            <c:ext xmlns:c16="http://schemas.microsoft.com/office/drawing/2014/chart" uri="{C3380CC4-5D6E-409C-BE32-E72D297353CC}">
              <c16:uniqueId val="{00000000-CE1B-4807-B791-2C3A4E67B4A4}"/>
            </c:ext>
          </c:extLst>
        </c:ser>
        <c:ser>
          <c:idx val="1"/>
          <c:order val="1"/>
          <c:tx>
            <c:v>Logro</c:v>
          </c:tx>
          <c:spPr>
            <a:solidFill>
              <a:srgbClr val="00CCFF"/>
            </a:solidFill>
            <a:ln w="12700">
              <a:solidFill>
                <a:srgbClr val="000000"/>
              </a:solidFill>
              <a:prstDash val="solid"/>
            </a:ln>
          </c:spPr>
          <c:invertIfNegative val="0"/>
          <c:dLbls>
            <c:dLbl>
              <c:idx val="1"/>
              <c:layout>
                <c:manualLayout>
                  <c:x val="5.6547619047619048E-2"/>
                  <c:y val="0.1156069364161849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81-4FD3-8831-94208820E9D6}"/>
                </c:ext>
              </c:extLst>
            </c:dLbl>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'Introducción de datos'!$H$129:$Q$129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'Introducción de datos'!$H$132:$Q$132</c:f>
              <c:numCache>
                <c:formatCode>#.##0</c:formatCode>
                <c:ptCount val="10"/>
                <c:pt idx="0">
                  <c:v>3030</c:v>
                </c:pt>
                <c:pt idx="1">
                  <c:v>3671</c:v>
                </c:pt>
                <c:pt idx="2">
                  <c:v>3615</c:v>
                </c:pt>
              </c:numCache>
            </c:numRef>
          </c:val>
          <c:extLst>
            <c:ext xmlns:c16="http://schemas.microsoft.com/office/drawing/2014/chart" uri="{C3380CC4-5D6E-409C-BE32-E72D297353CC}">
              <c16:uniqueId val="{00000001-CE1B-4807-B791-2C3A4E67B4A4}"/>
            </c:ext>
          </c:extLst>
        </c:ser>
        <c:dLbls>
          <c:showLegendKey val="0"/>
          <c:showVal val="0"/>
          <c:showCatName val="0"/>
          <c:showSerName val="0"/>
          <c:showPercent val="0"/>
          <c:showBubbleSize val="0"/>
        </c:dLbls>
        <c:gapWidth val="35"/>
        <c:axId val="568487976"/>
        <c:axId val="1"/>
      </c:barChart>
      <c:catAx>
        <c:axId val="568487976"/>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568487976"/>
        <c:crossesAt val="1"/>
        <c:crossBetween val="between"/>
      </c:valAx>
      <c:spPr>
        <a:noFill/>
        <a:ln w="25400">
          <a:noFill/>
        </a:ln>
      </c:spPr>
    </c:plotArea>
    <c:legend>
      <c:legendPos val="r"/>
      <c:layout>
        <c:manualLayout>
          <c:xMode val="edge"/>
          <c:yMode val="edge"/>
          <c:x val="0.64844042932133483"/>
          <c:y val="0.37043314672371158"/>
          <c:w val="0.25334528496437947"/>
          <c:h val="0.1666475505590703"/>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375963140238728"/>
          <c:y val="7.2398190045248875E-2"/>
          <c:w val="0.70300816403328026"/>
          <c:h val="0.61085972850678738"/>
        </c:manualLayout>
      </c:layout>
      <c:barChart>
        <c:barDir val="col"/>
        <c:grouping val="clustered"/>
        <c:varyColors val="0"/>
        <c:ser>
          <c:idx val="0"/>
          <c:order val="0"/>
          <c:spPr>
            <a:solidFill>
              <a:srgbClr val="93CDDD"/>
            </a:solidFill>
            <a:ln w="12700">
              <a:solidFill>
                <a:srgbClr val="000000"/>
              </a:solidFill>
              <a:prstDash val="solid"/>
            </a:ln>
          </c:spPr>
          <c:invertIfNegative val="0"/>
          <c:dLbls>
            <c:dLbl>
              <c:idx val="0"/>
              <c:numFmt formatCode="_ [$$-240A]\ * #,##0.00_ ;_ [$$-240A]\ * \-#,##0.00_ ;_ [$$-240A]\ * \-??_ ;_ @_ " sourceLinked="0"/>
              <c:spPr>
                <a:noFill/>
                <a:ln w="25400">
                  <a:noFill/>
                </a:ln>
              </c:spPr>
              <c:txPr>
                <a:bodyPr/>
                <a:lstStyle/>
                <a:p>
                  <a:pPr>
                    <a:defRPr sz="800" b="0"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0-F8CB-48BB-BE58-C30C44B16D50}"/>
                </c:ext>
              </c:extLst>
            </c:dLbl>
            <c:numFmt formatCode="_ [$$-240A]\ * #,##0.00_ ;_ [$$-240A]\ * \-#,##0.00_ ;_ [$$-240A]\ * \-??_ ;_ @_ "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datos'!$B$54:$B$58</c:f>
              <c:strCache>
                <c:ptCount val="5"/>
                <c:pt idx="0">
                  <c:v> Desembolsado por el FM al RP </c:v>
                </c:pt>
                <c:pt idx="1">
                  <c:v> Intereses percibidos en cuenta de ahorro 2017-2019 </c:v>
                </c:pt>
                <c:pt idx="2">
                  <c:v> Gasto*  </c:v>
                </c:pt>
                <c:pt idx="3">
                  <c:v> Compromisos al 31 de Diciembre </c:v>
                </c:pt>
                <c:pt idx="4">
                  <c:v> Saldo en caja </c:v>
                </c:pt>
              </c:strCache>
            </c:strRef>
          </c:cat>
          <c:val>
            <c:numRef>
              <c:f>'Introducción de datos'!$E$54:$E$58</c:f>
              <c:numCache>
                <c:formatCode>_ [$$-240A]\ * #,##0.00_ ;_ [$$-240A]\ * \-#,##0.00_ ;_ [$$-240A]\ * \-??_ ;_ @_ </c:formatCode>
                <c:ptCount val="5"/>
                <c:pt idx="0">
                  <c:v>9950916.1099999994</c:v>
                </c:pt>
                <c:pt idx="1">
                  <c:v>64431.08</c:v>
                </c:pt>
                <c:pt idx="2">
                  <c:v>8288615.79</c:v>
                </c:pt>
                <c:pt idx="3">
                  <c:v>726647.01</c:v>
                </c:pt>
                <c:pt idx="4">
                  <c:v>1000084.3899999994</c:v>
                </c:pt>
              </c:numCache>
            </c:numRef>
          </c:val>
          <c:extLst>
            <c:ext xmlns:c16="http://schemas.microsoft.com/office/drawing/2014/chart" uri="{C3380CC4-5D6E-409C-BE32-E72D297353CC}">
              <c16:uniqueId val="{00000001-F8CB-48BB-BE58-C30C44B16D50}"/>
            </c:ext>
          </c:extLst>
        </c:ser>
        <c:dLbls>
          <c:showLegendKey val="0"/>
          <c:showVal val="0"/>
          <c:showCatName val="0"/>
          <c:showSerName val="0"/>
          <c:showPercent val="0"/>
          <c:showBubbleSize val="0"/>
        </c:dLbls>
        <c:gapWidth val="150"/>
        <c:axId val="526268576"/>
        <c:axId val="1"/>
      </c:barChart>
      <c:catAx>
        <c:axId val="526268576"/>
        <c:scaling>
          <c:orientation val="minMax"/>
        </c:scaling>
        <c:delete val="0"/>
        <c:axPos val="b"/>
        <c:numFmt formatCode="General" sourceLinked="1"/>
        <c:majorTickMark val="out"/>
        <c:minorTickMark val="none"/>
        <c:tickLblPos val="nextTo"/>
        <c:spPr>
          <a:ln w="12700">
            <a:solidFill>
              <a:srgbClr val="808080"/>
            </a:solidFill>
            <a:prstDash val="solid"/>
          </a:ln>
        </c:spPr>
        <c:txPr>
          <a:bodyPr rot="0" vert="horz"/>
          <a:lstStyle/>
          <a:p>
            <a:pPr>
              <a:defRPr sz="800" b="0" i="0" u="none" strike="noStrike" baseline="0">
                <a:solidFill>
                  <a:srgbClr val="000000"/>
                </a:solidFill>
                <a:latin typeface="Calibri"/>
                <a:ea typeface="Calibri"/>
                <a:cs typeface="Calibri"/>
              </a:defRPr>
            </a:pPr>
            <a:endParaRPr lang="es-SV"/>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808080"/>
              </a:solidFill>
              <a:prstDash val="solid"/>
            </a:ln>
          </c:spPr>
        </c:majorGridlines>
        <c:numFmt formatCode="[$$-340A]\ #,##0.00" sourceLinked="0"/>
        <c:majorTickMark val="out"/>
        <c:minorTickMark val="none"/>
        <c:tickLblPos val="nextTo"/>
        <c:spPr>
          <a:ln w="12700">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526268576"/>
        <c:crossesAt val="1"/>
        <c:crossBetween val="between"/>
      </c:valAx>
      <c:spPr>
        <a:solidFill>
          <a:srgbClr val="FFFFFF"/>
        </a:solid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9944546405382"/>
          <c:y val="0.10491803278688525"/>
          <c:w val="0.85106227721773031"/>
          <c:h val="0.77689230662185382"/>
        </c:manualLayout>
      </c:layout>
      <c:barChart>
        <c:barDir val="col"/>
        <c:grouping val="clustered"/>
        <c:varyColors val="0"/>
        <c:ser>
          <c:idx val="0"/>
          <c:order val="0"/>
          <c:spPr>
            <a:solidFill>
              <a:srgbClr val="ED7D31"/>
            </a:solidFill>
            <a:ln w="25400">
              <a:noFill/>
            </a:ln>
          </c:spPr>
          <c:invertIfNegative val="0"/>
          <c:dLbls>
            <c:dLbl>
              <c:idx val="3"/>
              <c:layout>
                <c:manualLayout>
                  <c:x val="-2.5062656641604928E-3"/>
                  <c:y val="-2.1658325084979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3F-4AB3-996D-C00D624C1C07}"/>
                </c:ext>
              </c:extLst>
            </c:dLbl>
            <c:numFmt formatCode="_ [$$-240A]\ * #,##0.00_ ;_ [$$-240A]\ * \-#,##0.00_ ;_ [$$-240A]\ * \-??_ ;_ @_ "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datos'!$B$60:$B$66</c:f>
              <c:strCache>
                <c:ptCount val="7"/>
                <c:pt idx="0">
                  <c:v>Desembolsado compras  PNUD</c:v>
                </c:pt>
                <c:pt idx="1">
                  <c:v>Desembolsado a los Agentes de compra PLAN</c:v>
                </c:pt>
                <c:pt idx="2">
                  <c:v>Desembolsado compras OPS</c:v>
                </c:pt>
                <c:pt idx="3">
                  <c:v>Gasto de RP MINSAL</c:v>
                </c:pt>
                <c:pt idx="4">
                  <c:v>Gastos de los Agentes de Compra PNUD</c:v>
                </c:pt>
                <c:pt idx="5">
                  <c:v>Gastos de los Agentes de Compra  PLAN </c:v>
                </c:pt>
                <c:pt idx="6">
                  <c:v>Gastos de los Agentes de Compra OPS</c:v>
                </c:pt>
              </c:strCache>
            </c:strRef>
          </c:cat>
          <c:val>
            <c:numRef>
              <c:f>'Introducción de datos'!$E$60:$E$66</c:f>
              <c:numCache>
                <c:formatCode>_ [$$-240A]\ * #,##0.00_ ;_ [$$-240A]\ * \-#,##0.00_ ;_ [$$-240A]\ * \-??_ ;_ @_ </c:formatCode>
                <c:ptCount val="7"/>
                <c:pt idx="0">
                  <c:v>6064519.5600000005</c:v>
                </c:pt>
                <c:pt idx="1">
                  <c:v>160869.32</c:v>
                </c:pt>
                <c:pt idx="2">
                  <c:v>1085088.54</c:v>
                </c:pt>
                <c:pt idx="3">
                  <c:v>1795527.7</c:v>
                </c:pt>
                <c:pt idx="4">
                  <c:v>5247129.01</c:v>
                </c:pt>
                <c:pt idx="5">
                  <c:v>160869.32</c:v>
                </c:pt>
                <c:pt idx="6">
                  <c:v>1085088.54</c:v>
                </c:pt>
              </c:numCache>
            </c:numRef>
          </c:val>
          <c:extLst>
            <c:ext xmlns:c16="http://schemas.microsoft.com/office/drawing/2014/chart" uri="{C3380CC4-5D6E-409C-BE32-E72D297353CC}">
              <c16:uniqueId val="{00000000-943F-4AB3-996D-C00D624C1C07}"/>
            </c:ext>
          </c:extLst>
        </c:ser>
        <c:dLbls>
          <c:showLegendKey val="0"/>
          <c:showVal val="0"/>
          <c:showCatName val="0"/>
          <c:showSerName val="0"/>
          <c:showPercent val="0"/>
          <c:showBubbleSize val="0"/>
        </c:dLbls>
        <c:gapWidth val="219"/>
        <c:overlap val="-27"/>
        <c:axId val="526269560"/>
        <c:axId val="1"/>
      </c:barChart>
      <c:catAx>
        <c:axId val="526269560"/>
        <c:scaling>
          <c:orientation val="minMax"/>
        </c:scaling>
        <c:delete val="0"/>
        <c:axPos val="b"/>
        <c:numFmt formatCode="General" sourceLinked="1"/>
        <c:majorTickMark val="none"/>
        <c:minorTickMark val="none"/>
        <c:tickLblPos val="nextTo"/>
        <c:spPr>
          <a:ln w="12700">
            <a:solidFill>
              <a:srgbClr val="D9D9D9"/>
            </a:solidFill>
            <a:prstDash val="solid"/>
          </a:ln>
        </c:spPr>
        <c:txPr>
          <a:bodyPr rot="0" vert="horz"/>
          <a:lstStyle/>
          <a:p>
            <a:pPr>
              <a:defRPr sz="1000" b="0" i="0" u="none" strike="noStrike" baseline="0">
                <a:solidFill>
                  <a:srgbClr val="333333"/>
                </a:solidFill>
                <a:latin typeface="Calibri"/>
                <a:ea typeface="Calibri"/>
                <a:cs typeface="Calibri"/>
              </a:defRPr>
            </a:pPr>
            <a:endParaRPr lang="es-SV"/>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_ [$$-240A]\ * #,##0.00_ ;_ [$$-240A]\ * \-#,##0.00_ ;_ [$$-240A]\ * \-??_ ;_ @_ " sourceLinked="0"/>
        <c:majorTickMark val="none"/>
        <c:minorTickMark val="none"/>
        <c:tickLblPos val="nextTo"/>
        <c:spPr>
          <a:ln w="6350">
            <a:noFill/>
          </a:ln>
        </c:spPr>
        <c:txPr>
          <a:bodyPr rot="0" vert="horz"/>
          <a:lstStyle/>
          <a:p>
            <a:pPr>
              <a:defRPr sz="1000" b="0" i="0" u="none" strike="noStrike" baseline="0">
                <a:solidFill>
                  <a:srgbClr val="333333"/>
                </a:solidFill>
                <a:latin typeface="Calibri"/>
                <a:ea typeface="Calibri"/>
                <a:cs typeface="Calibri"/>
              </a:defRPr>
            </a:pPr>
            <a:endParaRPr lang="es-SV"/>
          </a:p>
        </c:txPr>
        <c:crossAx val="526269560"/>
        <c:crossesAt val="1"/>
        <c:crossBetween val="between"/>
      </c:valAx>
      <c:spPr>
        <a:solidFill>
          <a:srgbClr val="FFFFFF"/>
        </a:solid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09087988295248"/>
          <c:y val="8.461538461538462E-2"/>
          <c:w val="0.844487348685934"/>
          <c:h val="0.68717948717948718"/>
        </c:manualLayout>
      </c:layout>
      <c:barChart>
        <c:barDir val="col"/>
        <c:grouping val="clustered"/>
        <c:varyColors val="0"/>
        <c:ser>
          <c:idx val="0"/>
          <c:order val="0"/>
          <c:tx>
            <c:strRef>
              <c:f>'Introducción de datos'!$C$38</c:f>
              <c:strCache>
                <c:ptCount val="1"/>
                <c:pt idx="0">
                  <c:v>Presupuesto acumulado (en $)</c:v>
                </c:pt>
              </c:strCache>
            </c:strRef>
          </c:tx>
          <c:spPr>
            <a:solidFill>
              <a:srgbClr val="4F81BD"/>
            </a:solidFill>
            <a:ln w="25400">
              <a:noFill/>
            </a:ln>
          </c:spPr>
          <c:invertIfNegative val="0"/>
          <c:cat>
            <c:strRef>
              <c:f>'Introducción de datos'!$B$39:$B$47</c:f>
              <c:strCache>
                <c:ptCount val="9"/>
                <c:pt idx="0">
                  <c:v> 1: Detección precoz de casos de tuberculosis </c:v>
                </c:pt>
                <c:pt idx="1">
                  <c:v> 2: Tratamiento de casos TB de todas las formas </c:v>
                </c:pt>
                <c:pt idx="2">
                  <c:v> 3: Detección de casos TB/MDR </c:v>
                </c:pt>
                <c:pt idx="3">
                  <c:v> 4: Tratamiento de casos TB/MDR </c:v>
                </c:pt>
                <c:pt idx="4">
                  <c:v> 5: Disminución de la mortalidad por TB/VIH </c:v>
                </c:pt>
                <c:pt idx="5">
                  <c:v> 6: Atención integral a grupos de más alto riesgo </c:v>
                </c:pt>
                <c:pt idx="6">
                  <c:v>7: Fortalecimiento al Sistema de Salud</c:v>
                </c:pt>
                <c:pt idx="7">
                  <c:v>Monitoreo y Evaluación</c:v>
                </c:pt>
                <c:pt idx="8">
                  <c:v>Planificación, Coordinación y Gerencia</c:v>
                </c:pt>
              </c:strCache>
            </c:strRef>
          </c:cat>
          <c:val>
            <c:numRef>
              <c:f>'Introducción de datos'!$C$39:$C$47</c:f>
              <c:numCache>
                <c:formatCode>_ [$$-240A]\ * #,##0.00_ ;_ [$$-240A]\ * \-#,##0.00_ ;_ [$$-240A]\ * \-??_ ;_ @_ </c:formatCode>
                <c:ptCount val="9"/>
                <c:pt idx="0">
                  <c:v>4815986.13</c:v>
                </c:pt>
                <c:pt idx="1">
                  <c:v>506129</c:v>
                </c:pt>
                <c:pt idx="2">
                  <c:v>145000</c:v>
                </c:pt>
                <c:pt idx="3">
                  <c:v>16000</c:v>
                </c:pt>
                <c:pt idx="4">
                  <c:v>72625.899999999994</c:v>
                </c:pt>
                <c:pt idx="5">
                  <c:v>1001208</c:v>
                </c:pt>
                <c:pt idx="6">
                  <c:v>2039803.94</c:v>
                </c:pt>
                <c:pt idx="7">
                  <c:v>604942.97</c:v>
                </c:pt>
                <c:pt idx="8">
                  <c:v>749220.17228000006</c:v>
                </c:pt>
              </c:numCache>
            </c:numRef>
          </c:val>
          <c:extLst>
            <c:ext xmlns:c16="http://schemas.microsoft.com/office/drawing/2014/chart" uri="{C3380CC4-5D6E-409C-BE32-E72D297353CC}">
              <c16:uniqueId val="{00000000-7588-4787-9B27-A32E5E721DDD}"/>
            </c:ext>
          </c:extLst>
        </c:ser>
        <c:ser>
          <c:idx val="1"/>
          <c:order val="1"/>
          <c:tx>
            <c:strRef>
              <c:f>'Introducción de datos'!$D$38</c:f>
              <c:strCache>
                <c:ptCount val="1"/>
                <c:pt idx="0">
                  <c:v>Gastos acumulados (en $)</c:v>
                </c:pt>
              </c:strCache>
            </c:strRef>
          </c:tx>
          <c:spPr>
            <a:solidFill>
              <a:srgbClr val="C0504D"/>
            </a:solidFill>
            <a:ln w="25400">
              <a:noFill/>
            </a:ln>
          </c:spPr>
          <c:invertIfNegative val="0"/>
          <c:cat>
            <c:strRef>
              <c:f>'Introducción de datos'!$B$39:$B$47</c:f>
              <c:strCache>
                <c:ptCount val="9"/>
                <c:pt idx="0">
                  <c:v> 1: Detección precoz de casos de tuberculosis </c:v>
                </c:pt>
                <c:pt idx="1">
                  <c:v> 2: Tratamiento de casos TB de todas las formas </c:v>
                </c:pt>
                <c:pt idx="2">
                  <c:v> 3: Detección de casos TB/MDR </c:v>
                </c:pt>
                <c:pt idx="3">
                  <c:v> 4: Tratamiento de casos TB/MDR </c:v>
                </c:pt>
                <c:pt idx="4">
                  <c:v> 5: Disminución de la mortalidad por TB/VIH </c:v>
                </c:pt>
                <c:pt idx="5">
                  <c:v> 6: Atención integral a grupos de más alto riesgo </c:v>
                </c:pt>
                <c:pt idx="6">
                  <c:v>7: Fortalecimiento al Sistema de Salud</c:v>
                </c:pt>
                <c:pt idx="7">
                  <c:v>Monitoreo y Evaluación</c:v>
                </c:pt>
                <c:pt idx="8">
                  <c:v>Planificación, Coordinación y Gerencia</c:v>
                </c:pt>
              </c:strCache>
            </c:strRef>
          </c:cat>
          <c:val>
            <c:numRef>
              <c:f>'Introducción de datos'!$D$39:$D$47</c:f>
              <c:numCache>
                <c:formatCode>_ [$$-240A]\ * #,##0.00_ ;_ [$$-240A]\ * \-#,##0.00_ ;_ [$$-240A]\ * \-??_ ;_ @_ </c:formatCode>
                <c:ptCount val="9"/>
                <c:pt idx="0">
                  <c:v>3808606.0300000003</c:v>
                </c:pt>
                <c:pt idx="1">
                  <c:v>433206.03</c:v>
                </c:pt>
                <c:pt idx="2">
                  <c:v>248440</c:v>
                </c:pt>
                <c:pt idx="3">
                  <c:v>111917.09</c:v>
                </c:pt>
                <c:pt idx="4">
                  <c:v>163734.84</c:v>
                </c:pt>
                <c:pt idx="5" formatCode="_([$$-440A]* #,##0.00_);_([$$-440A]* \(#,##0.00\);_([$$-440A]* \-??_);_(@_)">
                  <c:v>961421.44</c:v>
                </c:pt>
                <c:pt idx="6" formatCode="_([$$-440A]* #,##0.00_);_([$$-440A]* \(#,##0.00\);_([$$-440A]* \-??_);_(@_)">
                  <c:v>1470080.4</c:v>
                </c:pt>
                <c:pt idx="7" formatCode="_([$$-440A]* #,##0.00_);_([$$-440A]* \(#,##0.00\);_([$$-440A]* \-??_);_(@_)">
                  <c:v>407030.69</c:v>
                </c:pt>
                <c:pt idx="8" formatCode="_([$$-440A]* #,##0.00_);_([$$-440A]* \(#,##0.00\);_([$$-440A]* \-??_);_(@_)">
                  <c:v>684179.27</c:v>
                </c:pt>
              </c:numCache>
            </c:numRef>
          </c:val>
          <c:extLst>
            <c:ext xmlns:c16="http://schemas.microsoft.com/office/drawing/2014/chart" uri="{C3380CC4-5D6E-409C-BE32-E72D297353CC}">
              <c16:uniqueId val="{00000001-7588-4787-9B27-A32E5E721DDD}"/>
            </c:ext>
          </c:extLst>
        </c:ser>
        <c:dLbls>
          <c:showLegendKey val="0"/>
          <c:showVal val="0"/>
          <c:showCatName val="0"/>
          <c:showSerName val="0"/>
          <c:showPercent val="0"/>
          <c:showBubbleSize val="0"/>
        </c:dLbls>
        <c:gapWidth val="219"/>
        <c:overlap val="-27"/>
        <c:axId val="526270872"/>
        <c:axId val="1"/>
      </c:barChart>
      <c:catAx>
        <c:axId val="526270872"/>
        <c:scaling>
          <c:orientation val="minMax"/>
        </c:scaling>
        <c:delete val="0"/>
        <c:axPos val="b"/>
        <c:numFmt formatCode="General" sourceLinked="1"/>
        <c:majorTickMark val="none"/>
        <c:minorTickMark val="none"/>
        <c:tickLblPos val="nextTo"/>
        <c:spPr>
          <a:ln w="12700">
            <a:solidFill>
              <a:srgbClr val="D9D9D9"/>
            </a:solidFill>
            <a:prstDash val="solid"/>
          </a:ln>
        </c:spPr>
        <c:txPr>
          <a:bodyPr rot="0" vert="horz"/>
          <a:lstStyle/>
          <a:p>
            <a:pPr>
              <a:defRPr sz="1000" b="1" i="0" u="none" strike="noStrike" baseline="0">
                <a:solidFill>
                  <a:srgbClr val="595959"/>
                </a:solidFill>
                <a:latin typeface="Calibri"/>
                <a:ea typeface="Calibri"/>
                <a:cs typeface="Calibri"/>
              </a:defRPr>
            </a:pPr>
            <a:endParaRPr lang="es-SV"/>
          </a:p>
        </c:txPr>
        <c:crossAx val="1"/>
        <c:crosses val="autoZero"/>
        <c:auto val="1"/>
        <c:lblAlgn val="ctr"/>
        <c:lblOffset val="100"/>
        <c:tickLblSkip val="2"/>
        <c:tickMarkSkip val="1"/>
        <c:noMultiLvlLbl val="0"/>
      </c:catAx>
      <c:valAx>
        <c:axId val="1"/>
        <c:scaling>
          <c:orientation val="minMax"/>
        </c:scaling>
        <c:delete val="0"/>
        <c:axPos val="l"/>
        <c:majorGridlines>
          <c:spPr>
            <a:ln w="12700">
              <a:solidFill>
                <a:srgbClr val="D9D9D9"/>
              </a:solidFill>
              <a:prstDash val="solid"/>
            </a:ln>
          </c:spPr>
        </c:majorGridlines>
        <c:numFmt formatCode="_ [$$-240A]\ * #,##0.00_ ;_ [$$-240A]\ * \-#,##0.00_ ;_ [$$-240A]\ * \-??_ ;_ @_ "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es-SV"/>
          </a:p>
        </c:txPr>
        <c:crossAx val="526270872"/>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53129387266462"/>
          <c:y val="0.2536249831930989"/>
          <c:w val="0.78260941802174833"/>
          <c:h val="0.2971035517404873"/>
        </c:manualLayout>
      </c:layout>
      <c:barChart>
        <c:barDir val="bar"/>
        <c:grouping val="percentStacked"/>
        <c:varyColors val="0"/>
        <c:ser>
          <c:idx val="0"/>
          <c:order val="0"/>
          <c:tx>
            <c:strRef>
              <c:f>'Introducción de datos'!$D$89</c:f>
              <c:strCache>
                <c:ptCount val="1"/>
                <c:pt idx="0">
                  <c:v> Cubiertos </c:v>
                </c:pt>
              </c:strCache>
            </c:strRef>
          </c:tx>
          <c:spPr>
            <a:solidFill>
              <a:srgbClr val="33CC33"/>
            </a:solidFill>
            <a:ln w="25400">
              <a:noFill/>
            </a:ln>
          </c:spPr>
          <c:invertIfNegative val="0"/>
          <c:dPt>
            <c:idx val="0"/>
            <c:invertIfNegative val="0"/>
            <c:bubble3D val="0"/>
            <c:spPr>
              <a:solidFill>
                <a:srgbClr val="99CC00"/>
              </a:solidFill>
              <a:ln w="25400">
                <a:noFill/>
              </a:ln>
            </c:spPr>
            <c:extLst>
              <c:ext xmlns:c16="http://schemas.microsoft.com/office/drawing/2014/chart" uri="{C3380CC4-5D6E-409C-BE32-E72D297353CC}">
                <c16:uniqueId val="{00000000-E6AF-4D8C-A322-570F36DC7BD4}"/>
              </c:ext>
            </c:extLst>
          </c:dPt>
          <c:dLbls>
            <c:dLbl>
              <c:idx val="0"/>
              <c:numFmt formatCode="General" sourceLinked="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0-E6AF-4D8C-A322-570F36DC7BD4}"/>
                </c:ext>
              </c:extLst>
            </c:dLbl>
            <c:numFmt formatCode="General" sourceLinked="0"/>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datos'!$D$90</c:f>
              <c:numCache>
                <c:formatCode>General</c:formatCode>
                <c:ptCount val="1"/>
                <c:pt idx="0">
                  <c:v>3</c:v>
                </c:pt>
              </c:numCache>
            </c:numRef>
          </c:val>
          <c:extLst>
            <c:ext xmlns:c16="http://schemas.microsoft.com/office/drawing/2014/chart" uri="{C3380CC4-5D6E-409C-BE32-E72D297353CC}">
              <c16:uniqueId val="{00000001-E6AF-4D8C-A322-570F36DC7BD4}"/>
            </c:ext>
          </c:extLst>
        </c:ser>
        <c:ser>
          <c:idx val="1"/>
          <c:order val="1"/>
          <c:tx>
            <c:strRef>
              <c:f>'Introducción de datos'!$E$89</c:f>
              <c:strCache>
                <c:ptCount val="1"/>
                <c:pt idx="0">
                  <c:v> Vacantes </c:v>
                </c:pt>
              </c:strCache>
            </c:strRef>
          </c:tx>
          <c:spPr>
            <a:solidFill>
              <a:srgbClr val="FF5050"/>
            </a:solidFill>
            <a:ln w="25400">
              <a:noFill/>
            </a:ln>
          </c:spPr>
          <c:invertIfNegative val="0"/>
          <c:dLbls>
            <c:dLbl>
              <c:idx val="0"/>
              <c:numFmt formatCode="General" sourceLinked="0"/>
              <c:spPr>
                <a:noFill/>
                <a:ln w="25400">
                  <a:noFill/>
                </a:ln>
              </c:spPr>
              <c:txPr>
                <a:bodyPr/>
                <a:lstStyle/>
                <a:p>
                  <a:pPr>
                    <a:defRPr sz="105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2-E6AF-4D8C-A322-570F36DC7BD4}"/>
                </c:ext>
              </c:extLst>
            </c:dLbl>
            <c:numFmt formatCode="General" sourceLinked="0"/>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datos'!$E$90</c:f>
              <c:numCache>
                <c:formatCode>General</c:formatCode>
                <c:ptCount val="1"/>
                <c:pt idx="0">
                  <c:v>0</c:v>
                </c:pt>
              </c:numCache>
            </c:numRef>
          </c:val>
          <c:extLst>
            <c:ext xmlns:c16="http://schemas.microsoft.com/office/drawing/2014/chart" uri="{C3380CC4-5D6E-409C-BE32-E72D297353CC}">
              <c16:uniqueId val="{00000003-E6AF-4D8C-A322-570F36DC7BD4}"/>
            </c:ext>
          </c:extLst>
        </c:ser>
        <c:dLbls>
          <c:showLegendKey val="0"/>
          <c:showVal val="0"/>
          <c:showCatName val="0"/>
          <c:showSerName val="0"/>
          <c:showPercent val="0"/>
          <c:showBubbleSize val="0"/>
        </c:dLbls>
        <c:gapWidth val="79"/>
        <c:overlap val="100"/>
        <c:axId val="532293648"/>
        <c:axId val="1"/>
      </c:barChart>
      <c:catAx>
        <c:axId val="532293648"/>
        <c:scaling>
          <c:orientation val="minMax"/>
        </c:scaling>
        <c:delete val="0"/>
        <c:axPos val="l"/>
        <c:majorTickMark val="out"/>
        <c:minorTickMark val="none"/>
        <c:tickLblPos val="none"/>
        <c:spPr>
          <a:ln w="12700">
            <a:solidFill>
              <a:srgbClr val="878787"/>
            </a:solidFill>
            <a:prstDash val="solid"/>
          </a:ln>
        </c:spPr>
        <c:crossAx val="1"/>
        <c:crosses val="autoZero"/>
        <c:auto val="1"/>
        <c:lblAlgn val="ctr"/>
        <c:lblOffset val="100"/>
        <c:tickMarkSkip val="1"/>
        <c:noMultiLvlLbl val="0"/>
      </c:catAx>
      <c:valAx>
        <c:axId val="1"/>
        <c:scaling>
          <c:orientation val="minMax"/>
        </c:scaling>
        <c:delete val="0"/>
        <c:axPos val="t"/>
        <c:majorGridlines>
          <c:spPr>
            <a:ln w="12700">
              <a:solidFill>
                <a:srgbClr val="808080"/>
              </a:solidFill>
              <a:prstDash val="solid"/>
            </a:ln>
          </c:spPr>
        </c:majorGridlines>
        <c:numFmt formatCode="0%" sourceLinked="0"/>
        <c:majorTickMark val="out"/>
        <c:minorTickMark val="none"/>
        <c:tickLblPos val="low"/>
        <c:spPr>
          <a:ln w="12700">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532293648"/>
        <c:crosses val="max"/>
        <c:crossBetween val="between"/>
      </c:valAx>
      <c:spPr>
        <a:solidFill>
          <a:srgbClr val="FFFFFF"/>
        </a:solidFill>
        <a:ln w="25400">
          <a:noFill/>
        </a:ln>
      </c:spPr>
    </c:plotArea>
    <c:legend>
      <c:legendPos val="r"/>
      <c:layout>
        <c:manualLayout>
          <c:xMode val="edge"/>
          <c:yMode val="edge"/>
          <c:x val="0.23629511413700133"/>
          <c:y val="0.60145353157220593"/>
          <c:w val="0.43856373183827446"/>
          <c:h val="0.18116070228078493"/>
        </c:manualLayout>
      </c:layout>
      <c:overlay val="0"/>
      <c:spPr>
        <a:noFill/>
        <a:ln w="25400">
          <a:noFill/>
        </a:ln>
      </c:spPr>
      <c:txPr>
        <a:bodyPr/>
        <a:lstStyle/>
        <a:p>
          <a:pPr>
            <a:defRPr sz="650" b="0" i="0" u="none" strike="noStrike" baseline="0">
              <a:solidFill>
                <a:srgbClr val="000000"/>
              </a:solidFill>
              <a:latin typeface="Calibri"/>
              <a:ea typeface="Calibri"/>
              <a:cs typeface="Calibri"/>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55976916366064"/>
          <c:y val="0.21243577061349025"/>
          <c:w val="0.83256973974356241"/>
          <c:h val="0.51295466562769598"/>
        </c:manualLayout>
      </c:layout>
      <c:barChart>
        <c:barDir val="col"/>
        <c:grouping val="clustered"/>
        <c:varyColors val="0"/>
        <c:ser>
          <c:idx val="0"/>
          <c:order val="0"/>
          <c:tx>
            <c:strRef>
              <c:f>'Introducción de datos'!$C$94</c:f>
              <c:strCache>
                <c:ptCount val="1"/>
                <c:pt idx="0">
                  <c:v> Identificados </c:v>
                </c:pt>
              </c:strCache>
            </c:strRef>
          </c:tx>
          <c:spPr>
            <a:solidFill>
              <a:srgbClr val="FFFFFF"/>
            </a:solidFill>
            <a:ln w="12700">
              <a:solidFill>
                <a:srgbClr val="000000"/>
              </a:solidFill>
              <a:prstDash val="solid"/>
            </a:ln>
          </c:spPr>
          <c:invertIfNegative val="0"/>
          <c:dLbls>
            <c:dLbl>
              <c:idx val="0"/>
              <c:numFmt formatCode="General" sourceLinked="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0-7CF6-44CF-8614-98ADDE734B04}"/>
                </c:ext>
              </c:extLst>
            </c:dLbl>
            <c:numFmt formatCode="General"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datos'!$C$95</c:f>
              <c:numCache>
                <c:formatCode>General</c:formatCode>
                <c:ptCount val="1"/>
                <c:pt idx="0">
                  <c:v>0</c:v>
                </c:pt>
              </c:numCache>
            </c:numRef>
          </c:val>
          <c:extLst>
            <c:ext xmlns:c16="http://schemas.microsoft.com/office/drawing/2014/chart" uri="{C3380CC4-5D6E-409C-BE32-E72D297353CC}">
              <c16:uniqueId val="{00000001-7CF6-44CF-8614-98ADDE734B04}"/>
            </c:ext>
          </c:extLst>
        </c:ser>
        <c:ser>
          <c:idx val="1"/>
          <c:order val="1"/>
          <c:tx>
            <c:strRef>
              <c:f>'Introducción de datos'!$D$94</c:f>
              <c:strCache>
                <c:ptCount val="1"/>
                <c:pt idx="0">
                  <c:v> Evaluados </c:v>
                </c:pt>
              </c:strCache>
            </c:strRef>
          </c:tx>
          <c:spPr>
            <a:solidFill>
              <a:srgbClr val="F2F2F2"/>
            </a:solidFill>
            <a:ln w="12700">
              <a:solidFill>
                <a:srgbClr val="000000"/>
              </a:solidFill>
              <a:prstDash val="solid"/>
            </a:ln>
          </c:spPr>
          <c:invertIfNegative val="0"/>
          <c:dLbls>
            <c:dLbl>
              <c:idx val="0"/>
              <c:numFmt formatCode="General" sourceLinked="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2-7CF6-44CF-8614-98ADDE734B04}"/>
                </c:ext>
              </c:extLst>
            </c:dLbl>
            <c:numFmt formatCode="General"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datos'!$D$95</c:f>
              <c:numCache>
                <c:formatCode>General</c:formatCode>
                <c:ptCount val="1"/>
                <c:pt idx="0">
                  <c:v>0</c:v>
                </c:pt>
              </c:numCache>
            </c:numRef>
          </c:val>
          <c:extLst>
            <c:ext xmlns:c16="http://schemas.microsoft.com/office/drawing/2014/chart" uri="{C3380CC4-5D6E-409C-BE32-E72D297353CC}">
              <c16:uniqueId val="{00000003-7CF6-44CF-8614-98ADDE734B04}"/>
            </c:ext>
          </c:extLst>
        </c:ser>
        <c:ser>
          <c:idx val="2"/>
          <c:order val="2"/>
          <c:tx>
            <c:strRef>
              <c:f>'Introducción de datos'!$E$94</c:f>
              <c:strCache>
                <c:ptCount val="1"/>
                <c:pt idx="0">
                  <c:v> Aprobados </c:v>
                </c:pt>
              </c:strCache>
            </c:strRef>
          </c:tx>
          <c:spPr>
            <a:solidFill>
              <a:srgbClr val="D9D9D9"/>
            </a:solidFill>
            <a:ln w="12700">
              <a:solidFill>
                <a:srgbClr val="000000"/>
              </a:solidFill>
              <a:prstDash val="solid"/>
            </a:ln>
          </c:spPr>
          <c:invertIfNegative val="0"/>
          <c:dLbls>
            <c:dLbl>
              <c:idx val="0"/>
              <c:numFmt formatCode="General" sourceLinked="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4-7CF6-44CF-8614-98ADDE734B04}"/>
                </c:ext>
              </c:extLst>
            </c:dLbl>
            <c:numFmt formatCode="General"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datos'!$E$95</c:f>
              <c:numCache>
                <c:formatCode>General</c:formatCode>
                <c:ptCount val="1"/>
                <c:pt idx="0">
                  <c:v>0</c:v>
                </c:pt>
              </c:numCache>
            </c:numRef>
          </c:val>
          <c:extLst>
            <c:ext xmlns:c16="http://schemas.microsoft.com/office/drawing/2014/chart" uri="{C3380CC4-5D6E-409C-BE32-E72D297353CC}">
              <c16:uniqueId val="{00000005-7CF6-44CF-8614-98ADDE734B04}"/>
            </c:ext>
          </c:extLst>
        </c:ser>
        <c:ser>
          <c:idx val="3"/>
          <c:order val="3"/>
          <c:tx>
            <c:strRef>
              <c:f>'Introducción de datos'!$F$94</c:f>
              <c:strCache>
                <c:ptCount val="1"/>
                <c:pt idx="0">
                  <c:v> Firmados </c:v>
                </c:pt>
              </c:strCache>
            </c:strRef>
          </c:tx>
          <c:spPr>
            <a:solidFill>
              <a:srgbClr val="BFBFBF"/>
            </a:solidFill>
            <a:ln w="12700">
              <a:solidFill>
                <a:srgbClr val="000000"/>
              </a:solidFill>
              <a:prstDash val="solid"/>
            </a:ln>
          </c:spPr>
          <c:invertIfNegative val="0"/>
          <c:dLbls>
            <c:dLbl>
              <c:idx val="0"/>
              <c:numFmt formatCode="General" sourceLinked="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6-7CF6-44CF-8614-98ADDE734B04}"/>
                </c:ext>
              </c:extLst>
            </c:dLbl>
            <c:numFmt formatCode="General"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datos'!$F$95</c:f>
              <c:numCache>
                <c:formatCode>General</c:formatCode>
                <c:ptCount val="1"/>
                <c:pt idx="0">
                  <c:v>0</c:v>
                </c:pt>
              </c:numCache>
            </c:numRef>
          </c:val>
          <c:extLst>
            <c:ext xmlns:c16="http://schemas.microsoft.com/office/drawing/2014/chart" uri="{C3380CC4-5D6E-409C-BE32-E72D297353CC}">
              <c16:uniqueId val="{00000007-7CF6-44CF-8614-98ADDE734B04}"/>
            </c:ext>
          </c:extLst>
        </c:ser>
        <c:ser>
          <c:idx val="4"/>
          <c:order val="4"/>
          <c:tx>
            <c:strRef>
              <c:f>'Introducción de datos'!$G$94</c:f>
              <c:strCache>
                <c:ptCount val="1"/>
                <c:pt idx="0">
                  <c:v> Que reciben financiación </c:v>
                </c:pt>
              </c:strCache>
            </c:strRef>
          </c:tx>
          <c:spPr>
            <a:solidFill>
              <a:srgbClr val="A6A6A6"/>
            </a:solidFill>
            <a:ln w="25400">
              <a:noFill/>
            </a:ln>
          </c:spPr>
          <c:invertIfNegative val="0"/>
          <c:dPt>
            <c:idx val="0"/>
            <c:invertIfNegative val="0"/>
            <c:bubble3D val="0"/>
            <c:spPr>
              <a:solidFill>
                <a:srgbClr val="A6A6A6"/>
              </a:solidFill>
              <a:ln w="12700">
                <a:solidFill>
                  <a:srgbClr val="000000"/>
                </a:solidFill>
                <a:prstDash val="solid"/>
              </a:ln>
            </c:spPr>
            <c:extLst>
              <c:ext xmlns:c16="http://schemas.microsoft.com/office/drawing/2014/chart" uri="{C3380CC4-5D6E-409C-BE32-E72D297353CC}">
                <c16:uniqueId val="{00000008-7CF6-44CF-8614-98ADDE734B04}"/>
              </c:ext>
            </c:extLst>
          </c:dPt>
          <c:dLbls>
            <c:dLbl>
              <c:idx val="0"/>
              <c:numFmt formatCode="General" sourceLinked="0"/>
              <c:spPr>
                <a:noFill/>
                <a:ln w="25400">
                  <a:noFill/>
                </a:ln>
              </c:spPr>
              <c:txPr>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8-7CF6-44CF-8614-98ADDE734B04}"/>
                </c:ext>
              </c:extLst>
            </c:dLbl>
            <c:numFmt formatCode="General"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datos'!$G$95</c:f>
              <c:numCache>
                <c:formatCode>General</c:formatCode>
                <c:ptCount val="1"/>
                <c:pt idx="0">
                  <c:v>0</c:v>
                </c:pt>
              </c:numCache>
            </c:numRef>
          </c:val>
          <c:extLst>
            <c:ext xmlns:c16="http://schemas.microsoft.com/office/drawing/2014/chart" uri="{C3380CC4-5D6E-409C-BE32-E72D297353CC}">
              <c16:uniqueId val="{00000009-7CF6-44CF-8614-98ADDE734B04}"/>
            </c:ext>
          </c:extLst>
        </c:ser>
        <c:dLbls>
          <c:showLegendKey val="0"/>
          <c:showVal val="0"/>
          <c:showCatName val="0"/>
          <c:showSerName val="0"/>
          <c:showPercent val="0"/>
          <c:showBubbleSize val="0"/>
        </c:dLbls>
        <c:gapWidth val="150"/>
        <c:overlap val="-20"/>
        <c:axId val="532291024"/>
        <c:axId val="1"/>
      </c:barChart>
      <c:catAx>
        <c:axId val="532291024"/>
        <c:scaling>
          <c:orientation val="minMax"/>
        </c:scaling>
        <c:delete val="0"/>
        <c:axPos val="b"/>
        <c:majorTickMark val="none"/>
        <c:minorTickMark val="none"/>
        <c:tickLblPos val="none"/>
        <c:spPr>
          <a:ln w="12700">
            <a:solidFill>
              <a:srgbClr val="000000"/>
            </a:solidFill>
            <a:prstDash val="solid"/>
          </a:ln>
        </c:spPr>
        <c:crossAx val="1"/>
        <c:crossesAt val="0"/>
        <c:auto val="0"/>
        <c:lblAlgn val="ctr"/>
        <c:lblOffset val="100"/>
        <c:tickMarkSkip val="1"/>
        <c:noMultiLvlLbl val="0"/>
      </c:catAx>
      <c:valAx>
        <c:axId val="1"/>
        <c:scaling>
          <c:orientation val="minMax"/>
        </c:scaling>
        <c:delete val="0"/>
        <c:axPos val="l"/>
        <c:numFmt formatCode="General"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532291024"/>
        <c:crosses val="autoZero"/>
        <c:crossBetween val="between"/>
      </c:valAx>
      <c:spPr>
        <a:noFill/>
        <a:ln w="25400">
          <a:noFill/>
        </a:ln>
      </c:spPr>
    </c:plotArea>
    <c:legend>
      <c:legendPos val="r"/>
      <c:layout>
        <c:manualLayout>
          <c:xMode val="edge"/>
          <c:yMode val="edge"/>
          <c:x val="1.146790275128874E-2"/>
          <c:y val="0.70466499520572379"/>
          <c:w val="0.99312037826160482"/>
          <c:h val="0.15025944750710288"/>
        </c:manualLayout>
      </c:layout>
      <c:overlay val="0"/>
      <c:spPr>
        <a:noFill/>
        <a:ln w="25400">
          <a:noFill/>
        </a:ln>
      </c:spPr>
      <c:txPr>
        <a:bodyPr/>
        <a:lstStyle/>
        <a:p>
          <a:pPr>
            <a:defRPr sz="585"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74789915966388"/>
          <c:y val="0.13793149896113605"/>
          <c:w val="0.50630252100840334"/>
          <c:h val="0.44138079667563535"/>
        </c:manualLayout>
      </c:layout>
      <c:barChart>
        <c:barDir val="bar"/>
        <c:grouping val="percentStacked"/>
        <c:varyColors val="0"/>
        <c:ser>
          <c:idx val="0"/>
          <c:order val="0"/>
          <c:tx>
            <c:v>Para el periodo</c:v>
          </c:tx>
          <c:spPr>
            <a:solidFill>
              <a:srgbClr val="99CC00"/>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datos'!$B$83:$B$84</c:f>
              <c:strCache>
                <c:ptCount val="2"/>
                <c:pt idx="0">
                  <c:v> Condiciones precedentes </c:v>
                </c:pt>
                <c:pt idx="1">
                  <c:v> Acciones con fecha límite* </c:v>
                </c:pt>
              </c:strCache>
            </c:strRef>
          </c:cat>
          <c:val>
            <c:numRef>
              <c:f>'Introducción de datos'!$D$83:$D$84</c:f>
              <c:numCache>
                <c:formatCode>0</c:formatCode>
                <c:ptCount val="2"/>
                <c:pt idx="0">
                  <c:v>0</c:v>
                </c:pt>
                <c:pt idx="1">
                  <c:v>0</c:v>
                </c:pt>
              </c:numCache>
            </c:numRef>
          </c:val>
          <c:extLst>
            <c:ext xmlns:c16="http://schemas.microsoft.com/office/drawing/2014/chart" uri="{C3380CC4-5D6E-409C-BE32-E72D297353CC}">
              <c16:uniqueId val="{00000000-D2FE-4E5C-91B7-7A1E71B6CD62}"/>
            </c:ext>
          </c:extLst>
        </c:ser>
        <c:ser>
          <c:idx val="1"/>
          <c:order val="1"/>
          <c:tx>
            <c:v>Cumplidas</c:v>
          </c:tx>
          <c:spPr>
            <a:solidFill>
              <a:srgbClr val="FFFF99"/>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datos'!$B$83:$B$84</c:f>
              <c:strCache>
                <c:ptCount val="2"/>
                <c:pt idx="0">
                  <c:v> Condiciones precedentes </c:v>
                </c:pt>
                <c:pt idx="1">
                  <c:v> Acciones con fecha límite* </c:v>
                </c:pt>
              </c:strCache>
            </c:strRef>
          </c:cat>
          <c:val>
            <c:numRef>
              <c:f>'Introducción de datos'!$E$83:$E$84</c:f>
              <c:numCache>
                <c:formatCode>0</c:formatCode>
                <c:ptCount val="2"/>
                <c:pt idx="0">
                  <c:v>0</c:v>
                </c:pt>
                <c:pt idx="1">
                  <c:v>0</c:v>
                </c:pt>
              </c:numCache>
            </c:numRef>
          </c:val>
          <c:extLst>
            <c:ext xmlns:c16="http://schemas.microsoft.com/office/drawing/2014/chart" uri="{C3380CC4-5D6E-409C-BE32-E72D297353CC}">
              <c16:uniqueId val="{00000001-D2FE-4E5C-91B7-7A1E71B6CD62}"/>
            </c:ext>
          </c:extLst>
        </c:ser>
        <c:ser>
          <c:idx val="2"/>
          <c:order val="2"/>
          <c:tx>
            <c:v>No cumplidas, aunque dentro de plazo</c:v>
          </c:tx>
          <c:spPr>
            <a:solidFill>
              <a:srgbClr val="FF5050"/>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datos'!$B$83:$B$84</c:f>
              <c:strCache>
                <c:ptCount val="2"/>
                <c:pt idx="0">
                  <c:v> Condiciones precedentes </c:v>
                </c:pt>
                <c:pt idx="1">
                  <c:v> Acciones con fecha límite* </c:v>
                </c:pt>
              </c:strCache>
            </c:strRef>
          </c:cat>
          <c:val>
            <c:numRef>
              <c:f>'Introducción de datos'!$F$83:$F$84</c:f>
              <c:numCache>
                <c:formatCode>0</c:formatCode>
                <c:ptCount val="2"/>
                <c:pt idx="0">
                  <c:v>0</c:v>
                </c:pt>
                <c:pt idx="1">
                  <c:v>0</c:v>
                </c:pt>
              </c:numCache>
            </c:numRef>
          </c:val>
          <c:extLst>
            <c:ext xmlns:c16="http://schemas.microsoft.com/office/drawing/2014/chart" uri="{C3380CC4-5D6E-409C-BE32-E72D297353CC}">
              <c16:uniqueId val="{00000002-D2FE-4E5C-91B7-7A1E71B6CD62}"/>
            </c:ext>
          </c:extLst>
        </c:ser>
        <c:dLbls>
          <c:showLegendKey val="0"/>
          <c:showVal val="0"/>
          <c:showCatName val="0"/>
          <c:showSerName val="0"/>
          <c:showPercent val="0"/>
          <c:showBubbleSize val="0"/>
        </c:dLbls>
        <c:gapWidth val="70"/>
        <c:overlap val="100"/>
        <c:axId val="612630592"/>
        <c:axId val="1"/>
      </c:barChart>
      <c:catAx>
        <c:axId val="612630592"/>
        <c:scaling>
          <c:orientation val="minMax"/>
        </c:scaling>
        <c:delete val="0"/>
        <c:axPos val="l"/>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b"/>
        <c:majorGridlines>
          <c:spPr>
            <a:ln w="12700">
              <a:solidFill>
                <a:srgbClr val="000000"/>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612630592"/>
        <c:crossesAt val="1"/>
        <c:crossBetween val="between"/>
      </c:valAx>
      <c:spPr>
        <a:noFill/>
        <a:ln w="25400">
          <a:noFill/>
        </a:ln>
      </c:spPr>
    </c:plotArea>
    <c:legend>
      <c:legendPos val="r"/>
      <c:layout>
        <c:manualLayout>
          <c:xMode val="edge"/>
          <c:yMode val="edge"/>
          <c:x val="1.050420168067227E-2"/>
          <c:y val="0.75632401122273518"/>
          <c:w val="0.98949579831932777"/>
          <c:h val="0.17241437370142007"/>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05808353384019"/>
          <c:y val="0.17010309278350516"/>
          <c:w val="0.5594859697532294"/>
          <c:h val="0.4484536082474227"/>
        </c:manualLayout>
      </c:layout>
      <c:barChart>
        <c:barDir val="bar"/>
        <c:grouping val="percentStacked"/>
        <c:varyColors val="0"/>
        <c:ser>
          <c:idx val="0"/>
          <c:order val="0"/>
          <c:tx>
            <c:strRef>
              <c:f>'Introducción de datos'!$D$99</c:f>
              <c:strCache>
                <c:ptCount val="1"/>
                <c:pt idx="0">
                  <c:v> Recibidos </c:v>
                </c:pt>
              </c:strCache>
            </c:strRef>
          </c:tx>
          <c:spPr>
            <a:solidFill>
              <a:srgbClr val="99CC00"/>
            </a:solidFill>
            <a:ln w="25400">
              <a:noFill/>
            </a:ln>
          </c:spPr>
          <c:invertIfNegative val="0"/>
          <c:dLbls>
            <c:numFmt formatCode="0" sourceLinked="0"/>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datos'!$B$100:$B$101</c:f>
              <c:strCache>
                <c:ptCount val="2"/>
                <c:pt idx="0">
                  <c:v> Sub SR al SR </c:v>
                </c:pt>
                <c:pt idx="1">
                  <c:v> Personal Técnico al RP </c:v>
                </c:pt>
              </c:strCache>
            </c:strRef>
          </c:cat>
          <c:val>
            <c:numRef>
              <c:f>'Introducción de datos'!$D$100:$D$101</c:f>
              <c:numCache>
                <c:formatCode>0</c:formatCode>
                <c:ptCount val="2"/>
              </c:numCache>
            </c:numRef>
          </c:val>
          <c:extLst>
            <c:ext xmlns:c16="http://schemas.microsoft.com/office/drawing/2014/chart" uri="{C3380CC4-5D6E-409C-BE32-E72D297353CC}">
              <c16:uniqueId val="{00000000-33B4-419C-A302-EE1D67A3FB71}"/>
            </c:ext>
          </c:extLst>
        </c:ser>
        <c:ser>
          <c:idx val="1"/>
          <c:order val="1"/>
          <c:tx>
            <c:strRef>
              <c:f>'Introducción de datos'!$E$99</c:f>
              <c:strCache>
                <c:ptCount val="1"/>
                <c:pt idx="0">
                  <c:v> Pendientes </c:v>
                </c:pt>
              </c:strCache>
            </c:strRef>
          </c:tx>
          <c:spPr>
            <a:solidFill>
              <a:srgbClr val="FF5050"/>
            </a:solidFill>
            <a:ln w="25400">
              <a:noFill/>
            </a:ln>
          </c:spPr>
          <c:invertIfNegative val="0"/>
          <c:dLbls>
            <c:dLbl>
              <c:idx val="0"/>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1-33B4-419C-A302-EE1D67A3FB71}"/>
                </c:ext>
              </c:extLst>
            </c:dLbl>
            <c:dLbl>
              <c:idx val="1"/>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2-33B4-419C-A302-EE1D67A3FB71}"/>
                </c:ext>
              </c:extLst>
            </c:dLbl>
            <c:numFmt formatCode="0" sourceLinked="0"/>
            <c:spPr>
              <a:noFill/>
              <a:ln w="25400">
                <a:noFill/>
              </a:ln>
            </c:spPr>
            <c:txPr>
              <a:bodyPr wrap="square" lIns="38100" tIns="19050" rIns="38100" bIns="19050" anchor="ctr">
                <a:spAutoFit/>
              </a:bodyPr>
              <a:lstStyle/>
              <a:p>
                <a:pPr>
                  <a:defRPr sz="1100" b="1" i="0" u="none" strike="noStrike" baseline="0">
                    <a:solidFill>
                      <a:srgbClr val="FFFFFF"/>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datos'!$B$100:$B$101</c:f>
              <c:strCache>
                <c:ptCount val="2"/>
                <c:pt idx="0">
                  <c:v> Sub SR al SR </c:v>
                </c:pt>
                <c:pt idx="1">
                  <c:v> Personal Técnico al RP </c:v>
                </c:pt>
              </c:strCache>
            </c:strRef>
          </c:cat>
          <c:val>
            <c:numRef>
              <c:f>'Introducción de datos'!$E$100:$E$101</c:f>
              <c:numCache>
                <c:formatCode>0</c:formatCode>
                <c:ptCount val="2"/>
                <c:pt idx="0">
                  <c:v>0</c:v>
                </c:pt>
                <c:pt idx="1">
                  <c:v>0</c:v>
                </c:pt>
              </c:numCache>
            </c:numRef>
          </c:val>
          <c:extLst>
            <c:ext xmlns:c16="http://schemas.microsoft.com/office/drawing/2014/chart" uri="{C3380CC4-5D6E-409C-BE32-E72D297353CC}">
              <c16:uniqueId val="{00000003-33B4-419C-A302-EE1D67A3FB71}"/>
            </c:ext>
          </c:extLst>
        </c:ser>
        <c:dLbls>
          <c:showLegendKey val="0"/>
          <c:showVal val="0"/>
          <c:showCatName val="0"/>
          <c:showSerName val="0"/>
          <c:showPercent val="0"/>
          <c:showBubbleSize val="0"/>
        </c:dLbls>
        <c:gapWidth val="79"/>
        <c:overlap val="100"/>
        <c:axId val="612631576"/>
        <c:axId val="1"/>
      </c:barChart>
      <c:catAx>
        <c:axId val="612631576"/>
        <c:scaling>
          <c:orientation val="minMax"/>
        </c:scaling>
        <c:delete val="0"/>
        <c:axPos val="l"/>
        <c:numFmt formatCode="General" sourceLinked="1"/>
        <c:majorTickMark val="out"/>
        <c:minorTickMark val="none"/>
        <c:tickLblPos val="nextTo"/>
        <c:spPr>
          <a:ln w="12700">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1"/>
        <c:crosses val="autoZero"/>
        <c:auto val="1"/>
        <c:lblAlgn val="ctr"/>
        <c:lblOffset val="100"/>
        <c:tickLblSkip val="1"/>
        <c:tickMarkSkip val="1"/>
        <c:noMultiLvlLbl val="0"/>
      </c:catAx>
      <c:valAx>
        <c:axId val="1"/>
        <c:scaling>
          <c:orientation val="minMax"/>
        </c:scaling>
        <c:delete val="0"/>
        <c:axPos val="t"/>
        <c:majorGridlines>
          <c:spPr>
            <a:ln w="12700">
              <a:solidFill>
                <a:srgbClr val="808080"/>
              </a:solidFill>
              <a:prstDash val="solid"/>
            </a:ln>
          </c:spPr>
        </c:majorGridlines>
        <c:numFmt formatCode="0%" sourceLinked="0"/>
        <c:majorTickMark val="out"/>
        <c:minorTickMark val="none"/>
        <c:tickLblPos val="low"/>
        <c:spPr>
          <a:ln w="12700">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612631576"/>
        <c:crosses val="max"/>
        <c:crossBetween val="between"/>
      </c:valAx>
      <c:spPr>
        <a:solidFill>
          <a:srgbClr val="FFFFFF"/>
        </a:solidFill>
        <a:ln w="25400">
          <a:noFill/>
        </a:ln>
      </c:spPr>
    </c:plotArea>
    <c:legend>
      <c:legendPos val="r"/>
      <c:layout>
        <c:manualLayout>
          <c:xMode val="edge"/>
          <c:yMode val="edge"/>
          <c:x val="0.28295842148439188"/>
          <c:y val="0.67010309278350511"/>
          <c:w val="0.31350506925827509"/>
          <c:h val="0.12886597938144329"/>
        </c:manualLayout>
      </c:layout>
      <c:overlay val="0"/>
      <c:spPr>
        <a:noFill/>
        <a:ln w="25400">
          <a:noFill/>
        </a:ln>
      </c:spPr>
      <c:txPr>
        <a:bodyPr/>
        <a:lstStyle/>
        <a:p>
          <a:pPr>
            <a:defRPr sz="650" b="0" i="0" u="none" strike="noStrike" baseline="0">
              <a:solidFill>
                <a:srgbClr val="000000"/>
              </a:solidFill>
              <a:latin typeface="Calibri"/>
              <a:ea typeface="Calibri"/>
              <a:cs typeface="Calibri"/>
            </a:defRPr>
          </a:pPr>
          <a:endParaRPr lang="es-SV"/>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46719961797867"/>
          <c:y val="0.19753205495307047"/>
          <c:w val="0.70704921858783321"/>
          <c:h val="0.38889123318885749"/>
        </c:manualLayout>
      </c:layout>
      <c:lineChart>
        <c:grouping val="standard"/>
        <c:varyColors val="0"/>
        <c:ser>
          <c:idx val="0"/>
          <c:order val="0"/>
          <c:spPr>
            <a:ln w="38100">
              <a:solidFill>
                <a:srgbClr val="000080"/>
              </a:solidFill>
              <a:prstDash val="solid"/>
            </a:ln>
          </c:spPr>
          <c:marker>
            <c:symbol val="diamond"/>
            <c:size val="6"/>
            <c:spPr>
              <a:solidFill>
                <a:srgbClr val="000080"/>
              </a:solidFill>
              <a:ln>
                <a:solidFill>
                  <a:srgbClr val="000080"/>
                </a:solidFill>
                <a:prstDash val="solid"/>
              </a:ln>
            </c:spPr>
          </c:marker>
          <c:val>
            <c:numRef>
              <c:f>'Introducción de datos'!$C$109:$N$109</c:f>
              <c:numCache>
                <c:formatCode>_(\$* #,##0.00_);_(\$* \(#,##0.00\);_(\$* \-??_);_(@_)</c:formatCode>
                <c:ptCount val="12"/>
                <c:pt idx="0" formatCode="_([$$-440A]* #,##0.00_);_([$$-440A]* \(#,##0.00\);_([$$-440A]* \-??_);_(@_)">
                  <c:v>1004206</c:v>
                </c:pt>
                <c:pt idx="1">
                  <c:v>1222094</c:v>
                </c:pt>
                <c:pt idx="2">
                  <c:v>1511412</c:v>
                </c:pt>
                <c:pt idx="3">
                  <c:v>1511412</c:v>
                </c:pt>
                <c:pt idx="9" formatCode="#.##0">
                  <c:v>0</c:v>
                </c:pt>
                <c:pt idx="10" formatCode="#.##0">
                  <c:v>0</c:v>
                </c:pt>
                <c:pt idx="11" formatCode="#.##0">
                  <c:v>0</c:v>
                </c:pt>
              </c:numCache>
            </c:numRef>
          </c:val>
          <c:smooth val="0"/>
          <c:extLst>
            <c:ext xmlns:c16="http://schemas.microsoft.com/office/drawing/2014/chart" uri="{C3380CC4-5D6E-409C-BE32-E72D297353CC}">
              <c16:uniqueId val="{00000000-99CD-4912-AB20-657A9F56680B}"/>
            </c:ext>
          </c:extLst>
        </c:ser>
        <c:ser>
          <c:idx val="1"/>
          <c:order val="1"/>
          <c:spPr>
            <a:ln w="12700">
              <a:solidFill>
                <a:srgbClr val="3366FF"/>
              </a:solidFill>
              <a:prstDash val="solid"/>
            </a:ln>
          </c:spPr>
          <c:marker>
            <c:symbol val="square"/>
            <c:size val="5"/>
            <c:spPr>
              <a:solidFill>
                <a:srgbClr val="3366FF"/>
              </a:solidFill>
              <a:ln>
                <a:solidFill>
                  <a:srgbClr val="3366FF"/>
                </a:solidFill>
                <a:prstDash val="solid"/>
              </a:ln>
            </c:spPr>
          </c:marker>
          <c:val>
            <c:numRef>
              <c:f>'Introducción de datos'!$C$110:$N$110</c:f>
              <c:numCache>
                <c:formatCode>_(\$* #,##0.00_);_(\$* \(#,##0.00\);_(\$* \-??_);_(@_)</c:formatCode>
                <c:ptCount val="12"/>
                <c:pt idx="0" formatCode="_([$$-440A]* #,##0.00_);_([$$-440A]* \(#,##0.00\);_([$$-440A]* \-??_);_(@_)">
                  <c:v>45046.6</c:v>
                </c:pt>
                <c:pt idx="1">
                  <c:v>0</c:v>
                </c:pt>
                <c:pt idx="2">
                  <c:v>38484.42</c:v>
                </c:pt>
                <c:pt idx="3">
                  <c:v>38484.42</c:v>
                </c:pt>
                <c:pt idx="9" formatCode="#.##0">
                  <c:v>0</c:v>
                </c:pt>
                <c:pt idx="10" formatCode="#.##0">
                  <c:v>0</c:v>
                </c:pt>
                <c:pt idx="11" formatCode="#.##0">
                  <c:v>0</c:v>
                </c:pt>
              </c:numCache>
            </c:numRef>
          </c:val>
          <c:smooth val="0"/>
          <c:extLst>
            <c:ext xmlns:c16="http://schemas.microsoft.com/office/drawing/2014/chart" uri="{C3380CC4-5D6E-409C-BE32-E72D297353CC}">
              <c16:uniqueId val="{00000001-99CD-4912-AB20-657A9F56680B}"/>
            </c:ext>
          </c:extLst>
        </c:ser>
        <c:ser>
          <c:idx val="2"/>
          <c:order val="2"/>
          <c:spPr>
            <a:ln w="38100">
              <a:solidFill>
                <a:srgbClr val="FFCC99"/>
              </a:solidFill>
              <a:prstDash val="solid"/>
            </a:ln>
          </c:spPr>
          <c:marker>
            <c:symbol val="triangle"/>
            <c:size val="5"/>
            <c:spPr>
              <a:solidFill>
                <a:srgbClr val="FFCC99"/>
              </a:solidFill>
              <a:ln>
                <a:solidFill>
                  <a:srgbClr val="FFCC99"/>
                </a:solidFill>
                <a:prstDash val="solid"/>
              </a:ln>
            </c:spPr>
          </c:marker>
          <c:val>
            <c:numRef>
              <c:f>'Introducción de datos'!$C$111:$N$111</c:f>
              <c:numCache>
                <c:formatCode>_(\$* #,##0.00_);_(\$* \(#,##0.00\);_(\$* \-??_);_(@_)</c:formatCode>
                <c:ptCount val="12"/>
                <c:pt idx="0" formatCode="_([$$-440A]* #,##0.00_);_([$$-440A]* \(#,##0.00\);_([$$-440A]* \-??_);_(@_)">
                  <c:v>593326</c:v>
                </c:pt>
                <c:pt idx="1">
                  <c:v>909661.66999999993</c:v>
                </c:pt>
                <c:pt idx="2">
                  <c:v>1470982.6199999999</c:v>
                </c:pt>
                <c:pt idx="3">
                  <c:v>1470982.6199999999</c:v>
                </c:pt>
                <c:pt idx="9" formatCode="#.##0">
                  <c:v>0</c:v>
                </c:pt>
                <c:pt idx="10" formatCode="#.##0">
                  <c:v>0</c:v>
                </c:pt>
                <c:pt idx="11" formatCode="#.##0">
                  <c:v>0</c:v>
                </c:pt>
              </c:numCache>
            </c:numRef>
          </c:val>
          <c:smooth val="0"/>
          <c:extLst>
            <c:ext xmlns:c16="http://schemas.microsoft.com/office/drawing/2014/chart" uri="{C3380CC4-5D6E-409C-BE32-E72D297353CC}">
              <c16:uniqueId val="{00000002-99CD-4912-AB20-657A9F56680B}"/>
            </c:ext>
          </c:extLst>
        </c:ser>
        <c:dLbls>
          <c:showLegendKey val="0"/>
          <c:showVal val="0"/>
          <c:showCatName val="0"/>
          <c:showSerName val="0"/>
          <c:showPercent val="0"/>
          <c:showBubbleSize val="0"/>
        </c:dLbls>
        <c:marker val="1"/>
        <c:smooth val="0"/>
        <c:axId val="617043280"/>
        <c:axId val="1"/>
      </c:lineChart>
      <c:catAx>
        <c:axId val="61704328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000000"/>
              </a:solidFill>
              <a:prstDash val="solid"/>
            </a:ln>
          </c:spPr>
        </c:majorGridlines>
        <c:numFmt formatCode="_([$$-440A]* #,##0.00_);_([$$-440A]* \(#,##0.00\);_([$$-440A]* \-??_);_(@_)" sourceLinked="0"/>
        <c:majorTickMark val="out"/>
        <c:minorTickMark val="none"/>
        <c:tickLblPos val="nextTo"/>
        <c:spPr>
          <a:ln w="12700">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s-SV"/>
          </a:p>
        </c:txPr>
        <c:crossAx val="617043280"/>
        <c:crossesAt val="1"/>
        <c:crossBetween val="midCat"/>
      </c:valAx>
      <c:spPr>
        <a:solidFill>
          <a:srgbClr val="FFFFFF"/>
        </a:solidFill>
        <a:ln w="12700">
          <a:solidFill>
            <a:srgbClr val="808080"/>
          </a:solidFill>
          <a:prstDash val="solid"/>
        </a:ln>
      </c:spPr>
    </c:plotArea>
    <c:legend>
      <c:legendPos val="r"/>
      <c:layout>
        <c:manualLayout>
          <c:xMode val="edge"/>
          <c:yMode val="edge"/>
          <c:x val="1.101322770386033E-2"/>
          <c:y val="0.6234605484456287"/>
          <c:w val="0.88766615293114259"/>
          <c:h val="0.20370493167035392"/>
        </c:manualLayout>
      </c:layout>
      <c:overlay val="0"/>
      <c:spPr>
        <a:noFill/>
        <a:ln w="25400">
          <a:noFill/>
        </a:ln>
      </c:spPr>
      <c:txPr>
        <a:bodyPr/>
        <a:lstStyle/>
        <a:p>
          <a:pPr>
            <a:defRPr sz="45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Informaci&#243;n de la subvenci&#243;n'!A1"/><Relationship Id="rId13" Type="http://schemas.openxmlformats.org/officeDocument/2006/relationships/image" Target="../media/image5.png"/><Relationship Id="rId3" Type="http://schemas.openxmlformats.org/officeDocument/2006/relationships/hyperlink" Target="#Financiamiento!A1"/><Relationship Id="rId7" Type="http://schemas.openxmlformats.org/officeDocument/2006/relationships/hyperlink" Target="#Accione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endaciones!A1"/><Relationship Id="rId11" Type="http://schemas.openxmlformats.org/officeDocument/2006/relationships/image" Target="../media/image3.png"/><Relationship Id="rId5" Type="http://schemas.openxmlformats.org/officeDocument/2006/relationships/hyperlink" Target="#Gesti&#243;n!A1"/><Relationship Id="rId10" Type="http://schemas.openxmlformats.org/officeDocument/2006/relationships/hyperlink" Target="#'Introducci&#243;n de datos'!A1"/><Relationship Id="rId4" Type="http://schemas.openxmlformats.org/officeDocument/2006/relationships/hyperlink" Target="#Programatico!A1"/><Relationship Id="rId9" Type="http://schemas.openxmlformats.org/officeDocument/2006/relationships/hyperlink" Target="#'Lista de indicadore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250;!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4.xml"/><Relationship Id="rId4"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hyperlink" Target="#Men&#250;!A1"/><Relationship Id="rId5" Type="http://schemas.openxmlformats.org/officeDocument/2006/relationships/chart" Target="../charts/chart9.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hyperlink" Target="#Men&#250;!A1"/></Relationships>
</file>

<file path=xl/drawings/_rels/drawing9.xml.rels><?xml version="1.0" encoding="UTF-8" standalone="yes"?>
<Relationships xmlns="http://schemas.openxmlformats.org/package/2006/relationships"><Relationship Id="rId1" Type="http://schemas.openxmlformats.org/officeDocument/2006/relationships/hyperlink" Target="#Men&#250;!A1"/></Relationships>
</file>

<file path=xl/drawings/drawing1.xml><?xml version="1.0" encoding="utf-8"?>
<xdr:wsDr xmlns:xdr="http://schemas.openxmlformats.org/drawingml/2006/spreadsheetDrawing" xmlns:a="http://schemas.openxmlformats.org/drawingml/2006/main">
  <xdr:twoCellAnchor>
    <xdr:from>
      <xdr:col>0</xdr:col>
      <xdr:colOff>57150</xdr:colOff>
      <xdr:row>4</xdr:row>
      <xdr:rowOff>133350</xdr:rowOff>
    </xdr:from>
    <xdr:to>
      <xdr:col>11</xdr:col>
      <xdr:colOff>676275</xdr:colOff>
      <xdr:row>19</xdr:row>
      <xdr:rowOff>85725</xdr:rowOff>
    </xdr:to>
    <xdr:pic>
      <xdr:nvPicPr>
        <xdr:cNvPr id="1025" name="Picture 2">
          <a:extLst>
            <a:ext uri="{FF2B5EF4-FFF2-40B4-BE49-F238E27FC236}">
              <a16:creationId xmlns:a16="http://schemas.microsoft.com/office/drawing/2014/main" id="{ACFB46DF-D3B0-4C30-B378-797BD83A4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351" t="36850" r="9526"/>
        <a:stretch>
          <a:fillRect/>
        </a:stretch>
      </xdr:blipFill>
      <xdr:spPr bwMode="auto">
        <a:xfrm>
          <a:off x="57150" y="1371600"/>
          <a:ext cx="7658100" cy="28098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l="31351" t="36850" r="9526"/>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695325</xdr:colOff>
      <xdr:row>7</xdr:row>
      <xdr:rowOff>38100</xdr:rowOff>
    </xdr:from>
    <xdr:to>
      <xdr:col>11</xdr:col>
      <xdr:colOff>581025</xdr:colOff>
      <xdr:row>18</xdr:row>
      <xdr:rowOff>133350</xdr:rowOff>
    </xdr:to>
    <xdr:pic>
      <xdr:nvPicPr>
        <xdr:cNvPr id="1026" name="Picture 824">
          <a:extLst>
            <a:ext uri="{FF2B5EF4-FFF2-40B4-BE49-F238E27FC236}">
              <a16:creationId xmlns:a16="http://schemas.microsoft.com/office/drawing/2014/main" id="{B1916C4B-8973-4EB9-B716-5A674224EF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847850"/>
          <a:ext cx="2276475" cy="21907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276225</xdr:colOff>
      <xdr:row>7</xdr:row>
      <xdr:rowOff>85725</xdr:rowOff>
    </xdr:from>
    <xdr:to>
      <xdr:col>7</xdr:col>
      <xdr:colOff>571500</xdr:colOff>
      <xdr:row>18</xdr:row>
      <xdr:rowOff>38100</xdr:rowOff>
    </xdr:to>
    <xdr:sp macro="" textlink="">
      <xdr:nvSpPr>
        <xdr:cNvPr id="1027" name="AutoShape 27">
          <a:extLst>
            <a:ext uri="{FF2B5EF4-FFF2-40B4-BE49-F238E27FC236}">
              <a16:creationId xmlns:a16="http://schemas.microsoft.com/office/drawing/2014/main" id="{CC7591F8-63D7-47F2-BA74-82A441DF2132}"/>
            </a:ext>
          </a:extLst>
        </xdr:cNvPr>
        <xdr:cNvSpPr>
          <a:spLocks noChangeArrowheads="1"/>
        </xdr:cNvSpPr>
      </xdr:nvSpPr>
      <xdr:spPr bwMode="auto">
        <a:xfrm>
          <a:off x="2638425" y="1895475"/>
          <a:ext cx="2581275" cy="2047875"/>
        </a:xfrm>
        <a:custGeom>
          <a:avLst/>
          <a:gdLst>
            <a:gd name="G0" fmla="*/ 1 0 0"/>
            <a:gd name="G1" fmla="+- G0 0 13375"/>
            <a:gd name="G2" fmla="*/ 1 0 0"/>
            <a:gd name="G3" fmla="+- 50000 0 13375"/>
            <a:gd name="G4" fmla="?: G3 13375 50000"/>
            <a:gd name="G5" fmla="?: G1 G2 G3"/>
            <a:gd name="G6" fmla="min 7562 5693"/>
            <a:gd name="G7" fmla="*/ G6 G5 1"/>
            <a:gd name="G8" fmla="*/ G7 1 34464"/>
            <a:gd name="G9" fmla="+- 7562 0 G8"/>
            <a:gd name="G10" fmla="+- 5693 0 G8"/>
            <a:gd name="G11" fmla="*/ G8 29289 1"/>
            <a:gd name="G12" fmla="*/ G11 1 34464"/>
            <a:gd name="G13" fmla="+- 7562 0 G12"/>
            <a:gd name="G14" fmla="+- 5693 0 G12"/>
            <a:gd name="G15" fmla="*/ 7562 1 2"/>
            <a:gd name="G16" fmla="*/ 5693 1 2"/>
            <a:gd name="G17" fmla="+- 5693 0 0"/>
            <a:gd name="G18" fmla="+- 7562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6050"/>
              </a:moveTo>
              <a:lnTo>
                <a:pt x="6050" y="6050"/>
              </a:lnTo>
              <a:lnTo>
                <a:pt x="180" y="90"/>
              </a:lnTo>
              <a:lnTo>
                <a:pt x="1512" y="0"/>
              </a:lnTo>
              <a:lnTo>
                <a:pt x="6050" y="6050"/>
              </a:lnTo>
              <a:lnTo>
                <a:pt x="270" y="90"/>
              </a:lnTo>
              <a:lnTo>
                <a:pt x="7562" y="-357"/>
              </a:lnTo>
              <a:lnTo>
                <a:pt x="6050" y="6050"/>
              </a:lnTo>
              <a:close/>
            </a:path>
          </a:pathLst>
        </a:custGeom>
        <a:gradFill rotWithShape="0">
          <a:gsLst>
            <a:gs pos="0">
              <a:srgbClr val="D48886"/>
            </a:gs>
            <a:gs pos="100000">
              <a:srgbClr val="B24B48"/>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314325</xdr:colOff>
      <xdr:row>10</xdr:row>
      <xdr:rowOff>38100</xdr:rowOff>
    </xdr:from>
    <xdr:to>
      <xdr:col>6</xdr:col>
      <xdr:colOff>609600</xdr:colOff>
      <xdr:row>12</xdr:row>
      <xdr:rowOff>28575</xdr:rowOff>
    </xdr:to>
    <xdr:sp macro="" textlink="">
      <xdr:nvSpPr>
        <xdr:cNvPr id="1028" name="AutoShape 26">
          <a:extLst>
            <a:ext uri="{FF2B5EF4-FFF2-40B4-BE49-F238E27FC236}">
              <a16:creationId xmlns:a16="http://schemas.microsoft.com/office/drawing/2014/main" id="{8E4D9DA6-E39E-428B-B89D-460EC20E871E}"/>
            </a:ext>
          </a:extLst>
        </xdr:cNvPr>
        <xdr:cNvSpPr>
          <a:spLocks noChangeArrowheads="1"/>
        </xdr:cNvSpPr>
      </xdr:nvSpPr>
      <xdr:spPr bwMode="auto">
        <a:xfrm>
          <a:off x="3438525" y="2419350"/>
          <a:ext cx="1057275" cy="371475"/>
        </a:xfrm>
        <a:custGeom>
          <a:avLst/>
          <a:gdLst>
            <a:gd name="G0" fmla="*/ 1 0 0"/>
            <a:gd name="G1" fmla="+- G0 0 13152"/>
            <a:gd name="G2" fmla="*/ 1 0 0"/>
            <a:gd name="G3" fmla="+- 50000 0 13152"/>
            <a:gd name="G4" fmla="?: G3 13152 50000"/>
            <a:gd name="G5" fmla="?: G1 G2 G3"/>
            <a:gd name="G6" fmla="min 3127 1037"/>
            <a:gd name="G7" fmla="*/ G6 G5 1"/>
            <a:gd name="G8" fmla="*/ G7 1 34464"/>
            <a:gd name="G9" fmla="+- 3127 0 G8"/>
            <a:gd name="G10" fmla="+- 1037 0 G8"/>
            <a:gd name="G11" fmla="*/ G8 29289 1"/>
            <a:gd name="G12" fmla="*/ G11 1 34464"/>
            <a:gd name="G13" fmla="+- 3127 0 G12"/>
            <a:gd name="G14" fmla="+- 1037 0 G12"/>
            <a:gd name="G15" fmla="*/ 3127 1 2"/>
            <a:gd name="G16" fmla="*/ 1037 1 2"/>
            <a:gd name="G17" fmla="+- 1037 0 0"/>
            <a:gd name="G18" fmla="+- 3127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109"/>
              </a:moveTo>
              <a:lnTo>
                <a:pt x="1109" y="1109"/>
              </a:lnTo>
              <a:lnTo>
                <a:pt x="180" y="90"/>
              </a:lnTo>
              <a:lnTo>
                <a:pt x="2018" y="0"/>
              </a:lnTo>
              <a:lnTo>
                <a:pt x="1109" y="1109"/>
              </a:lnTo>
              <a:lnTo>
                <a:pt x="270" y="90"/>
              </a:lnTo>
              <a:lnTo>
                <a:pt x="3127" y="-72"/>
              </a:lnTo>
              <a:lnTo>
                <a:pt x="1109" y="1109"/>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5</xdr:col>
      <xdr:colOff>323850</xdr:colOff>
      <xdr:row>10</xdr:row>
      <xdr:rowOff>76200</xdr:rowOff>
    </xdr:from>
    <xdr:to>
      <xdr:col>6</xdr:col>
      <xdr:colOff>600075</xdr:colOff>
      <xdr:row>11</xdr:row>
      <xdr:rowOff>180975</xdr:rowOff>
    </xdr:to>
    <xdr:sp macro="" textlink="" fLocksText="0">
      <xdr:nvSpPr>
        <xdr:cNvPr id="1029" name="AutoShape 27">
          <a:hlinkClick xmlns:r="http://schemas.openxmlformats.org/officeDocument/2006/relationships" r:id="rId3"/>
          <a:extLst>
            <a:ext uri="{FF2B5EF4-FFF2-40B4-BE49-F238E27FC236}">
              <a16:creationId xmlns:a16="http://schemas.microsoft.com/office/drawing/2014/main" id="{1DEBAA4B-9467-4EA1-804F-35849F9B6256}"/>
            </a:ext>
          </a:extLst>
        </xdr:cNvPr>
        <xdr:cNvSpPr>
          <a:spLocks noChangeArrowheads="1"/>
        </xdr:cNvSpPr>
      </xdr:nvSpPr>
      <xdr:spPr bwMode="auto">
        <a:xfrm>
          <a:off x="3448050" y="2457450"/>
          <a:ext cx="1038225" cy="295275"/>
        </a:xfrm>
        <a:custGeom>
          <a:avLst/>
          <a:gdLst>
            <a:gd name="G0" fmla="*/ 1 0 0"/>
            <a:gd name="G1" fmla="+- G0 0 13375"/>
            <a:gd name="G2" fmla="*/ 1 0 0"/>
            <a:gd name="G3" fmla="+- 50000 0 13375"/>
            <a:gd name="G4" fmla="?: G3 13375 50000"/>
            <a:gd name="G5" fmla="?: G1 G2 G3"/>
            <a:gd name="G6" fmla="min 3048 825"/>
            <a:gd name="G7" fmla="*/ G6 G5 1"/>
            <a:gd name="G8" fmla="*/ G7 1 34464"/>
            <a:gd name="G9" fmla="+- 3048 0 G8"/>
            <a:gd name="G10" fmla="+- 825 0 G8"/>
            <a:gd name="G11" fmla="*/ G8 29289 1"/>
            <a:gd name="G12" fmla="*/ G11 1 34464"/>
            <a:gd name="G13" fmla="+- 3048 0 G12"/>
            <a:gd name="G14" fmla="+- 825 0 G12"/>
            <a:gd name="G15" fmla="*/ 3048 1 2"/>
            <a:gd name="G16" fmla="*/ 825 1 2"/>
            <a:gd name="G17" fmla="+- 825 0 0"/>
            <a:gd name="G18" fmla="+- 3048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877"/>
              </a:moveTo>
              <a:lnTo>
                <a:pt x="877" y="877"/>
              </a:lnTo>
              <a:lnTo>
                <a:pt x="180" y="90"/>
              </a:lnTo>
              <a:lnTo>
                <a:pt x="2171" y="0"/>
              </a:lnTo>
              <a:lnTo>
                <a:pt x="877" y="877"/>
              </a:lnTo>
              <a:lnTo>
                <a:pt x="270" y="90"/>
              </a:lnTo>
              <a:lnTo>
                <a:pt x="3048" y="-52"/>
              </a:lnTo>
              <a:lnTo>
                <a:pt x="877" y="877"/>
              </a:lnTo>
              <a:close/>
            </a:path>
          </a:pathLst>
        </a:custGeom>
        <a:gradFill rotWithShape="0">
          <a:gsLst>
            <a:gs pos="0">
              <a:srgbClr val="C0504D"/>
            </a:gs>
            <a:gs pos="100000">
              <a:srgbClr val="863836"/>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Financieros</a:t>
          </a:r>
        </a:p>
      </xdr:txBody>
    </xdr:sp>
    <xdr:clientData/>
  </xdr:twoCellAnchor>
  <xdr:twoCellAnchor>
    <xdr:from>
      <xdr:col>5</xdr:col>
      <xdr:colOff>323850</xdr:colOff>
      <xdr:row>10</xdr:row>
      <xdr:rowOff>85725</xdr:rowOff>
    </xdr:from>
    <xdr:to>
      <xdr:col>5</xdr:col>
      <xdr:colOff>438150</xdr:colOff>
      <xdr:row>11</xdr:row>
      <xdr:rowOff>38100</xdr:rowOff>
    </xdr:to>
    <xdr:sp macro="" textlink="">
      <xdr:nvSpPr>
        <xdr:cNvPr id="1030" name="Freeform 28">
          <a:extLst>
            <a:ext uri="{FF2B5EF4-FFF2-40B4-BE49-F238E27FC236}">
              <a16:creationId xmlns:a16="http://schemas.microsoft.com/office/drawing/2014/main" id="{A7CDD246-0D2D-483C-AC8E-EB9A1131004B}"/>
            </a:ext>
          </a:extLst>
        </xdr:cNvPr>
        <xdr:cNvSpPr>
          <a:spLocks noChangeArrowheads="1"/>
        </xdr:cNvSpPr>
      </xdr:nvSpPr>
      <xdr:spPr bwMode="auto">
        <a:xfrm>
          <a:off x="3448050" y="2466975"/>
          <a:ext cx="114300" cy="142875"/>
        </a:xfrm>
        <a:custGeom>
          <a:avLst/>
          <a:gdLst>
            <a:gd name="G0" fmla="*/ 65534 318 1"/>
            <a:gd name="G1" fmla="*/ G0 1 596"/>
            <a:gd name="G2" fmla="*/ 1 0 0"/>
            <a:gd name="G3" fmla="*/ G2 402 1"/>
            <a:gd name="G4" fmla="*/ G3 1 598"/>
            <a:gd name="G5" fmla="*/ 1 0 0"/>
            <a:gd name="G6" fmla="*/ G5 318 1"/>
            <a:gd name="G7" fmla="*/ G6 1 596"/>
            <a:gd name="G8" fmla="*/ 65534 402 1"/>
            <a:gd name="G9" fmla="*/ G8 1 598"/>
            <a:gd name="G10" fmla="*/ 1 0 0"/>
            <a:gd name="G11" fmla="*/ G10 318 1"/>
            <a:gd name="G12" fmla="*/ G11 1 596"/>
            <a:gd name="G13" fmla="*/ 65534 402 1"/>
            <a:gd name="G14" fmla="*/ G13 1 598"/>
            <a:gd name="G15" fmla="*/ 65534 318 1"/>
            <a:gd name="G16" fmla="*/ G15 1 596"/>
            <a:gd name="G17" fmla="*/ 65534 402 1"/>
            <a:gd name="G18" fmla="*/ G17 1 598"/>
            <a:gd name="G19" fmla="*/ 65534 318 1"/>
            <a:gd name="G20" fmla="*/ G19 1 596"/>
            <a:gd name="G21" fmla="*/ 1 0 0"/>
            <a:gd name="G22" fmla="*/ G21 402 1"/>
            <a:gd name="G23" fmla="*/ G22 1 598"/>
            <a:gd name="G24" fmla="*/ 65534 318 1"/>
            <a:gd name="G25" fmla="*/ G24 1 596"/>
            <a:gd name="G26" fmla="*/ 1 0 0"/>
            <a:gd name="G27" fmla="*/ G26 402 1"/>
            <a:gd name="G28" fmla="*/ G27 1 598"/>
            <a:gd name="G29" fmla="*/ 1 0 0"/>
            <a:gd name="G30" fmla="*/ 1 0 0"/>
            <a:gd name="G31" fmla="*/ 1 0 0"/>
            <a:gd name="G32" fmla="*/ 1 0 0"/>
            <a:gd name="G33" fmla="*/ 1 0 0"/>
            <a:gd name="G34" fmla="*/ 1 0 0"/>
            <a:gd name="G35" fmla="*/ 1 0 0"/>
            <a:gd name="G36" fmla="*/ G35 318 1"/>
            <a:gd name="G37" fmla="*/ G36 1 596"/>
            <a:gd name="G38" fmla="*/ 1 0 0"/>
            <a:gd name="G39" fmla="*/ G38 402 1"/>
            <a:gd name="G40" fmla="*/ G39 1 598"/>
            <a:gd name="G41" fmla="*/ 596 318 1"/>
            <a:gd name="G42" fmla="*/ G41 1 596"/>
            <a:gd name="G43" fmla="*/ 598 402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314325</xdr:colOff>
      <xdr:row>15</xdr:row>
      <xdr:rowOff>171450</xdr:rowOff>
    </xdr:from>
    <xdr:to>
      <xdr:col>6</xdr:col>
      <xdr:colOff>609600</xdr:colOff>
      <xdr:row>17</xdr:row>
      <xdr:rowOff>133350</xdr:rowOff>
    </xdr:to>
    <xdr:sp macro="" textlink="">
      <xdr:nvSpPr>
        <xdr:cNvPr id="1031" name="AutoShape 26">
          <a:extLst>
            <a:ext uri="{FF2B5EF4-FFF2-40B4-BE49-F238E27FC236}">
              <a16:creationId xmlns:a16="http://schemas.microsoft.com/office/drawing/2014/main" id="{275910D8-B4E2-4C26-9F37-F6C0695694A8}"/>
            </a:ext>
          </a:extLst>
        </xdr:cNvPr>
        <xdr:cNvSpPr>
          <a:spLocks noChangeArrowheads="1"/>
        </xdr:cNvSpPr>
      </xdr:nvSpPr>
      <xdr:spPr bwMode="auto">
        <a:xfrm>
          <a:off x="3438525" y="3505200"/>
          <a:ext cx="1057275" cy="342900"/>
        </a:xfrm>
        <a:custGeom>
          <a:avLst/>
          <a:gdLst>
            <a:gd name="G0" fmla="*/ 1 0 0"/>
            <a:gd name="G1" fmla="+- G0 0 13152"/>
            <a:gd name="G2" fmla="*/ 1 0 0"/>
            <a:gd name="G3" fmla="+- 50000 0 13152"/>
            <a:gd name="G4" fmla="?: G3 13152 50000"/>
            <a:gd name="G5" fmla="?: G1 G2 G3"/>
            <a:gd name="G6" fmla="min 3106 973"/>
            <a:gd name="G7" fmla="*/ G6 G5 1"/>
            <a:gd name="G8" fmla="*/ G7 1 34464"/>
            <a:gd name="G9" fmla="+- 3106 0 G8"/>
            <a:gd name="G10" fmla="+- 973 0 G8"/>
            <a:gd name="G11" fmla="*/ G8 29289 1"/>
            <a:gd name="G12" fmla="*/ G11 1 34464"/>
            <a:gd name="G13" fmla="+- 3106 0 G12"/>
            <a:gd name="G14" fmla="+- 973 0 G12"/>
            <a:gd name="G15" fmla="*/ 3106 1 2"/>
            <a:gd name="G16" fmla="*/ 973 1 2"/>
            <a:gd name="G17" fmla="+- 973 0 0"/>
            <a:gd name="G18" fmla="+- 3106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040"/>
              </a:moveTo>
              <a:lnTo>
                <a:pt x="1040" y="1040"/>
              </a:lnTo>
              <a:lnTo>
                <a:pt x="180" y="90"/>
              </a:lnTo>
              <a:lnTo>
                <a:pt x="2066" y="0"/>
              </a:lnTo>
              <a:lnTo>
                <a:pt x="1040" y="1040"/>
              </a:lnTo>
              <a:lnTo>
                <a:pt x="270" y="90"/>
              </a:lnTo>
              <a:lnTo>
                <a:pt x="3106" y="-67"/>
              </a:lnTo>
              <a:lnTo>
                <a:pt x="1040" y="1040"/>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5</xdr:col>
      <xdr:colOff>333375</xdr:colOff>
      <xdr:row>16</xdr:row>
      <xdr:rowOff>28575</xdr:rowOff>
    </xdr:from>
    <xdr:to>
      <xdr:col>6</xdr:col>
      <xdr:colOff>628650</xdr:colOff>
      <xdr:row>17</xdr:row>
      <xdr:rowOff>104775</xdr:rowOff>
    </xdr:to>
    <xdr:sp macro="" textlink="" fLocksText="0">
      <xdr:nvSpPr>
        <xdr:cNvPr id="1032" name="AutoShape 27">
          <a:hlinkClick xmlns:r="http://schemas.openxmlformats.org/officeDocument/2006/relationships" r:id="rId4"/>
          <a:extLst>
            <a:ext uri="{FF2B5EF4-FFF2-40B4-BE49-F238E27FC236}">
              <a16:creationId xmlns:a16="http://schemas.microsoft.com/office/drawing/2014/main" id="{93D7E896-CFC1-4482-839B-D0CA0CBB93C2}"/>
            </a:ext>
          </a:extLst>
        </xdr:cNvPr>
        <xdr:cNvSpPr>
          <a:spLocks noChangeArrowheads="1"/>
        </xdr:cNvSpPr>
      </xdr:nvSpPr>
      <xdr:spPr bwMode="auto">
        <a:xfrm>
          <a:off x="3457575" y="3552825"/>
          <a:ext cx="1057275" cy="266700"/>
        </a:xfrm>
        <a:custGeom>
          <a:avLst/>
          <a:gdLst>
            <a:gd name="G0" fmla="*/ 1 0 0"/>
            <a:gd name="G1" fmla="+- G0 0 13375"/>
            <a:gd name="G2" fmla="*/ 1 0 0"/>
            <a:gd name="G3" fmla="+- 50000 0 13375"/>
            <a:gd name="G4" fmla="?: G3 13375 50000"/>
            <a:gd name="G5" fmla="?: G1 G2 G3"/>
            <a:gd name="G6" fmla="min 3101 719"/>
            <a:gd name="G7" fmla="*/ G6 G5 1"/>
            <a:gd name="G8" fmla="*/ G7 1 34464"/>
            <a:gd name="G9" fmla="+- 3101 0 G8"/>
            <a:gd name="G10" fmla="+- 719 0 G8"/>
            <a:gd name="G11" fmla="*/ G8 29289 1"/>
            <a:gd name="G12" fmla="*/ G11 1 34464"/>
            <a:gd name="G13" fmla="+- 3101 0 G12"/>
            <a:gd name="G14" fmla="+- 719 0 G12"/>
            <a:gd name="G15" fmla="*/ 3101 1 2"/>
            <a:gd name="G16" fmla="*/ 719 1 2"/>
            <a:gd name="G17" fmla="+- 719 0 0"/>
            <a:gd name="G18" fmla="+- 3101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764"/>
              </a:moveTo>
              <a:lnTo>
                <a:pt x="764" y="764"/>
              </a:lnTo>
              <a:lnTo>
                <a:pt x="180" y="90"/>
              </a:lnTo>
              <a:lnTo>
                <a:pt x="2337" y="0"/>
              </a:lnTo>
              <a:lnTo>
                <a:pt x="764" y="764"/>
              </a:lnTo>
              <a:lnTo>
                <a:pt x="270" y="90"/>
              </a:lnTo>
              <a:lnTo>
                <a:pt x="3101" y="-45"/>
              </a:lnTo>
              <a:lnTo>
                <a:pt x="764" y="764"/>
              </a:lnTo>
              <a:close/>
            </a:path>
          </a:pathLst>
        </a:custGeom>
        <a:gradFill rotWithShape="0">
          <a:gsLst>
            <a:gs pos="0">
              <a:srgbClr val="C0504D"/>
            </a:gs>
            <a:gs pos="100000">
              <a:srgbClr val="863836"/>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Programáticos</a:t>
          </a:r>
        </a:p>
      </xdr:txBody>
    </xdr:sp>
    <xdr:clientData/>
  </xdr:twoCellAnchor>
  <xdr:twoCellAnchor>
    <xdr:from>
      <xdr:col>5</xdr:col>
      <xdr:colOff>371475</xdr:colOff>
      <xdr:row>16</xdr:row>
      <xdr:rowOff>19050</xdr:rowOff>
    </xdr:from>
    <xdr:to>
      <xdr:col>5</xdr:col>
      <xdr:colOff>476250</xdr:colOff>
      <xdr:row>16</xdr:row>
      <xdr:rowOff>171450</xdr:rowOff>
    </xdr:to>
    <xdr:sp macro="" textlink="">
      <xdr:nvSpPr>
        <xdr:cNvPr id="1033" name="Freeform 28">
          <a:extLst>
            <a:ext uri="{FF2B5EF4-FFF2-40B4-BE49-F238E27FC236}">
              <a16:creationId xmlns:a16="http://schemas.microsoft.com/office/drawing/2014/main" id="{A4E2BB1B-A181-4BED-B90F-A116DF37425F}"/>
            </a:ext>
          </a:extLst>
        </xdr:cNvPr>
        <xdr:cNvSpPr>
          <a:spLocks noChangeArrowheads="1"/>
        </xdr:cNvSpPr>
      </xdr:nvSpPr>
      <xdr:spPr bwMode="auto">
        <a:xfrm>
          <a:off x="3495675" y="3543300"/>
          <a:ext cx="104775" cy="152400"/>
        </a:xfrm>
        <a:custGeom>
          <a:avLst/>
          <a:gdLst>
            <a:gd name="G0" fmla="*/ 65534 296 1"/>
            <a:gd name="G1" fmla="*/ G0 1 596"/>
            <a:gd name="G2" fmla="*/ 1 0 0"/>
            <a:gd name="G3" fmla="*/ G2 423 1"/>
            <a:gd name="G4" fmla="*/ G3 1 598"/>
            <a:gd name="G5" fmla="*/ 1 0 0"/>
            <a:gd name="G6" fmla="*/ G5 296 1"/>
            <a:gd name="G7" fmla="*/ G6 1 596"/>
            <a:gd name="G8" fmla="*/ 65534 423 1"/>
            <a:gd name="G9" fmla="*/ G8 1 598"/>
            <a:gd name="G10" fmla="*/ 1 0 0"/>
            <a:gd name="G11" fmla="*/ G10 296 1"/>
            <a:gd name="G12" fmla="*/ G11 1 596"/>
            <a:gd name="G13" fmla="*/ 65534 423 1"/>
            <a:gd name="G14" fmla="*/ G13 1 598"/>
            <a:gd name="G15" fmla="*/ 65534 296 1"/>
            <a:gd name="G16" fmla="*/ G15 1 596"/>
            <a:gd name="G17" fmla="*/ 65534 423 1"/>
            <a:gd name="G18" fmla="*/ G17 1 598"/>
            <a:gd name="G19" fmla="*/ 65534 296 1"/>
            <a:gd name="G20" fmla="*/ G19 1 596"/>
            <a:gd name="G21" fmla="*/ 1 0 0"/>
            <a:gd name="G22" fmla="*/ G21 423 1"/>
            <a:gd name="G23" fmla="*/ G22 1 598"/>
            <a:gd name="G24" fmla="*/ 65534 296 1"/>
            <a:gd name="G25" fmla="*/ G24 1 596"/>
            <a:gd name="G26" fmla="*/ 1 0 0"/>
            <a:gd name="G27" fmla="*/ G26 423 1"/>
            <a:gd name="G28" fmla="*/ G27 1 598"/>
            <a:gd name="G29" fmla="*/ 1 0 0"/>
            <a:gd name="G30" fmla="*/ 1 0 0"/>
            <a:gd name="G31" fmla="*/ 1 0 0"/>
            <a:gd name="G32" fmla="*/ 1 0 0"/>
            <a:gd name="G33" fmla="*/ 1 0 0"/>
            <a:gd name="G34" fmla="*/ 1 0 0"/>
            <a:gd name="G35" fmla="*/ 1 0 0"/>
            <a:gd name="G36" fmla="*/ G35 296 1"/>
            <a:gd name="G37" fmla="*/ G36 1 596"/>
            <a:gd name="G38" fmla="*/ 1 0 0"/>
            <a:gd name="G39" fmla="*/ G38 423 1"/>
            <a:gd name="G40" fmla="*/ G39 1 598"/>
            <a:gd name="G41" fmla="*/ 596 296 1"/>
            <a:gd name="G42" fmla="*/ G41 1 596"/>
            <a:gd name="G43" fmla="*/ 598 423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314325</xdr:colOff>
      <xdr:row>12</xdr:row>
      <xdr:rowOff>180975</xdr:rowOff>
    </xdr:from>
    <xdr:to>
      <xdr:col>6</xdr:col>
      <xdr:colOff>609600</xdr:colOff>
      <xdr:row>14</xdr:row>
      <xdr:rowOff>180975</xdr:rowOff>
    </xdr:to>
    <xdr:sp macro="" textlink="">
      <xdr:nvSpPr>
        <xdr:cNvPr id="1034" name="AutoShape 26">
          <a:extLst>
            <a:ext uri="{FF2B5EF4-FFF2-40B4-BE49-F238E27FC236}">
              <a16:creationId xmlns:a16="http://schemas.microsoft.com/office/drawing/2014/main" id="{C1DF089F-C827-4E77-B1F8-4E06A0BDB251}"/>
            </a:ext>
          </a:extLst>
        </xdr:cNvPr>
        <xdr:cNvSpPr>
          <a:spLocks noChangeArrowheads="1"/>
        </xdr:cNvSpPr>
      </xdr:nvSpPr>
      <xdr:spPr bwMode="auto">
        <a:xfrm>
          <a:off x="3438525" y="2943225"/>
          <a:ext cx="1057275" cy="381000"/>
        </a:xfrm>
        <a:custGeom>
          <a:avLst/>
          <a:gdLst>
            <a:gd name="G0" fmla="*/ 1 0 0"/>
            <a:gd name="G1" fmla="+- G0 0 13152"/>
            <a:gd name="G2" fmla="*/ 1 0 0"/>
            <a:gd name="G3" fmla="+- 50000 0 13152"/>
            <a:gd name="G4" fmla="?: G3 13152 50000"/>
            <a:gd name="G5" fmla="?: G1 G2 G3"/>
            <a:gd name="G6" fmla="min 3127 1058"/>
            <a:gd name="G7" fmla="*/ G6 G5 1"/>
            <a:gd name="G8" fmla="*/ G7 1 34464"/>
            <a:gd name="G9" fmla="+- 3127 0 G8"/>
            <a:gd name="G10" fmla="+- 1058 0 G8"/>
            <a:gd name="G11" fmla="*/ G8 29289 1"/>
            <a:gd name="G12" fmla="*/ G11 1 34464"/>
            <a:gd name="G13" fmla="+- 3127 0 G12"/>
            <a:gd name="G14" fmla="+- 1058 0 G12"/>
            <a:gd name="G15" fmla="*/ 3127 1 2"/>
            <a:gd name="G16" fmla="*/ 1058 1 2"/>
            <a:gd name="G17" fmla="+- 1058 0 0"/>
            <a:gd name="G18" fmla="+- 3127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131"/>
              </a:moveTo>
              <a:lnTo>
                <a:pt x="1131" y="1131"/>
              </a:lnTo>
              <a:lnTo>
                <a:pt x="180" y="90"/>
              </a:lnTo>
              <a:lnTo>
                <a:pt x="1996" y="0"/>
              </a:lnTo>
              <a:lnTo>
                <a:pt x="1131" y="1131"/>
              </a:lnTo>
              <a:lnTo>
                <a:pt x="270" y="90"/>
              </a:lnTo>
              <a:lnTo>
                <a:pt x="3127" y="-73"/>
              </a:lnTo>
              <a:lnTo>
                <a:pt x="1131" y="1131"/>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5</xdr:col>
      <xdr:colOff>323850</xdr:colOff>
      <xdr:row>13</xdr:row>
      <xdr:rowOff>28575</xdr:rowOff>
    </xdr:from>
    <xdr:to>
      <xdr:col>6</xdr:col>
      <xdr:colOff>600075</xdr:colOff>
      <xdr:row>14</xdr:row>
      <xdr:rowOff>142875</xdr:rowOff>
    </xdr:to>
    <xdr:sp macro="" textlink="" fLocksText="0">
      <xdr:nvSpPr>
        <xdr:cNvPr id="1035" name="AutoShape 27">
          <a:hlinkClick xmlns:r="http://schemas.openxmlformats.org/officeDocument/2006/relationships" r:id="rId5"/>
          <a:extLst>
            <a:ext uri="{FF2B5EF4-FFF2-40B4-BE49-F238E27FC236}">
              <a16:creationId xmlns:a16="http://schemas.microsoft.com/office/drawing/2014/main" id="{E8AD32AF-63EC-4AD8-92AA-0BF74BAFF92E}"/>
            </a:ext>
          </a:extLst>
        </xdr:cNvPr>
        <xdr:cNvSpPr>
          <a:spLocks noChangeArrowheads="1"/>
        </xdr:cNvSpPr>
      </xdr:nvSpPr>
      <xdr:spPr bwMode="auto">
        <a:xfrm>
          <a:off x="3448050" y="2981325"/>
          <a:ext cx="1038225" cy="304800"/>
        </a:xfrm>
        <a:custGeom>
          <a:avLst/>
          <a:gdLst>
            <a:gd name="G0" fmla="*/ 1 0 0"/>
            <a:gd name="G1" fmla="+- G0 0 13375"/>
            <a:gd name="G2" fmla="*/ 1 0 0"/>
            <a:gd name="G3" fmla="+- 50000 0 13375"/>
            <a:gd name="G4" fmla="?: G3 13375 50000"/>
            <a:gd name="G5" fmla="?: G1 G2 G3"/>
            <a:gd name="G6" fmla="min 3048 852"/>
            <a:gd name="G7" fmla="*/ G6 G5 1"/>
            <a:gd name="G8" fmla="*/ G7 1 34464"/>
            <a:gd name="G9" fmla="+- 3048 0 G8"/>
            <a:gd name="G10" fmla="+- 852 0 G8"/>
            <a:gd name="G11" fmla="*/ G8 29289 1"/>
            <a:gd name="G12" fmla="*/ G11 1 34464"/>
            <a:gd name="G13" fmla="+- 3048 0 G12"/>
            <a:gd name="G14" fmla="+- 852 0 G12"/>
            <a:gd name="G15" fmla="*/ 3048 1 2"/>
            <a:gd name="G16" fmla="*/ 852 1 2"/>
            <a:gd name="G17" fmla="+- 852 0 0"/>
            <a:gd name="G18" fmla="+- 3048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905"/>
              </a:moveTo>
              <a:lnTo>
                <a:pt x="905" y="905"/>
              </a:lnTo>
              <a:lnTo>
                <a:pt x="180" y="90"/>
              </a:lnTo>
              <a:lnTo>
                <a:pt x="2143" y="0"/>
              </a:lnTo>
              <a:lnTo>
                <a:pt x="905" y="905"/>
              </a:lnTo>
              <a:lnTo>
                <a:pt x="270" y="90"/>
              </a:lnTo>
              <a:lnTo>
                <a:pt x="3048" y="-53"/>
              </a:lnTo>
              <a:lnTo>
                <a:pt x="905" y="905"/>
              </a:lnTo>
              <a:close/>
            </a:path>
          </a:pathLst>
        </a:custGeom>
        <a:gradFill rotWithShape="0">
          <a:gsLst>
            <a:gs pos="0">
              <a:srgbClr val="C0504D"/>
            </a:gs>
            <a:gs pos="100000">
              <a:srgbClr val="863836"/>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000" tIns="46800" rIns="18000" bIns="46800" anchor="ctr"/>
        <a:lstStyle/>
        <a:p>
          <a:pPr algn="l" rtl="0">
            <a:defRPr sz="1000"/>
          </a:pPr>
          <a:r>
            <a:rPr lang="es-SV" sz="1000" b="0" i="0" u="none" strike="noStrike" baseline="0">
              <a:solidFill>
                <a:srgbClr val="FFFFFF"/>
              </a:solidFill>
              <a:latin typeface="Arial"/>
              <a:cs typeface="Arial"/>
            </a:rPr>
            <a:t>Gestión</a:t>
          </a:r>
        </a:p>
      </xdr:txBody>
    </xdr:sp>
    <xdr:clientData/>
  </xdr:twoCellAnchor>
  <xdr:twoCellAnchor>
    <xdr:from>
      <xdr:col>5</xdr:col>
      <xdr:colOff>323850</xdr:colOff>
      <xdr:row>13</xdr:row>
      <xdr:rowOff>38100</xdr:rowOff>
    </xdr:from>
    <xdr:to>
      <xdr:col>5</xdr:col>
      <xdr:colOff>447675</xdr:colOff>
      <xdr:row>14</xdr:row>
      <xdr:rowOff>19050</xdr:rowOff>
    </xdr:to>
    <xdr:sp macro="" textlink="">
      <xdr:nvSpPr>
        <xdr:cNvPr id="1036" name="Freeform 28">
          <a:extLst>
            <a:ext uri="{FF2B5EF4-FFF2-40B4-BE49-F238E27FC236}">
              <a16:creationId xmlns:a16="http://schemas.microsoft.com/office/drawing/2014/main" id="{246341DF-B7D8-4149-8583-FF8588207A40}"/>
            </a:ext>
          </a:extLst>
        </xdr:cNvPr>
        <xdr:cNvSpPr>
          <a:spLocks noChangeArrowheads="1"/>
        </xdr:cNvSpPr>
      </xdr:nvSpPr>
      <xdr:spPr bwMode="auto">
        <a:xfrm>
          <a:off x="3448050" y="2990850"/>
          <a:ext cx="123825" cy="171450"/>
        </a:xfrm>
        <a:custGeom>
          <a:avLst/>
          <a:gdLst>
            <a:gd name="G0" fmla="*/ 65534 339 1"/>
            <a:gd name="G1" fmla="*/ G0 1 596"/>
            <a:gd name="G2" fmla="*/ 1 0 0"/>
            <a:gd name="G3" fmla="*/ G2 466 1"/>
            <a:gd name="G4" fmla="*/ G3 1 598"/>
            <a:gd name="G5" fmla="*/ 1 0 0"/>
            <a:gd name="G6" fmla="*/ G5 339 1"/>
            <a:gd name="G7" fmla="*/ G6 1 596"/>
            <a:gd name="G8" fmla="*/ 65534 466 1"/>
            <a:gd name="G9" fmla="*/ G8 1 598"/>
            <a:gd name="G10" fmla="*/ 1 0 0"/>
            <a:gd name="G11" fmla="*/ G10 339 1"/>
            <a:gd name="G12" fmla="*/ G11 1 596"/>
            <a:gd name="G13" fmla="*/ 65534 466 1"/>
            <a:gd name="G14" fmla="*/ G13 1 598"/>
            <a:gd name="G15" fmla="*/ 65534 339 1"/>
            <a:gd name="G16" fmla="*/ G15 1 596"/>
            <a:gd name="G17" fmla="*/ 65534 466 1"/>
            <a:gd name="G18" fmla="*/ G17 1 598"/>
            <a:gd name="G19" fmla="*/ 65534 339 1"/>
            <a:gd name="G20" fmla="*/ G19 1 596"/>
            <a:gd name="G21" fmla="*/ 1 0 0"/>
            <a:gd name="G22" fmla="*/ G21 466 1"/>
            <a:gd name="G23" fmla="*/ G22 1 598"/>
            <a:gd name="G24" fmla="*/ 65534 339 1"/>
            <a:gd name="G25" fmla="*/ G24 1 596"/>
            <a:gd name="G26" fmla="*/ 1 0 0"/>
            <a:gd name="G27" fmla="*/ G26 466 1"/>
            <a:gd name="G28" fmla="*/ G27 1 598"/>
            <a:gd name="G29" fmla="*/ 1 0 0"/>
            <a:gd name="G30" fmla="*/ 1 0 0"/>
            <a:gd name="G31" fmla="*/ 1 0 0"/>
            <a:gd name="G32" fmla="*/ 1 0 0"/>
            <a:gd name="G33" fmla="*/ 1 0 0"/>
            <a:gd name="G34" fmla="*/ 1 0 0"/>
            <a:gd name="G35" fmla="*/ 1 0 0"/>
            <a:gd name="G36" fmla="*/ G35 339 1"/>
            <a:gd name="G37" fmla="*/ G36 1 596"/>
            <a:gd name="G38" fmla="*/ 1 0 0"/>
            <a:gd name="G39" fmla="*/ G38 466 1"/>
            <a:gd name="G40" fmla="*/ G39 1 598"/>
            <a:gd name="G41" fmla="*/ 596 339 1"/>
            <a:gd name="G42" fmla="*/ G41 1 596"/>
            <a:gd name="G43" fmla="*/ 598 466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361950</xdr:colOff>
      <xdr:row>4</xdr:row>
      <xdr:rowOff>180975</xdr:rowOff>
    </xdr:from>
    <xdr:to>
      <xdr:col>7</xdr:col>
      <xdr:colOff>409575</xdr:colOff>
      <xdr:row>6</xdr:row>
      <xdr:rowOff>38100</xdr:rowOff>
    </xdr:to>
    <xdr:sp macro="" textlink="" fLocksText="0">
      <xdr:nvSpPr>
        <xdr:cNvPr id="1037" name="Rectangle 803">
          <a:extLst>
            <a:ext uri="{FF2B5EF4-FFF2-40B4-BE49-F238E27FC236}">
              <a16:creationId xmlns:a16="http://schemas.microsoft.com/office/drawing/2014/main" id="{539A0838-F3AF-42FF-B4AC-C50FEF253AF8}"/>
            </a:ext>
          </a:extLst>
        </xdr:cNvPr>
        <xdr:cNvSpPr>
          <a:spLocks noChangeArrowheads="1"/>
        </xdr:cNvSpPr>
      </xdr:nvSpPr>
      <xdr:spPr bwMode="auto">
        <a:xfrm>
          <a:off x="2724150" y="1419225"/>
          <a:ext cx="2333625" cy="238125"/>
        </a:xfrm>
        <a:custGeom>
          <a:avLst/>
          <a:gdLst>
            <a:gd name="G0" fmla="*/ 6869 1 2"/>
            <a:gd name="G1" fmla="*/ 661 1 2"/>
            <a:gd name="G2" fmla="+- 661 0 0"/>
            <a:gd name="G3" fmla="+- 6869 0 0"/>
          </a:gdLst>
          <a:ahLst/>
          <a:cxnLst>
            <a:cxn ang="0">
              <a:pos x="r" y="vc"/>
            </a:cxn>
            <a:cxn ang="5400000">
              <a:pos x="hc" y="b"/>
            </a:cxn>
            <a:cxn ang="10800000">
              <a:pos x="l" y="vc"/>
            </a:cxn>
            <a:cxn ang="16200000">
              <a:pos x="hc" y="t"/>
            </a:cxn>
          </a:cxnLst>
          <a:rect l="0" t="0" r="0" b="0"/>
          <a:pathLst>
            <a:path>
              <a:moveTo>
                <a:pt x="0" y="0"/>
              </a:moveTo>
              <a:lnTo>
                <a:pt x="6869" y="0"/>
              </a:lnTo>
              <a:lnTo>
                <a:pt x="6869" y="661"/>
              </a:lnTo>
              <a:lnTo>
                <a:pt x="0" y="661"/>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27360" bIns="0" anchor="t"/>
        <a:lstStyle/>
        <a:p>
          <a:pPr algn="l" rtl="0">
            <a:defRPr sz="1000"/>
          </a:pPr>
          <a:r>
            <a:rPr lang="es-SV" sz="1100" b="1" i="1" u="none" strike="noStrike" baseline="0">
              <a:solidFill>
                <a:srgbClr val="000000"/>
              </a:solidFill>
              <a:latin typeface="Calibri"/>
              <a:cs typeface="Calibri"/>
            </a:rPr>
            <a:t>Seleccione la opción que desea ver:</a:t>
          </a:r>
        </a:p>
      </xdr:txBody>
    </xdr:sp>
    <xdr:clientData/>
  </xdr:twoCellAnchor>
  <xdr:twoCellAnchor>
    <xdr:from>
      <xdr:col>8</xdr:col>
      <xdr:colOff>314325</xdr:colOff>
      <xdr:row>10</xdr:row>
      <xdr:rowOff>180975</xdr:rowOff>
    </xdr:from>
    <xdr:to>
      <xdr:col>11</xdr:col>
      <xdr:colOff>190500</xdr:colOff>
      <xdr:row>13</xdr:row>
      <xdr:rowOff>19050</xdr:rowOff>
    </xdr:to>
    <xdr:sp macro="" textlink="">
      <xdr:nvSpPr>
        <xdr:cNvPr id="1038" name="AutoShape 30">
          <a:extLst>
            <a:ext uri="{FF2B5EF4-FFF2-40B4-BE49-F238E27FC236}">
              <a16:creationId xmlns:a16="http://schemas.microsoft.com/office/drawing/2014/main" id="{2ECBCEAB-8F37-49F7-AA10-682CC0DCDC70}"/>
            </a:ext>
          </a:extLst>
        </xdr:cNvPr>
        <xdr:cNvSpPr>
          <a:spLocks noChangeArrowheads="1"/>
        </xdr:cNvSpPr>
      </xdr:nvSpPr>
      <xdr:spPr bwMode="auto">
        <a:xfrm>
          <a:off x="5724525" y="2562225"/>
          <a:ext cx="1504950" cy="409575"/>
        </a:xfrm>
        <a:custGeom>
          <a:avLst/>
          <a:gdLst>
            <a:gd name="G0" fmla="*/ 1 0 0"/>
            <a:gd name="G1" fmla="+- G0 0 13152"/>
            <a:gd name="G2" fmla="*/ 1 0 0"/>
            <a:gd name="G3" fmla="+- 50000 0 13152"/>
            <a:gd name="G4" fmla="?: G3 13152 50000"/>
            <a:gd name="G5" fmla="?: G1 G2 G3"/>
            <a:gd name="G6" fmla="min 4405 1144"/>
            <a:gd name="G7" fmla="*/ G6 G5 1"/>
            <a:gd name="G8" fmla="*/ G7 1 34464"/>
            <a:gd name="G9" fmla="+- 4405 0 G8"/>
            <a:gd name="G10" fmla="+- 1144 0 G8"/>
            <a:gd name="G11" fmla="*/ G8 29289 1"/>
            <a:gd name="G12" fmla="*/ G11 1 34464"/>
            <a:gd name="G13" fmla="+- 4405 0 G12"/>
            <a:gd name="G14" fmla="+- 1144 0 G12"/>
            <a:gd name="G15" fmla="*/ 4405 1 2"/>
            <a:gd name="G16" fmla="*/ 1144 1 2"/>
            <a:gd name="G17" fmla="+- 1144 0 0"/>
            <a:gd name="G18" fmla="+- 4405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223"/>
              </a:moveTo>
              <a:lnTo>
                <a:pt x="1223" y="1223"/>
              </a:lnTo>
              <a:lnTo>
                <a:pt x="180" y="90"/>
              </a:lnTo>
              <a:lnTo>
                <a:pt x="3182" y="0"/>
              </a:lnTo>
              <a:lnTo>
                <a:pt x="1223" y="1223"/>
              </a:lnTo>
              <a:lnTo>
                <a:pt x="270" y="90"/>
              </a:lnTo>
              <a:lnTo>
                <a:pt x="4405" y="-79"/>
              </a:lnTo>
              <a:lnTo>
                <a:pt x="1223" y="1223"/>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8</xdr:col>
      <xdr:colOff>381000</xdr:colOff>
      <xdr:row>11</xdr:row>
      <xdr:rowOff>38100</xdr:rowOff>
    </xdr:from>
    <xdr:to>
      <xdr:col>11</xdr:col>
      <xdr:colOff>171450</xdr:colOff>
      <xdr:row>12</xdr:row>
      <xdr:rowOff>180975</xdr:rowOff>
    </xdr:to>
    <xdr:sp macro="" textlink="" fLocksText="0">
      <xdr:nvSpPr>
        <xdr:cNvPr id="1039" name="AutoShape 31">
          <a:hlinkClick xmlns:r="http://schemas.openxmlformats.org/officeDocument/2006/relationships" r:id="rId6"/>
          <a:extLst>
            <a:ext uri="{FF2B5EF4-FFF2-40B4-BE49-F238E27FC236}">
              <a16:creationId xmlns:a16="http://schemas.microsoft.com/office/drawing/2014/main" id="{DEE5DF9C-431B-4D5B-B2BA-82B3890A7B54}"/>
            </a:ext>
          </a:extLst>
        </xdr:cNvPr>
        <xdr:cNvSpPr>
          <a:spLocks noChangeArrowheads="1"/>
        </xdr:cNvSpPr>
      </xdr:nvSpPr>
      <xdr:spPr bwMode="auto">
        <a:xfrm>
          <a:off x="5791200" y="2609850"/>
          <a:ext cx="1419225" cy="333375"/>
        </a:xfrm>
        <a:custGeom>
          <a:avLst/>
          <a:gdLst>
            <a:gd name="G0" fmla="*/ 1 0 0"/>
            <a:gd name="G1" fmla="+- G0 0 13375"/>
            <a:gd name="G2" fmla="*/ 1 0 0"/>
            <a:gd name="G3" fmla="+- 50000 0 13375"/>
            <a:gd name="G4" fmla="?: G3 13375 50000"/>
            <a:gd name="G5" fmla="?: G1 G2 G3"/>
            <a:gd name="G6" fmla="min 4183 932"/>
            <a:gd name="G7" fmla="*/ G6 G5 1"/>
            <a:gd name="G8" fmla="*/ G7 1 34464"/>
            <a:gd name="G9" fmla="+- 4183 0 G8"/>
            <a:gd name="G10" fmla="+- 932 0 G8"/>
            <a:gd name="G11" fmla="*/ G8 29289 1"/>
            <a:gd name="G12" fmla="*/ G11 1 34464"/>
            <a:gd name="G13" fmla="+- 4183 0 G12"/>
            <a:gd name="G14" fmla="+- 932 0 G12"/>
            <a:gd name="G15" fmla="*/ 4183 1 2"/>
            <a:gd name="G16" fmla="*/ 932 1 2"/>
            <a:gd name="G17" fmla="+- 932 0 0"/>
            <a:gd name="G18" fmla="+- 418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990"/>
              </a:moveTo>
              <a:lnTo>
                <a:pt x="990" y="990"/>
              </a:lnTo>
              <a:lnTo>
                <a:pt x="180" y="90"/>
              </a:lnTo>
              <a:lnTo>
                <a:pt x="3193" y="0"/>
              </a:lnTo>
              <a:lnTo>
                <a:pt x="990" y="990"/>
              </a:lnTo>
              <a:lnTo>
                <a:pt x="270" y="90"/>
              </a:lnTo>
              <a:lnTo>
                <a:pt x="4183" y="-58"/>
              </a:lnTo>
              <a:lnTo>
                <a:pt x="990" y="990"/>
              </a:lnTo>
              <a:close/>
            </a:path>
          </a:pathLst>
        </a:custGeom>
        <a:solidFill>
          <a:srgbClr val="99FF99"/>
        </a:soli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000000"/>
              </a:solidFill>
              <a:latin typeface="Arial"/>
              <a:cs typeface="Arial"/>
            </a:rPr>
            <a:t>Recomendaciones</a:t>
          </a:r>
        </a:p>
      </xdr:txBody>
    </xdr:sp>
    <xdr:clientData/>
  </xdr:twoCellAnchor>
  <xdr:twoCellAnchor>
    <xdr:from>
      <xdr:col>8</xdr:col>
      <xdr:colOff>371475</xdr:colOff>
      <xdr:row>11</xdr:row>
      <xdr:rowOff>38100</xdr:rowOff>
    </xdr:from>
    <xdr:to>
      <xdr:col>8</xdr:col>
      <xdr:colOff>514350</xdr:colOff>
      <xdr:row>12</xdr:row>
      <xdr:rowOff>28575</xdr:rowOff>
    </xdr:to>
    <xdr:sp macro="" textlink="">
      <xdr:nvSpPr>
        <xdr:cNvPr id="1040" name="Freeform 32">
          <a:extLst>
            <a:ext uri="{FF2B5EF4-FFF2-40B4-BE49-F238E27FC236}">
              <a16:creationId xmlns:a16="http://schemas.microsoft.com/office/drawing/2014/main" id="{37D139C1-D583-44D1-A09A-3EFC268E2039}"/>
            </a:ext>
          </a:extLst>
        </xdr:cNvPr>
        <xdr:cNvSpPr>
          <a:spLocks noChangeArrowheads="1"/>
        </xdr:cNvSpPr>
      </xdr:nvSpPr>
      <xdr:spPr bwMode="auto">
        <a:xfrm>
          <a:off x="5781675" y="2609850"/>
          <a:ext cx="142875" cy="180975"/>
        </a:xfrm>
        <a:custGeom>
          <a:avLst/>
          <a:gdLst>
            <a:gd name="G0" fmla="*/ 65534 402 1"/>
            <a:gd name="G1" fmla="*/ G0 1 596"/>
            <a:gd name="G2" fmla="*/ 1 0 0"/>
            <a:gd name="G3" fmla="*/ G2 508 1"/>
            <a:gd name="G4" fmla="*/ G3 1 598"/>
            <a:gd name="G5" fmla="*/ 1 0 0"/>
            <a:gd name="G6" fmla="*/ G5 402 1"/>
            <a:gd name="G7" fmla="*/ G6 1 596"/>
            <a:gd name="G8" fmla="*/ 65534 508 1"/>
            <a:gd name="G9" fmla="*/ G8 1 598"/>
            <a:gd name="G10" fmla="*/ 1 0 0"/>
            <a:gd name="G11" fmla="*/ G10 402 1"/>
            <a:gd name="G12" fmla="*/ G11 1 596"/>
            <a:gd name="G13" fmla="*/ 65534 508 1"/>
            <a:gd name="G14" fmla="*/ G13 1 598"/>
            <a:gd name="G15" fmla="*/ 65534 402 1"/>
            <a:gd name="G16" fmla="*/ G15 1 596"/>
            <a:gd name="G17" fmla="*/ 65534 508 1"/>
            <a:gd name="G18" fmla="*/ G17 1 598"/>
            <a:gd name="G19" fmla="*/ 65534 402 1"/>
            <a:gd name="G20" fmla="*/ G19 1 596"/>
            <a:gd name="G21" fmla="*/ 1 0 0"/>
            <a:gd name="G22" fmla="*/ G21 508 1"/>
            <a:gd name="G23" fmla="*/ G22 1 598"/>
            <a:gd name="G24" fmla="*/ 65534 402 1"/>
            <a:gd name="G25" fmla="*/ G24 1 596"/>
            <a:gd name="G26" fmla="*/ 1 0 0"/>
            <a:gd name="G27" fmla="*/ G26 508 1"/>
            <a:gd name="G28" fmla="*/ G27 1 598"/>
            <a:gd name="G29" fmla="*/ 1 0 0"/>
            <a:gd name="G30" fmla="*/ 1 0 0"/>
            <a:gd name="G31" fmla="*/ 1 0 0"/>
            <a:gd name="G32" fmla="*/ 1 0 0"/>
            <a:gd name="G33" fmla="*/ 1 0 0"/>
            <a:gd name="G34" fmla="*/ 1 0 0"/>
            <a:gd name="G35" fmla="*/ 1 0 0"/>
            <a:gd name="G36" fmla="*/ G35 402 1"/>
            <a:gd name="G37" fmla="*/ G36 1 596"/>
            <a:gd name="G38" fmla="*/ 1 0 0"/>
            <a:gd name="G39" fmla="*/ G38 508 1"/>
            <a:gd name="G40" fmla="*/ G39 1 598"/>
            <a:gd name="G41" fmla="*/ 596 402 1"/>
            <a:gd name="G42" fmla="*/ G41 1 596"/>
            <a:gd name="G43" fmla="*/ 598 508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257175</xdr:colOff>
      <xdr:row>7</xdr:row>
      <xdr:rowOff>66675</xdr:rowOff>
    </xdr:from>
    <xdr:to>
      <xdr:col>4</xdr:col>
      <xdr:colOff>114300</xdr:colOff>
      <xdr:row>18</xdr:row>
      <xdr:rowOff>104775</xdr:rowOff>
    </xdr:to>
    <xdr:sp macro="" textlink="">
      <xdr:nvSpPr>
        <xdr:cNvPr id="1041" name="AutoShape 31">
          <a:extLst>
            <a:ext uri="{FF2B5EF4-FFF2-40B4-BE49-F238E27FC236}">
              <a16:creationId xmlns:a16="http://schemas.microsoft.com/office/drawing/2014/main" id="{903A1370-1B4F-43A1-86AC-BE0052CBEEB1}"/>
            </a:ext>
          </a:extLst>
        </xdr:cNvPr>
        <xdr:cNvSpPr>
          <a:spLocks noChangeArrowheads="1"/>
        </xdr:cNvSpPr>
      </xdr:nvSpPr>
      <xdr:spPr bwMode="auto">
        <a:xfrm>
          <a:off x="333375" y="1876425"/>
          <a:ext cx="2143125" cy="2133600"/>
        </a:xfrm>
        <a:custGeom>
          <a:avLst/>
          <a:gdLst>
            <a:gd name="G0" fmla="*/ 1 0 0"/>
            <a:gd name="G1" fmla="+- G0 0 13375"/>
            <a:gd name="G2" fmla="*/ 1 0 0"/>
            <a:gd name="G3" fmla="+- 50000 0 13375"/>
            <a:gd name="G4" fmla="?: G3 13375 50000"/>
            <a:gd name="G5" fmla="?: G1 G2 G3"/>
            <a:gd name="G6" fmla="min 6313 5884"/>
            <a:gd name="G7" fmla="*/ G6 G5 1"/>
            <a:gd name="G8" fmla="*/ G7 1 34464"/>
            <a:gd name="G9" fmla="+- 6313 0 G8"/>
            <a:gd name="G10" fmla="+- 5884 0 G8"/>
            <a:gd name="G11" fmla="*/ G8 29289 1"/>
            <a:gd name="G12" fmla="*/ G11 1 34464"/>
            <a:gd name="G13" fmla="+- 6313 0 G12"/>
            <a:gd name="G14" fmla="+- 5884 0 G12"/>
            <a:gd name="G15" fmla="*/ 6313 1 2"/>
            <a:gd name="G16" fmla="*/ 5884 1 2"/>
            <a:gd name="G17" fmla="+- 5884 0 0"/>
            <a:gd name="G18" fmla="+- 631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6253"/>
              </a:moveTo>
              <a:lnTo>
                <a:pt x="6253" y="6253"/>
              </a:lnTo>
              <a:lnTo>
                <a:pt x="180" y="90"/>
              </a:lnTo>
              <a:lnTo>
                <a:pt x="60" y="0"/>
              </a:lnTo>
              <a:lnTo>
                <a:pt x="6253" y="6253"/>
              </a:lnTo>
              <a:lnTo>
                <a:pt x="270" y="90"/>
              </a:lnTo>
              <a:lnTo>
                <a:pt x="6313" y="-369"/>
              </a:lnTo>
              <a:lnTo>
                <a:pt x="6253" y="6253"/>
              </a:lnTo>
              <a:close/>
            </a:path>
          </a:pathLst>
        </a:custGeom>
        <a:gradFill rotWithShape="0">
          <a:gsLst>
            <a:gs pos="0">
              <a:srgbClr val="87AFD3"/>
            </a:gs>
            <a:gs pos="100000">
              <a:srgbClr val="4C7BB4"/>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361950</xdr:colOff>
      <xdr:row>7</xdr:row>
      <xdr:rowOff>161925</xdr:rowOff>
    </xdr:from>
    <xdr:to>
      <xdr:col>2</xdr:col>
      <xdr:colOff>85725</xdr:colOff>
      <xdr:row>9</xdr:row>
      <xdr:rowOff>85725</xdr:rowOff>
    </xdr:to>
    <xdr:sp macro="" textlink="">
      <xdr:nvSpPr>
        <xdr:cNvPr id="1042" name="Freeform 32">
          <a:extLst>
            <a:ext uri="{FF2B5EF4-FFF2-40B4-BE49-F238E27FC236}">
              <a16:creationId xmlns:a16="http://schemas.microsoft.com/office/drawing/2014/main" id="{B42B8676-4C9F-46A7-B758-738474369CEB}"/>
            </a:ext>
          </a:extLst>
        </xdr:cNvPr>
        <xdr:cNvSpPr>
          <a:spLocks noChangeArrowheads="1"/>
        </xdr:cNvSpPr>
      </xdr:nvSpPr>
      <xdr:spPr bwMode="auto">
        <a:xfrm>
          <a:off x="438150" y="1971675"/>
          <a:ext cx="485775" cy="304800"/>
        </a:xfrm>
        <a:custGeom>
          <a:avLst/>
          <a:gdLst>
            <a:gd name="G0" fmla="*/ 65534 1434 1"/>
            <a:gd name="G1" fmla="*/ G0 1 596"/>
            <a:gd name="G2" fmla="*/ 1 0 0"/>
            <a:gd name="G3" fmla="*/ G2 868 1"/>
            <a:gd name="G4" fmla="*/ G3 1 598"/>
            <a:gd name="G5" fmla="*/ 1 0 0"/>
            <a:gd name="G6" fmla="*/ G5 1434 1"/>
            <a:gd name="G7" fmla="*/ G6 1 596"/>
            <a:gd name="G8" fmla="*/ 65534 868 1"/>
            <a:gd name="G9" fmla="*/ G8 1 598"/>
            <a:gd name="G10" fmla="*/ 1 0 0"/>
            <a:gd name="G11" fmla="*/ G10 1434 1"/>
            <a:gd name="G12" fmla="*/ G11 1 596"/>
            <a:gd name="G13" fmla="*/ 65534 868 1"/>
            <a:gd name="G14" fmla="*/ G13 1 598"/>
            <a:gd name="G15" fmla="*/ 65534 1434 1"/>
            <a:gd name="G16" fmla="*/ G15 1 596"/>
            <a:gd name="G17" fmla="*/ 65534 868 1"/>
            <a:gd name="G18" fmla="*/ G17 1 598"/>
            <a:gd name="G19" fmla="*/ 65534 1434 1"/>
            <a:gd name="G20" fmla="*/ G19 1 596"/>
            <a:gd name="G21" fmla="*/ 1 0 0"/>
            <a:gd name="G22" fmla="*/ G21 868 1"/>
            <a:gd name="G23" fmla="*/ G22 1 598"/>
            <a:gd name="G24" fmla="*/ 65534 1434 1"/>
            <a:gd name="G25" fmla="*/ G24 1 596"/>
            <a:gd name="G26" fmla="*/ 1 0 0"/>
            <a:gd name="G27" fmla="*/ G26 868 1"/>
            <a:gd name="G28" fmla="*/ G27 1 598"/>
            <a:gd name="G29" fmla="*/ 1 0 0"/>
            <a:gd name="G30" fmla="*/ 1 0 0"/>
            <a:gd name="G31" fmla="*/ 1 0 0"/>
            <a:gd name="G32" fmla="*/ 1 0 0"/>
            <a:gd name="G33" fmla="*/ 1 0 0"/>
            <a:gd name="G34" fmla="*/ 1 0 0"/>
            <a:gd name="G35" fmla="*/ 1 0 0"/>
            <a:gd name="G36" fmla="*/ G35 1434 1"/>
            <a:gd name="G37" fmla="*/ G36 1 596"/>
            <a:gd name="G38" fmla="*/ 1 0 0"/>
            <a:gd name="G39" fmla="*/ G38 868 1"/>
            <a:gd name="G40" fmla="*/ G39 1 598"/>
            <a:gd name="G41" fmla="*/ 596 1434 1"/>
            <a:gd name="G42" fmla="*/ G41 1 596"/>
            <a:gd name="G43" fmla="*/ 598 868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314325</xdr:colOff>
      <xdr:row>14</xdr:row>
      <xdr:rowOff>38100</xdr:rowOff>
    </xdr:from>
    <xdr:to>
      <xdr:col>11</xdr:col>
      <xdr:colOff>171450</xdr:colOff>
      <xdr:row>16</xdr:row>
      <xdr:rowOff>66675</xdr:rowOff>
    </xdr:to>
    <xdr:sp macro="" textlink="">
      <xdr:nvSpPr>
        <xdr:cNvPr id="1043" name="AutoShape 30">
          <a:extLst>
            <a:ext uri="{FF2B5EF4-FFF2-40B4-BE49-F238E27FC236}">
              <a16:creationId xmlns:a16="http://schemas.microsoft.com/office/drawing/2014/main" id="{F6BCD2A7-9365-4878-907D-786D0A2D97E0}"/>
            </a:ext>
          </a:extLst>
        </xdr:cNvPr>
        <xdr:cNvSpPr>
          <a:spLocks noChangeArrowheads="1"/>
        </xdr:cNvSpPr>
      </xdr:nvSpPr>
      <xdr:spPr bwMode="auto">
        <a:xfrm>
          <a:off x="5724525" y="3181350"/>
          <a:ext cx="1485900" cy="409575"/>
        </a:xfrm>
        <a:custGeom>
          <a:avLst/>
          <a:gdLst>
            <a:gd name="G0" fmla="*/ 1 0 0"/>
            <a:gd name="G1" fmla="+- G0 0 13152"/>
            <a:gd name="G2" fmla="*/ 1 0 0"/>
            <a:gd name="G3" fmla="+- 50000 0 13152"/>
            <a:gd name="G4" fmla="?: G3 13152 50000"/>
            <a:gd name="G5" fmla="?: G1 G2 G3"/>
            <a:gd name="G6" fmla="min 4384 1122"/>
            <a:gd name="G7" fmla="*/ G6 G5 1"/>
            <a:gd name="G8" fmla="*/ G7 1 34464"/>
            <a:gd name="G9" fmla="+- 4384 0 G8"/>
            <a:gd name="G10" fmla="+- 1122 0 G8"/>
            <a:gd name="G11" fmla="*/ G8 29289 1"/>
            <a:gd name="G12" fmla="*/ G11 1 34464"/>
            <a:gd name="G13" fmla="+- 4384 0 G12"/>
            <a:gd name="G14" fmla="+- 1122 0 G12"/>
            <a:gd name="G15" fmla="*/ 4384 1 2"/>
            <a:gd name="G16" fmla="*/ 1122 1 2"/>
            <a:gd name="G17" fmla="+- 1122 0 0"/>
            <a:gd name="G18" fmla="+- 4384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200"/>
              </a:moveTo>
              <a:lnTo>
                <a:pt x="1200" y="1200"/>
              </a:lnTo>
              <a:lnTo>
                <a:pt x="180" y="90"/>
              </a:lnTo>
              <a:lnTo>
                <a:pt x="3184" y="0"/>
              </a:lnTo>
              <a:lnTo>
                <a:pt x="1200" y="1200"/>
              </a:lnTo>
              <a:lnTo>
                <a:pt x="270" y="90"/>
              </a:lnTo>
              <a:lnTo>
                <a:pt x="4384" y="-78"/>
              </a:lnTo>
              <a:lnTo>
                <a:pt x="1200" y="1200"/>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8</xdr:col>
      <xdr:colOff>352425</xdr:colOff>
      <xdr:row>14</xdr:row>
      <xdr:rowOff>85725</xdr:rowOff>
    </xdr:from>
    <xdr:to>
      <xdr:col>11</xdr:col>
      <xdr:colOff>123825</xdr:colOff>
      <xdr:row>16</xdr:row>
      <xdr:rowOff>66675</xdr:rowOff>
    </xdr:to>
    <xdr:sp macro="" textlink="" fLocksText="0">
      <xdr:nvSpPr>
        <xdr:cNvPr id="1044" name="AutoShape 31">
          <a:hlinkClick xmlns:r="http://schemas.openxmlformats.org/officeDocument/2006/relationships" r:id="rId7"/>
          <a:extLst>
            <a:ext uri="{FF2B5EF4-FFF2-40B4-BE49-F238E27FC236}">
              <a16:creationId xmlns:a16="http://schemas.microsoft.com/office/drawing/2014/main" id="{532D77F7-3050-4077-B05B-53E91B8EB8F3}"/>
            </a:ext>
          </a:extLst>
        </xdr:cNvPr>
        <xdr:cNvSpPr>
          <a:spLocks noChangeArrowheads="1"/>
        </xdr:cNvSpPr>
      </xdr:nvSpPr>
      <xdr:spPr bwMode="auto">
        <a:xfrm>
          <a:off x="5762625" y="3228975"/>
          <a:ext cx="1400175" cy="361950"/>
        </a:xfrm>
        <a:custGeom>
          <a:avLst/>
          <a:gdLst>
            <a:gd name="G0" fmla="*/ 1 0 0"/>
            <a:gd name="G1" fmla="+- G0 0 13375"/>
            <a:gd name="G2" fmla="*/ 1 0 0"/>
            <a:gd name="G3" fmla="+- 50000 0 13375"/>
            <a:gd name="G4" fmla="?: G3 13375 50000"/>
            <a:gd name="G5" fmla="?: G1 G2 G3"/>
            <a:gd name="G6" fmla="min 4109 1000"/>
            <a:gd name="G7" fmla="*/ G6 G5 1"/>
            <a:gd name="G8" fmla="*/ G7 1 34464"/>
            <a:gd name="G9" fmla="+- 4109 0 G8"/>
            <a:gd name="G10" fmla="+- 1000 0 G8"/>
            <a:gd name="G11" fmla="*/ G8 29289 1"/>
            <a:gd name="G12" fmla="*/ G11 1 34464"/>
            <a:gd name="G13" fmla="+- 4109 0 G12"/>
            <a:gd name="G14" fmla="+- 1000 0 G12"/>
            <a:gd name="G15" fmla="*/ 4109 1 2"/>
            <a:gd name="G16" fmla="*/ 1000 1 2"/>
            <a:gd name="G17" fmla="+- 1000 0 0"/>
            <a:gd name="G18" fmla="+- 4109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063"/>
              </a:moveTo>
              <a:lnTo>
                <a:pt x="1063" y="1063"/>
              </a:lnTo>
              <a:lnTo>
                <a:pt x="180" y="90"/>
              </a:lnTo>
              <a:lnTo>
                <a:pt x="3046" y="0"/>
              </a:lnTo>
              <a:lnTo>
                <a:pt x="1063" y="1063"/>
              </a:lnTo>
              <a:lnTo>
                <a:pt x="270" y="90"/>
              </a:lnTo>
              <a:lnTo>
                <a:pt x="4109" y="-63"/>
              </a:lnTo>
              <a:lnTo>
                <a:pt x="1063" y="1063"/>
              </a:lnTo>
              <a:close/>
            </a:path>
          </a:pathLst>
        </a:custGeom>
        <a:solidFill>
          <a:srgbClr val="99FF99"/>
        </a:soli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000000"/>
              </a:solidFill>
              <a:latin typeface="Arial"/>
              <a:cs typeface="Arial"/>
            </a:rPr>
            <a:t>Acciones</a:t>
          </a:r>
        </a:p>
      </xdr:txBody>
    </xdr:sp>
    <xdr:clientData/>
  </xdr:twoCellAnchor>
  <xdr:twoCellAnchor>
    <xdr:from>
      <xdr:col>8</xdr:col>
      <xdr:colOff>352425</xdr:colOff>
      <xdr:row>14</xdr:row>
      <xdr:rowOff>123825</xdr:rowOff>
    </xdr:from>
    <xdr:to>
      <xdr:col>8</xdr:col>
      <xdr:colOff>485775</xdr:colOff>
      <xdr:row>15</xdr:row>
      <xdr:rowOff>85725</xdr:rowOff>
    </xdr:to>
    <xdr:sp macro="" textlink="">
      <xdr:nvSpPr>
        <xdr:cNvPr id="1045" name="Freeform 32">
          <a:extLst>
            <a:ext uri="{FF2B5EF4-FFF2-40B4-BE49-F238E27FC236}">
              <a16:creationId xmlns:a16="http://schemas.microsoft.com/office/drawing/2014/main" id="{7E372F69-9693-403A-8054-4F2E707F43A2}"/>
            </a:ext>
          </a:extLst>
        </xdr:cNvPr>
        <xdr:cNvSpPr>
          <a:spLocks noChangeArrowheads="1"/>
        </xdr:cNvSpPr>
      </xdr:nvSpPr>
      <xdr:spPr bwMode="auto">
        <a:xfrm>
          <a:off x="5762625" y="3267075"/>
          <a:ext cx="133350" cy="152400"/>
        </a:xfrm>
        <a:custGeom>
          <a:avLst/>
          <a:gdLst>
            <a:gd name="G0" fmla="*/ 1 0 0"/>
            <a:gd name="G1" fmla="*/ G0 402 1"/>
            <a:gd name="G2" fmla="*/ G1 1 596"/>
            <a:gd name="G3" fmla="*/ 1 0 0"/>
            <a:gd name="G4" fmla="*/ G3 444 1"/>
            <a:gd name="G5" fmla="*/ G4 1 598"/>
            <a:gd name="G6" fmla="*/ 1 0 0"/>
            <a:gd name="G7" fmla="*/ G6 402 1"/>
            <a:gd name="G8" fmla="*/ G7 1 596"/>
            <a:gd name="G9" fmla="*/ 1 0 0"/>
            <a:gd name="G10" fmla="*/ G9 444 1"/>
            <a:gd name="G11" fmla="*/ G10 1 598"/>
            <a:gd name="G12" fmla="*/ 1 0 0"/>
            <a:gd name="G13" fmla="*/ G12 402 1"/>
            <a:gd name="G14" fmla="*/ G13 1 596"/>
            <a:gd name="G15" fmla="*/ 1 0 0"/>
            <a:gd name="G16" fmla="*/ G15 444 1"/>
            <a:gd name="G17" fmla="*/ G16 1 598"/>
            <a:gd name="G18" fmla="*/ 1 0 0"/>
            <a:gd name="G19" fmla="*/ G18 402 1"/>
            <a:gd name="G20" fmla="*/ G19 1 596"/>
            <a:gd name="G21" fmla="*/ 1 0 0"/>
            <a:gd name="G22" fmla="*/ G21 444 1"/>
            <a:gd name="G23" fmla="*/ G22 1 598"/>
            <a:gd name="G24" fmla="*/ 1 0 0"/>
            <a:gd name="G25" fmla="*/ G24 402 1"/>
            <a:gd name="G26" fmla="*/ G25 1 596"/>
            <a:gd name="G27" fmla="*/ 1 0 0"/>
            <a:gd name="G28" fmla="*/ G27 444 1"/>
            <a:gd name="G29" fmla="*/ G28 1 598"/>
            <a:gd name="G30" fmla="*/ 1 0 0"/>
            <a:gd name="G31" fmla="*/ G30 402 1"/>
            <a:gd name="G32" fmla="*/ G31 1 596"/>
            <a:gd name="G33" fmla="*/ 1 0 0"/>
            <a:gd name="G34" fmla="*/ G33 444 1"/>
            <a:gd name="G35" fmla="*/ G34 1 598"/>
            <a:gd name="G36" fmla="*/ 1 0 0"/>
            <a:gd name="G37" fmla="*/ 1 0 0"/>
            <a:gd name="G38" fmla="*/ 1 0 0"/>
            <a:gd name="G39" fmla="*/ 1 0 0"/>
            <a:gd name="G40" fmla="*/ 1 0 0"/>
            <a:gd name="G41" fmla="*/ 1 0 0"/>
            <a:gd name="G42" fmla="*/ 1 0 0"/>
            <a:gd name="G43" fmla="*/ G42 402 1"/>
            <a:gd name="G44" fmla="*/ G43 1 596"/>
            <a:gd name="G45" fmla="*/ 1 0 0"/>
            <a:gd name="G46" fmla="*/ G45 444 1"/>
            <a:gd name="G47" fmla="*/ G46 1 598"/>
            <a:gd name="G48" fmla="*/ 596 402 1"/>
            <a:gd name="G49" fmla="*/ G48 1 596"/>
            <a:gd name="G50" fmla="*/ 598 444 1"/>
            <a:gd name="G51" fmla="*/ G50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533400</xdr:colOff>
      <xdr:row>15</xdr:row>
      <xdr:rowOff>133350</xdr:rowOff>
    </xdr:from>
    <xdr:to>
      <xdr:col>3</xdr:col>
      <xdr:colOff>514350</xdr:colOff>
      <xdr:row>17</xdr:row>
      <xdr:rowOff>190500</xdr:rowOff>
    </xdr:to>
    <xdr:sp macro="" textlink="">
      <xdr:nvSpPr>
        <xdr:cNvPr id="1046" name="AutoShape 30">
          <a:extLst>
            <a:ext uri="{FF2B5EF4-FFF2-40B4-BE49-F238E27FC236}">
              <a16:creationId xmlns:a16="http://schemas.microsoft.com/office/drawing/2014/main" id="{10B58E9C-B984-45B5-8236-73C94B773951}"/>
            </a:ext>
          </a:extLst>
        </xdr:cNvPr>
        <xdr:cNvSpPr>
          <a:spLocks noChangeArrowheads="1"/>
        </xdr:cNvSpPr>
      </xdr:nvSpPr>
      <xdr:spPr bwMode="auto">
        <a:xfrm>
          <a:off x="609600" y="3467100"/>
          <a:ext cx="1504950" cy="438150"/>
        </a:xfrm>
        <a:custGeom>
          <a:avLst/>
          <a:gdLst>
            <a:gd name="G0" fmla="*/ 1 0 0"/>
            <a:gd name="G1" fmla="+- G0 0 13152"/>
            <a:gd name="G2" fmla="*/ 1 0 0"/>
            <a:gd name="G3" fmla="+- 50000 0 13152"/>
            <a:gd name="G4" fmla="?: G3 13152 50000"/>
            <a:gd name="G5" fmla="?: G1 G2 G3"/>
            <a:gd name="G6" fmla="min 4391 1227"/>
            <a:gd name="G7" fmla="*/ G6 G5 1"/>
            <a:gd name="G8" fmla="*/ G7 1 34464"/>
            <a:gd name="G9" fmla="+- 4391 0 G8"/>
            <a:gd name="G10" fmla="+- 1227 0 G8"/>
            <a:gd name="G11" fmla="*/ G8 29289 1"/>
            <a:gd name="G12" fmla="*/ G11 1 34464"/>
            <a:gd name="G13" fmla="+- 4391 0 G12"/>
            <a:gd name="G14" fmla="+- 1227 0 G12"/>
            <a:gd name="G15" fmla="*/ 4391 1 2"/>
            <a:gd name="G16" fmla="*/ 1227 1 2"/>
            <a:gd name="G17" fmla="+- 1227 0 0"/>
            <a:gd name="G18" fmla="+- 4391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312"/>
              </a:moveTo>
              <a:lnTo>
                <a:pt x="1312" y="1312"/>
              </a:lnTo>
              <a:lnTo>
                <a:pt x="180" y="90"/>
              </a:lnTo>
              <a:lnTo>
                <a:pt x="3079" y="0"/>
              </a:lnTo>
              <a:lnTo>
                <a:pt x="1312" y="1312"/>
              </a:lnTo>
              <a:lnTo>
                <a:pt x="270" y="90"/>
              </a:lnTo>
              <a:lnTo>
                <a:pt x="4391" y="-85"/>
              </a:lnTo>
              <a:lnTo>
                <a:pt x="1312" y="1312"/>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1</xdr:col>
      <xdr:colOff>561975</xdr:colOff>
      <xdr:row>15</xdr:row>
      <xdr:rowOff>161925</xdr:rowOff>
    </xdr:from>
    <xdr:to>
      <xdr:col>3</xdr:col>
      <xdr:colOff>485775</xdr:colOff>
      <xdr:row>17</xdr:row>
      <xdr:rowOff>161925</xdr:rowOff>
    </xdr:to>
    <xdr:sp macro="" textlink="" fLocksText="0">
      <xdr:nvSpPr>
        <xdr:cNvPr id="1047" name="AutoShape 31">
          <a:hlinkClick xmlns:r="http://schemas.openxmlformats.org/officeDocument/2006/relationships" r:id="rId8"/>
          <a:extLst>
            <a:ext uri="{FF2B5EF4-FFF2-40B4-BE49-F238E27FC236}">
              <a16:creationId xmlns:a16="http://schemas.microsoft.com/office/drawing/2014/main" id="{A2BD4DEB-F2D7-45BF-B326-FD21CF7E79DA}"/>
            </a:ext>
          </a:extLst>
        </xdr:cNvPr>
        <xdr:cNvSpPr>
          <a:spLocks noChangeArrowheads="1"/>
        </xdr:cNvSpPr>
      </xdr:nvSpPr>
      <xdr:spPr bwMode="auto">
        <a:xfrm>
          <a:off x="638175" y="3495675"/>
          <a:ext cx="1447800" cy="381000"/>
        </a:xfrm>
        <a:custGeom>
          <a:avLst/>
          <a:gdLst>
            <a:gd name="G0" fmla="*/ 1 0 0"/>
            <a:gd name="G1" fmla="+- G0 0 13375"/>
            <a:gd name="G2" fmla="*/ 1 0 0"/>
            <a:gd name="G3" fmla="+- 50000 0 13375"/>
            <a:gd name="G4" fmla="?: G3 13375 50000"/>
            <a:gd name="G5" fmla="?: G1 G2 G3"/>
            <a:gd name="G6" fmla="min 4243 1058"/>
            <a:gd name="G7" fmla="*/ G6 G5 1"/>
            <a:gd name="G8" fmla="*/ G7 1 34464"/>
            <a:gd name="G9" fmla="+- 4243 0 G8"/>
            <a:gd name="G10" fmla="+- 1058 0 G8"/>
            <a:gd name="G11" fmla="*/ G8 29289 1"/>
            <a:gd name="G12" fmla="*/ G11 1 34464"/>
            <a:gd name="G13" fmla="+- 4243 0 G12"/>
            <a:gd name="G14" fmla="+- 1058 0 G12"/>
            <a:gd name="G15" fmla="*/ 4243 1 2"/>
            <a:gd name="G16" fmla="*/ 1058 1 2"/>
            <a:gd name="G17" fmla="+- 1058 0 0"/>
            <a:gd name="G18" fmla="+- 424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124"/>
              </a:moveTo>
              <a:lnTo>
                <a:pt x="1124" y="1124"/>
              </a:lnTo>
              <a:lnTo>
                <a:pt x="180" y="90"/>
              </a:lnTo>
              <a:lnTo>
                <a:pt x="3119" y="0"/>
              </a:lnTo>
              <a:lnTo>
                <a:pt x="1124" y="1124"/>
              </a:lnTo>
              <a:lnTo>
                <a:pt x="270" y="90"/>
              </a:lnTo>
              <a:lnTo>
                <a:pt x="4243" y="-66"/>
              </a:lnTo>
              <a:lnTo>
                <a:pt x="1124" y="1124"/>
              </a:lnTo>
              <a:close/>
            </a:path>
          </a:pathLst>
        </a:custGeom>
        <a:gradFill rotWithShape="0">
          <a:gsLst>
            <a:gs pos="0">
              <a:srgbClr val="4F81BD"/>
            </a:gs>
            <a:gs pos="100000">
              <a:srgbClr val="375A84"/>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Información de la subvención</a:t>
          </a:r>
        </a:p>
      </xdr:txBody>
    </xdr:sp>
    <xdr:clientData/>
  </xdr:twoCellAnchor>
  <xdr:twoCellAnchor>
    <xdr:from>
      <xdr:col>1</xdr:col>
      <xdr:colOff>581025</xdr:colOff>
      <xdr:row>15</xdr:row>
      <xdr:rowOff>180975</xdr:rowOff>
    </xdr:from>
    <xdr:to>
      <xdr:col>1</xdr:col>
      <xdr:colOff>723900</xdr:colOff>
      <xdr:row>16</xdr:row>
      <xdr:rowOff>123825</xdr:rowOff>
    </xdr:to>
    <xdr:sp macro="" textlink="">
      <xdr:nvSpPr>
        <xdr:cNvPr id="1048" name="Freeform 32">
          <a:extLst>
            <a:ext uri="{FF2B5EF4-FFF2-40B4-BE49-F238E27FC236}">
              <a16:creationId xmlns:a16="http://schemas.microsoft.com/office/drawing/2014/main" id="{764636AD-13AB-4D85-B3DF-68CE9C9CCF45}"/>
            </a:ext>
          </a:extLst>
        </xdr:cNvPr>
        <xdr:cNvSpPr>
          <a:spLocks noChangeArrowheads="1"/>
        </xdr:cNvSpPr>
      </xdr:nvSpPr>
      <xdr:spPr bwMode="auto">
        <a:xfrm>
          <a:off x="657225" y="3514725"/>
          <a:ext cx="142875" cy="133350"/>
        </a:xfrm>
        <a:custGeom>
          <a:avLst/>
          <a:gdLst>
            <a:gd name="G0" fmla="*/ 65534 402 1"/>
            <a:gd name="G1" fmla="*/ G0 1 596"/>
            <a:gd name="G2" fmla="*/ 1 0 0"/>
            <a:gd name="G3" fmla="*/ G2 360 1"/>
            <a:gd name="G4" fmla="*/ G3 1 598"/>
            <a:gd name="G5" fmla="*/ 1 0 0"/>
            <a:gd name="G6" fmla="*/ G5 402 1"/>
            <a:gd name="G7" fmla="*/ G6 1 596"/>
            <a:gd name="G8" fmla="*/ 65534 360 1"/>
            <a:gd name="G9" fmla="*/ G8 1 598"/>
            <a:gd name="G10" fmla="*/ 1 0 0"/>
            <a:gd name="G11" fmla="*/ G10 402 1"/>
            <a:gd name="G12" fmla="*/ G11 1 596"/>
            <a:gd name="G13" fmla="*/ 65534 360 1"/>
            <a:gd name="G14" fmla="*/ G13 1 598"/>
            <a:gd name="G15" fmla="*/ 65534 402 1"/>
            <a:gd name="G16" fmla="*/ G15 1 596"/>
            <a:gd name="G17" fmla="*/ 65534 360 1"/>
            <a:gd name="G18" fmla="*/ G17 1 598"/>
            <a:gd name="G19" fmla="*/ 65534 402 1"/>
            <a:gd name="G20" fmla="*/ G19 1 596"/>
            <a:gd name="G21" fmla="*/ 1 0 0"/>
            <a:gd name="G22" fmla="*/ G21 360 1"/>
            <a:gd name="G23" fmla="*/ G22 1 598"/>
            <a:gd name="G24" fmla="*/ 65534 402 1"/>
            <a:gd name="G25" fmla="*/ G24 1 596"/>
            <a:gd name="G26" fmla="*/ 1 0 0"/>
            <a:gd name="G27" fmla="*/ G26 360 1"/>
            <a:gd name="G28" fmla="*/ G27 1 598"/>
            <a:gd name="G29" fmla="*/ 1 0 0"/>
            <a:gd name="G30" fmla="*/ 1 0 0"/>
            <a:gd name="G31" fmla="*/ 1 0 0"/>
            <a:gd name="G32" fmla="*/ 1 0 0"/>
            <a:gd name="G33" fmla="*/ 1 0 0"/>
            <a:gd name="G34" fmla="*/ 1 0 0"/>
            <a:gd name="G35" fmla="*/ 1 0 0"/>
            <a:gd name="G36" fmla="*/ G35 402 1"/>
            <a:gd name="G37" fmla="*/ G36 1 596"/>
            <a:gd name="G38" fmla="*/ 1 0 0"/>
            <a:gd name="G39" fmla="*/ G38 360 1"/>
            <a:gd name="G40" fmla="*/ G39 1 598"/>
            <a:gd name="G41" fmla="*/ 596 402 1"/>
            <a:gd name="G42" fmla="*/ G41 1 596"/>
            <a:gd name="G43" fmla="*/ 598 360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533400</xdr:colOff>
      <xdr:row>10</xdr:row>
      <xdr:rowOff>19050</xdr:rowOff>
    </xdr:from>
    <xdr:to>
      <xdr:col>3</xdr:col>
      <xdr:colOff>514350</xdr:colOff>
      <xdr:row>11</xdr:row>
      <xdr:rowOff>190500</xdr:rowOff>
    </xdr:to>
    <xdr:sp macro="" textlink="">
      <xdr:nvSpPr>
        <xdr:cNvPr id="1049" name="AutoShape 30">
          <a:extLst>
            <a:ext uri="{FF2B5EF4-FFF2-40B4-BE49-F238E27FC236}">
              <a16:creationId xmlns:a16="http://schemas.microsoft.com/office/drawing/2014/main" id="{FC0A8342-6D00-4855-BACD-DEBA4090288C}"/>
            </a:ext>
          </a:extLst>
        </xdr:cNvPr>
        <xdr:cNvSpPr>
          <a:spLocks noChangeArrowheads="1"/>
        </xdr:cNvSpPr>
      </xdr:nvSpPr>
      <xdr:spPr bwMode="auto">
        <a:xfrm>
          <a:off x="609600" y="2400300"/>
          <a:ext cx="1504950" cy="361950"/>
        </a:xfrm>
        <a:custGeom>
          <a:avLst/>
          <a:gdLst>
            <a:gd name="G0" fmla="*/ 1 0 0"/>
            <a:gd name="G1" fmla="+- G0 0 13152"/>
            <a:gd name="G2" fmla="*/ 1 0 0"/>
            <a:gd name="G3" fmla="+- 50000 0 13152"/>
            <a:gd name="G4" fmla="?: G3 13152 50000"/>
            <a:gd name="G5" fmla="?: G1 G2 G3"/>
            <a:gd name="G6" fmla="min 4391 995"/>
            <a:gd name="G7" fmla="*/ G6 G5 1"/>
            <a:gd name="G8" fmla="*/ G7 1 34464"/>
            <a:gd name="G9" fmla="+- 4391 0 G8"/>
            <a:gd name="G10" fmla="+- 995 0 G8"/>
            <a:gd name="G11" fmla="*/ G8 29289 1"/>
            <a:gd name="G12" fmla="*/ G11 1 34464"/>
            <a:gd name="G13" fmla="+- 4391 0 G12"/>
            <a:gd name="G14" fmla="+- 995 0 G12"/>
            <a:gd name="G15" fmla="*/ 4391 1 2"/>
            <a:gd name="G16" fmla="*/ 995 1 2"/>
            <a:gd name="G17" fmla="+- 995 0 0"/>
            <a:gd name="G18" fmla="+- 4391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064"/>
              </a:moveTo>
              <a:lnTo>
                <a:pt x="1064" y="1064"/>
              </a:lnTo>
              <a:lnTo>
                <a:pt x="180" y="90"/>
              </a:lnTo>
              <a:lnTo>
                <a:pt x="3327" y="0"/>
              </a:lnTo>
              <a:lnTo>
                <a:pt x="1064" y="1064"/>
              </a:lnTo>
              <a:lnTo>
                <a:pt x="270" y="90"/>
              </a:lnTo>
              <a:lnTo>
                <a:pt x="4391" y="-69"/>
              </a:lnTo>
              <a:lnTo>
                <a:pt x="1064" y="1064"/>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1</xdr:col>
      <xdr:colOff>561975</xdr:colOff>
      <xdr:row>10</xdr:row>
      <xdr:rowOff>38100</xdr:rowOff>
    </xdr:from>
    <xdr:to>
      <xdr:col>3</xdr:col>
      <xdr:colOff>485775</xdr:colOff>
      <xdr:row>11</xdr:row>
      <xdr:rowOff>161925</xdr:rowOff>
    </xdr:to>
    <xdr:sp macro="" textlink="" fLocksText="0">
      <xdr:nvSpPr>
        <xdr:cNvPr id="1050" name="AutoShape 31">
          <a:hlinkClick xmlns:r="http://schemas.openxmlformats.org/officeDocument/2006/relationships" r:id="rId9"/>
          <a:extLst>
            <a:ext uri="{FF2B5EF4-FFF2-40B4-BE49-F238E27FC236}">
              <a16:creationId xmlns:a16="http://schemas.microsoft.com/office/drawing/2014/main" id="{9E9F79BF-1E65-4F42-98A7-E890F9A98F42}"/>
            </a:ext>
          </a:extLst>
        </xdr:cNvPr>
        <xdr:cNvSpPr>
          <a:spLocks noChangeArrowheads="1"/>
        </xdr:cNvSpPr>
      </xdr:nvSpPr>
      <xdr:spPr bwMode="auto">
        <a:xfrm>
          <a:off x="638175" y="2419350"/>
          <a:ext cx="1447800" cy="314325"/>
        </a:xfrm>
        <a:custGeom>
          <a:avLst/>
          <a:gdLst>
            <a:gd name="G0" fmla="*/ 1 0 0"/>
            <a:gd name="G1" fmla="+- G0 0 13375"/>
            <a:gd name="G2" fmla="*/ 1 0 0"/>
            <a:gd name="G3" fmla="+- 50000 0 13375"/>
            <a:gd name="G4" fmla="?: G3 13375 50000"/>
            <a:gd name="G5" fmla="?: G1 G2 G3"/>
            <a:gd name="G6" fmla="min 4243 873"/>
            <a:gd name="G7" fmla="*/ G6 G5 1"/>
            <a:gd name="G8" fmla="*/ G7 1 34464"/>
            <a:gd name="G9" fmla="+- 4243 0 G8"/>
            <a:gd name="G10" fmla="+- 873 0 G8"/>
            <a:gd name="G11" fmla="*/ G8 29289 1"/>
            <a:gd name="G12" fmla="*/ G11 1 34464"/>
            <a:gd name="G13" fmla="+- 4243 0 G12"/>
            <a:gd name="G14" fmla="+- 873 0 G12"/>
            <a:gd name="G15" fmla="*/ 4243 1 2"/>
            <a:gd name="G16" fmla="*/ 873 1 2"/>
            <a:gd name="G17" fmla="+- 873 0 0"/>
            <a:gd name="G18" fmla="+- 424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928"/>
              </a:moveTo>
              <a:lnTo>
                <a:pt x="928" y="928"/>
              </a:lnTo>
              <a:lnTo>
                <a:pt x="180" y="90"/>
              </a:lnTo>
              <a:lnTo>
                <a:pt x="3315" y="0"/>
              </a:lnTo>
              <a:lnTo>
                <a:pt x="928" y="928"/>
              </a:lnTo>
              <a:lnTo>
                <a:pt x="270" y="90"/>
              </a:lnTo>
              <a:lnTo>
                <a:pt x="4243" y="-55"/>
              </a:lnTo>
              <a:lnTo>
                <a:pt x="928" y="928"/>
              </a:lnTo>
              <a:close/>
            </a:path>
          </a:pathLst>
        </a:custGeom>
        <a:gradFill rotWithShape="0">
          <a:gsLst>
            <a:gs pos="0">
              <a:srgbClr val="4F81BD"/>
            </a:gs>
            <a:gs pos="100000">
              <a:srgbClr val="375A84"/>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Lista de indicadores</a:t>
          </a:r>
        </a:p>
      </xdr:txBody>
    </xdr:sp>
    <xdr:clientData/>
  </xdr:twoCellAnchor>
  <xdr:twoCellAnchor>
    <xdr:from>
      <xdr:col>1</xdr:col>
      <xdr:colOff>581025</xdr:colOff>
      <xdr:row>10</xdr:row>
      <xdr:rowOff>66675</xdr:rowOff>
    </xdr:from>
    <xdr:to>
      <xdr:col>1</xdr:col>
      <xdr:colOff>723900</xdr:colOff>
      <xdr:row>11</xdr:row>
      <xdr:rowOff>38100</xdr:rowOff>
    </xdr:to>
    <xdr:sp macro="" textlink="">
      <xdr:nvSpPr>
        <xdr:cNvPr id="1051" name="Freeform 32">
          <a:extLst>
            <a:ext uri="{FF2B5EF4-FFF2-40B4-BE49-F238E27FC236}">
              <a16:creationId xmlns:a16="http://schemas.microsoft.com/office/drawing/2014/main" id="{C5634D54-CDA6-4FA3-B442-25B42750C1E6}"/>
            </a:ext>
          </a:extLst>
        </xdr:cNvPr>
        <xdr:cNvSpPr>
          <a:spLocks noChangeArrowheads="1"/>
        </xdr:cNvSpPr>
      </xdr:nvSpPr>
      <xdr:spPr bwMode="auto">
        <a:xfrm>
          <a:off x="657225" y="2447925"/>
          <a:ext cx="142875" cy="161925"/>
        </a:xfrm>
        <a:custGeom>
          <a:avLst/>
          <a:gdLst>
            <a:gd name="G0" fmla="*/ 65534 445 1"/>
            <a:gd name="G1" fmla="*/ G0 1 596"/>
            <a:gd name="G2" fmla="*/ 1 0 0"/>
            <a:gd name="G3" fmla="*/ G2 423 1"/>
            <a:gd name="G4" fmla="*/ G3 1 598"/>
            <a:gd name="G5" fmla="*/ 1 0 0"/>
            <a:gd name="G6" fmla="*/ G5 445 1"/>
            <a:gd name="G7" fmla="*/ G6 1 596"/>
            <a:gd name="G8" fmla="*/ 65534 423 1"/>
            <a:gd name="G9" fmla="*/ G8 1 598"/>
            <a:gd name="G10" fmla="*/ 1 0 0"/>
            <a:gd name="G11" fmla="*/ G10 445 1"/>
            <a:gd name="G12" fmla="*/ G11 1 596"/>
            <a:gd name="G13" fmla="*/ 65534 423 1"/>
            <a:gd name="G14" fmla="*/ G13 1 598"/>
            <a:gd name="G15" fmla="*/ 65534 445 1"/>
            <a:gd name="G16" fmla="*/ G15 1 596"/>
            <a:gd name="G17" fmla="*/ 65534 423 1"/>
            <a:gd name="G18" fmla="*/ G17 1 598"/>
            <a:gd name="G19" fmla="*/ 65534 445 1"/>
            <a:gd name="G20" fmla="*/ G19 1 596"/>
            <a:gd name="G21" fmla="*/ 1 0 0"/>
            <a:gd name="G22" fmla="*/ G21 423 1"/>
            <a:gd name="G23" fmla="*/ G22 1 598"/>
            <a:gd name="G24" fmla="*/ 65534 445 1"/>
            <a:gd name="G25" fmla="*/ G24 1 596"/>
            <a:gd name="G26" fmla="*/ 1 0 0"/>
            <a:gd name="G27" fmla="*/ G26 423 1"/>
            <a:gd name="G28" fmla="*/ G27 1 598"/>
            <a:gd name="G29" fmla="*/ 1 0 0"/>
            <a:gd name="G30" fmla="*/ 1 0 0"/>
            <a:gd name="G31" fmla="*/ 1 0 0"/>
            <a:gd name="G32" fmla="*/ 1 0 0"/>
            <a:gd name="G33" fmla="*/ 1 0 0"/>
            <a:gd name="G34" fmla="*/ 1 0 0"/>
            <a:gd name="G35" fmla="*/ 1 0 0"/>
            <a:gd name="G36" fmla="*/ G35 445 1"/>
            <a:gd name="G37" fmla="*/ G36 1 596"/>
            <a:gd name="G38" fmla="*/ 1 0 0"/>
            <a:gd name="G39" fmla="*/ G38 423 1"/>
            <a:gd name="G40" fmla="*/ G39 1 598"/>
            <a:gd name="G41" fmla="*/ 596 445 1"/>
            <a:gd name="G42" fmla="*/ G41 1 596"/>
            <a:gd name="G43" fmla="*/ 598 423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533400</xdr:colOff>
      <xdr:row>12</xdr:row>
      <xdr:rowOff>180975</xdr:rowOff>
    </xdr:from>
    <xdr:to>
      <xdr:col>3</xdr:col>
      <xdr:colOff>514350</xdr:colOff>
      <xdr:row>14</xdr:row>
      <xdr:rowOff>161925</xdr:rowOff>
    </xdr:to>
    <xdr:sp macro="" textlink="">
      <xdr:nvSpPr>
        <xdr:cNvPr id="1052" name="AutoShape 30">
          <a:extLst>
            <a:ext uri="{FF2B5EF4-FFF2-40B4-BE49-F238E27FC236}">
              <a16:creationId xmlns:a16="http://schemas.microsoft.com/office/drawing/2014/main" id="{D006BEE2-073B-4699-A31E-1755BE2DB0E8}"/>
            </a:ext>
          </a:extLst>
        </xdr:cNvPr>
        <xdr:cNvSpPr>
          <a:spLocks noChangeArrowheads="1"/>
        </xdr:cNvSpPr>
      </xdr:nvSpPr>
      <xdr:spPr bwMode="auto">
        <a:xfrm>
          <a:off x="609600" y="2943225"/>
          <a:ext cx="1504950" cy="361950"/>
        </a:xfrm>
        <a:custGeom>
          <a:avLst/>
          <a:gdLst>
            <a:gd name="G0" fmla="*/ 1 0 0"/>
            <a:gd name="G1" fmla="+- G0 0 13152"/>
            <a:gd name="G2" fmla="*/ 1 0 0"/>
            <a:gd name="G3" fmla="+- 50000 0 13152"/>
            <a:gd name="G4" fmla="?: G3 13152 50000"/>
            <a:gd name="G5" fmla="?: G1 G2 G3"/>
            <a:gd name="G6" fmla="min 4391 995"/>
            <a:gd name="G7" fmla="*/ G6 G5 1"/>
            <a:gd name="G8" fmla="*/ G7 1 34464"/>
            <a:gd name="G9" fmla="+- 4391 0 G8"/>
            <a:gd name="G10" fmla="+- 995 0 G8"/>
            <a:gd name="G11" fmla="*/ G8 29289 1"/>
            <a:gd name="G12" fmla="*/ G11 1 34464"/>
            <a:gd name="G13" fmla="+- 4391 0 G12"/>
            <a:gd name="G14" fmla="+- 995 0 G12"/>
            <a:gd name="G15" fmla="*/ 4391 1 2"/>
            <a:gd name="G16" fmla="*/ 995 1 2"/>
            <a:gd name="G17" fmla="+- 995 0 0"/>
            <a:gd name="G18" fmla="+- 4391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064"/>
              </a:moveTo>
              <a:lnTo>
                <a:pt x="1064" y="1064"/>
              </a:lnTo>
              <a:lnTo>
                <a:pt x="180" y="90"/>
              </a:lnTo>
              <a:lnTo>
                <a:pt x="3327" y="0"/>
              </a:lnTo>
              <a:lnTo>
                <a:pt x="1064" y="1064"/>
              </a:lnTo>
              <a:lnTo>
                <a:pt x="270" y="90"/>
              </a:lnTo>
              <a:lnTo>
                <a:pt x="4391" y="-69"/>
              </a:lnTo>
              <a:lnTo>
                <a:pt x="1064" y="1064"/>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1</xdr:col>
      <xdr:colOff>561975</xdr:colOff>
      <xdr:row>13</xdr:row>
      <xdr:rowOff>19050</xdr:rowOff>
    </xdr:from>
    <xdr:to>
      <xdr:col>3</xdr:col>
      <xdr:colOff>485775</xdr:colOff>
      <xdr:row>14</xdr:row>
      <xdr:rowOff>123825</xdr:rowOff>
    </xdr:to>
    <xdr:sp macro="" textlink="" fLocksText="0">
      <xdr:nvSpPr>
        <xdr:cNvPr id="1053" name="AutoShape 31">
          <a:hlinkClick xmlns:r="http://schemas.openxmlformats.org/officeDocument/2006/relationships" r:id="rId10"/>
          <a:extLst>
            <a:ext uri="{FF2B5EF4-FFF2-40B4-BE49-F238E27FC236}">
              <a16:creationId xmlns:a16="http://schemas.microsoft.com/office/drawing/2014/main" id="{51AA6969-1E58-40C8-9E1B-92CF547B190D}"/>
            </a:ext>
          </a:extLst>
        </xdr:cNvPr>
        <xdr:cNvSpPr>
          <a:spLocks noChangeArrowheads="1"/>
        </xdr:cNvSpPr>
      </xdr:nvSpPr>
      <xdr:spPr bwMode="auto">
        <a:xfrm>
          <a:off x="638175" y="2971800"/>
          <a:ext cx="1447800" cy="295275"/>
        </a:xfrm>
        <a:custGeom>
          <a:avLst/>
          <a:gdLst>
            <a:gd name="G0" fmla="*/ 1 0 0"/>
            <a:gd name="G1" fmla="+- G0 0 13375"/>
            <a:gd name="G2" fmla="*/ 1 0 0"/>
            <a:gd name="G3" fmla="+- 50000 0 13375"/>
            <a:gd name="G4" fmla="?: G3 13375 50000"/>
            <a:gd name="G5" fmla="?: G1 G2 G3"/>
            <a:gd name="G6" fmla="min 4243 825"/>
            <a:gd name="G7" fmla="*/ G6 G5 1"/>
            <a:gd name="G8" fmla="*/ G7 1 34464"/>
            <a:gd name="G9" fmla="+- 4243 0 G8"/>
            <a:gd name="G10" fmla="+- 825 0 G8"/>
            <a:gd name="G11" fmla="*/ G8 29289 1"/>
            <a:gd name="G12" fmla="*/ G11 1 34464"/>
            <a:gd name="G13" fmla="+- 4243 0 G12"/>
            <a:gd name="G14" fmla="+- 825 0 G12"/>
            <a:gd name="G15" fmla="*/ 4243 1 2"/>
            <a:gd name="G16" fmla="*/ 825 1 2"/>
            <a:gd name="G17" fmla="+- 825 0 0"/>
            <a:gd name="G18" fmla="+- 424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877"/>
              </a:moveTo>
              <a:lnTo>
                <a:pt x="877" y="877"/>
              </a:lnTo>
              <a:lnTo>
                <a:pt x="180" y="90"/>
              </a:lnTo>
              <a:lnTo>
                <a:pt x="3366" y="0"/>
              </a:lnTo>
              <a:lnTo>
                <a:pt x="877" y="877"/>
              </a:lnTo>
              <a:lnTo>
                <a:pt x="270" y="90"/>
              </a:lnTo>
              <a:lnTo>
                <a:pt x="4243" y="-52"/>
              </a:lnTo>
              <a:lnTo>
                <a:pt x="877" y="877"/>
              </a:lnTo>
              <a:close/>
            </a:path>
          </a:pathLst>
        </a:custGeom>
        <a:gradFill rotWithShape="0">
          <a:gsLst>
            <a:gs pos="0">
              <a:srgbClr val="4F81BD"/>
            </a:gs>
            <a:gs pos="100000">
              <a:srgbClr val="375A84"/>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Introducción de datos</a:t>
          </a:r>
        </a:p>
      </xdr:txBody>
    </xdr:sp>
    <xdr:clientData/>
  </xdr:twoCellAnchor>
  <xdr:twoCellAnchor>
    <xdr:from>
      <xdr:col>1</xdr:col>
      <xdr:colOff>581025</xdr:colOff>
      <xdr:row>13</xdr:row>
      <xdr:rowOff>38100</xdr:rowOff>
    </xdr:from>
    <xdr:to>
      <xdr:col>1</xdr:col>
      <xdr:colOff>733425</xdr:colOff>
      <xdr:row>13</xdr:row>
      <xdr:rowOff>190500</xdr:rowOff>
    </xdr:to>
    <xdr:sp macro="" textlink="">
      <xdr:nvSpPr>
        <xdr:cNvPr id="1054" name="Freeform 32">
          <a:extLst>
            <a:ext uri="{FF2B5EF4-FFF2-40B4-BE49-F238E27FC236}">
              <a16:creationId xmlns:a16="http://schemas.microsoft.com/office/drawing/2014/main" id="{FB1EF104-FEE2-40BA-B545-AD9D9F8C5C96}"/>
            </a:ext>
          </a:extLst>
        </xdr:cNvPr>
        <xdr:cNvSpPr>
          <a:spLocks noChangeArrowheads="1"/>
        </xdr:cNvSpPr>
      </xdr:nvSpPr>
      <xdr:spPr bwMode="auto">
        <a:xfrm>
          <a:off x="657225" y="2990850"/>
          <a:ext cx="152400" cy="152400"/>
        </a:xfrm>
        <a:custGeom>
          <a:avLst/>
          <a:gdLst>
            <a:gd name="G0" fmla="*/ 65534 445 1"/>
            <a:gd name="G1" fmla="*/ G0 1 596"/>
            <a:gd name="G2" fmla="*/ 1 0 0"/>
            <a:gd name="G3" fmla="*/ G2 423 1"/>
            <a:gd name="G4" fmla="*/ G3 1 598"/>
            <a:gd name="G5" fmla="*/ 1 0 0"/>
            <a:gd name="G6" fmla="*/ G5 445 1"/>
            <a:gd name="G7" fmla="*/ G6 1 596"/>
            <a:gd name="G8" fmla="*/ 65534 423 1"/>
            <a:gd name="G9" fmla="*/ G8 1 598"/>
            <a:gd name="G10" fmla="*/ 1 0 0"/>
            <a:gd name="G11" fmla="*/ G10 445 1"/>
            <a:gd name="G12" fmla="*/ G11 1 596"/>
            <a:gd name="G13" fmla="*/ 65534 423 1"/>
            <a:gd name="G14" fmla="*/ G13 1 598"/>
            <a:gd name="G15" fmla="*/ 65534 445 1"/>
            <a:gd name="G16" fmla="*/ G15 1 596"/>
            <a:gd name="G17" fmla="*/ 65534 423 1"/>
            <a:gd name="G18" fmla="*/ G17 1 598"/>
            <a:gd name="G19" fmla="*/ 65534 445 1"/>
            <a:gd name="G20" fmla="*/ G19 1 596"/>
            <a:gd name="G21" fmla="*/ 1 0 0"/>
            <a:gd name="G22" fmla="*/ G21 423 1"/>
            <a:gd name="G23" fmla="*/ G22 1 598"/>
            <a:gd name="G24" fmla="*/ 65534 445 1"/>
            <a:gd name="G25" fmla="*/ G24 1 596"/>
            <a:gd name="G26" fmla="*/ 1 0 0"/>
            <a:gd name="G27" fmla="*/ G26 423 1"/>
            <a:gd name="G28" fmla="*/ G27 1 598"/>
            <a:gd name="G29" fmla="*/ 1 0 0"/>
            <a:gd name="G30" fmla="*/ 1 0 0"/>
            <a:gd name="G31" fmla="*/ 1 0 0"/>
            <a:gd name="G32" fmla="*/ 1 0 0"/>
            <a:gd name="G33" fmla="*/ 1 0 0"/>
            <a:gd name="G34" fmla="*/ 1 0 0"/>
            <a:gd name="G35" fmla="*/ 1 0 0"/>
            <a:gd name="G36" fmla="*/ G35 445 1"/>
            <a:gd name="G37" fmla="*/ G36 1 596"/>
            <a:gd name="G38" fmla="*/ 1 0 0"/>
            <a:gd name="G39" fmla="*/ G38 423 1"/>
            <a:gd name="G40" fmla="*/ G39 1 598"/>
            <a:gd name="G41" fmla="*/ 596 445 1"/>
            <a:gd name="G42" fmla="*/ G41 1 596"/>
            <a:gd name="G43" fmla="*/ 598 423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276225</xdr:colOff>
      <xdr:row>7</xdr:row>
      <xdr:rowOff>38100</xdr:rowOff>
    </xdr:from>
    <xdr:to>
      <xdr:col>4</xdr:col>
      <xdr:colOff>114300</xdr:colOff>
      <xdr:row>9</xdr:row>
      <xdr:rowOff>123825</xdr:rowOff>
    </xdr:to>
    <xdr:pic>
      <xdr:nvPicPr>
        <xdr:cNvPr id="1055" name="Picture 2012">
          <a:extLst>
            <a:ext uri="{FF2B5EF4-FFF2-40B4-BE49-F238E27FC236}">
              <a16:creationId xmlns:a16="http://schemas.microsoft.com/office/drawing/2014/main" id="{979C8AEE-867D-48BE-ADF4-CA08B12FB89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52425" y="1847850"/>
          <a:ext cx="2124075" cy="466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323850</xdr:colOff>
      <xdr:row>7</xdr:row>
      <xdr:rowOff>85725</xdr:rowOff>
    </xdr:from>
    <xdr:to>
      <xdr:col>4</xdr:col>
      <xdr:colOff>95250</xdr:colOff>
      <xdr:row>9</xdr:row>
      <xdr:rowOff>180975</xdr:rowOff>
    </xdr:to>
    <xdr:sp macro="" textlink="" fLocksText="0">
      <xdr:nvSpPr>
        <xdr:cNvPr id="1056" name="Text Box 2013">
          <a:extLst>
            <a:ext uri="{FF2B5EF4-FFF2-40B4-BE49-F238E27FC236}">
              <a16:creationId xmlns:a16="http://schemas.microsoft.com/office/drawing/2014/main" id="{05AA8D43-7FE5-4BF3-9099-531AF64277D3}"/>
            </a:ext>
          </a:extLst>
        </xdr:cNvPr>
        <xdr:cNvSpPr>
          <a:spLocks noChangeArrowheads="1"/>
        </xdr:cNvSpPr>
      </xdr:nvSpPr>
      <xdr:spPr bwMode="auto">
        <a:xfrm>
          <a:off x="400050" y="1895475"/>
          <a:ext cx="2057400" cy="476250"/>
        </a:xfrm>
        <a:custGeom>
          <a:avLst/>
          <a:gdLst>
            <a:gd name="G0" fmla="*/ 6027 1 2"/>
            <a:gd name="G1" fmla="*/ 1323 1 2"/>
            <a:gd name="G2" fmla="+- 1323 0 0"/>
            <a:gd name="G3" fmla="+- 6027 0 0"/>
          </a:gdLst>
          <a:ahLst/>
          <a:cxnLst>
            <a:cxn ang="0">
              <a:pos x="r" y="vc"/>
            </a:cxn>
            <a:cxn ang="5400000">
              <a:pos x="hc" y="b"/>
            </a:cxn>
            <a:cxn ang="10800000">
              <a:pos x="l" y="vc"/>
            </a:cxn>
            <a:cxn ang="16200000">
              <a:pos x="hc" y="t"/>
            </a:cxn>
          </a:cxnLst>
          <a:rect l="0" t="0" r="0" b="0"/>
          <a:pathLst>
            <a:path>
              <a:moveTo>
                <a:pt x="0" y="0"/>
              </a:moveTo>
              <a:lnTo>
                <a:pt x="6027" y="0"/>
              </a:lnTo>
              <a:lnTo>
                <a:pt x="6027" y="1323"/>
              </a:lnTo>
              <a:lnTo>
                <a:pt x="0" y="1323"/>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l" rtl="0">
            <a:defRPr sz="1000"/>
          </a:pPr>
          <a:r>
            <a:rPr lang="es-SV" sz="1100" b="0" i="0" u="none" strike="noStrike" baseline="0">
              <a:solidFill>
                <a:srgbClr val="000000"/>
              </a:solidFill>
              <a:latin typeface="Arial"/>
              <a:cs typeface="Arial"/>
            </a:rPr>
            <a:t>Información de la subvención</a:t>
          </a:r>
        </a:p>
        <a:p>
          <a:pPr algn="l" rtl="0">
            <a:defRPr sz="1000"/>
          </a:pPr>
          <a:endParaRPr lang="es-SV" sz="1100" b="0" i="0" u="none" strike="noStrike" baseline="0">
            <a:solidFill>
              <a:srgbClr val="000000"/>
            </a:solidFill>
            <a:latin typeface="Arial"/>
            <a:cs typeface="Arial"/>
          </a:endParaRPr>
        </a:p>
      </xdr:txBody>
    </xdr:sp>
    <xdr:clientData/>
  </xdr:twoCellAnchor>
  <xdr:twoCellAnchor>
    <xdr:from>
      <xdr:col>4</xdr:col>
      <xdr:colOff>257175</xdr:colOff>
      <xdr:row>7</xdr:row>
      <xdr:rowOff>38100</xdr:rowOff>
    </xdr:from>
    <xdr:to>
      <xdr:col>7</xdr:col>
      <xdr:colOff>571500</xdr:colOff>
      <xdr:row>9</xdr:row>
      <xdr:rowOff>123825</xdr:rowOff>
    </xdr:to>
    <xdr:pic>
      <xdr:nvPicPr>
        <xdr:cNvPr id="1057" name="Picture 2016">
          <a:extLst>
            <a:ext uri="{FF2B5EF4-FFF2-40B4-BE49-F238E27FC236}">
              <a16:creationId xmlns:a16="http://schemas.microsoft.com/office/drawing/2014/main" id="{923C9501-B9ED-4DBA-A0CB-EC7CAA4F9BD3}"/>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19375" y="1847850"/>
          <a:ext cx="2600325" cy="466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638175</xdr:colOff>
      <xdr:row>7</xdr:row>
      <xdr:rowOff>85725</xdr:rowOff>
    </xdr:from>
    <xdr:to>
      <xdr:col>7</xdr:col>
      <xdr:colOff>304800</xdr:colOff>
      <xdr:row>9</xdr:row>
      <xdr:rowOff>85725</xdr:rowOff>
    </xdr:to>
    <xdr:sp macro="" textlink="" fLocksText="0">
      <xdr:nvSpPr>
        <xdr:cNvPr id="1058" name="Text Box 2017">
          <a:extLst>
            <a:ext uri="{FF2B5EF4-FFF2-40B4-BE49-F238E27FC236}">
              <a16:creationId xmlns:a16="http://schemas.microsoft.com/office/drawing/2014/main" id="{B1C770D2-D651-4B5A-B493-C39F573BAC1A}"/>
            </a:ext>
          </a:extLst>
        </xdr:cNvPr>
        <xdr:cNvSpPr>
          <a:spLocks noChangeArrowheads="1"/>
        </xdr:cNvSpPr>
      </xdr:nvSpPr>
      <xdr:spPr bwMode="auto">
        <a:xfrm>
          <a:off x="3000375" y="1895475"/>
          <a:ext cx="1952625" cy="381000"/>
        </a:xfrm>
        <a:custGeom>
          <a:avLst/>
          <a:gdLst>
            <a:gd name="G0" fmla="*/ 5747 1 2"/>
            <a:gd name="G1" fmla="*/ 1058 1 2"/>
            <a:gd name="G2" fmla="+- 1058 0 0"/>
            <a:gd name="G3" fmla="+- 5747 0 0"/>
          </a:gdLst>
          <a:ahLst/>
          <a:cxnLst>
            <a:cxn ang="0">
              <a:pos x="r" y="vc"/>
            </a:cxn>
            <a:cxn ang="5400000">
              <a:pos x="hc" y="b"/>
            </a:cxn>
            <a:cxn ang="10800000">
              <a:pos x="l" y="vc"/>
            </a:cxn>
            <a:cxn ang="16200000">
              <a:pos x="hc" y="t"/>
            </a:cxn>
          </a:cxnLst>
          <a:rect l="0" t="0" r="0" b="0"/>
          <a:pathLst>
            <a:path>
              <a:moveTo>
                <a:pt x="0" y="0"/>
              </a:moveTo>
              <a:lnTo>
                <a:pt x="5747" y="0"/>
              </a:lnTo>
              <a:lnTo>
                <a:pt x="5747" y="1058"/>
              </a:lnTo>
              <a:lnTo>
                <a:pt x="0" y="1058"/>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s-SV" sz="1200" b="0" i="0" u="none" strike="noStrike" baseline="0">
              <a:solidFill>
                <a:srgbClr val="000000"/>
              </a:solidFill>
              <a:latin typeface="Arial"/>
              <a:cs typeface="Arial"/>
            </a:rPr>
            <a:t>Indicadores</a:t>
          </a:r>
        </a:p>
        <a:p>
          <a:pPr algn="l" rtl="0">
            <a:defRPr sz="1000"/>
          </a:pPr>
          <a:endParaRPr lang="es-SV" sz="1200" b="0" i="0" u="none" strike="noStrike" baseline="0">
            <a:solidFill>
              <a:srgbClr val="000000"/>
            </a:solidFill>
            <a:latin typeface="Arial"/>
            <a:cs typeface="Arial"/>
          </a:endParaRPr>
        </a:p>
      </xdr:txBody>
    </xdr:sp>
    <xdr:clientData/>
  </xdr:twoCellAnchor>
  <xdr:twoCellAnchor>
    <xdr:from>
      <xdr:col>7</xdr:col>
      <xdr:colOff>723900</xdr:colOff>
      <xdr:row>7</xdr:row>
      <xdr:rowOff>66675</xdr:rowOff>
    </xdr:from>
    <xdr:to>
      <xdr:col>11</xdr:col>
      <xdr:colOff>542925</xdr:colOff>
      <xdr:row>9</xdr:row>
      <xdr:rowOff>123825</xdr:rowOff>
    </xdr:to>
    <xdr:pic>
      <xdr:nvPicPr>
        <xdr:cNvPr id="1059" name="Picture 2018">
          <a:extLst>
            <a:ext uri="{FF2B5EF4-FFF2-40B4-BE49-F238E27FC236}">
              <a16:creationId xmlns:a16="http://schemas.microsoft.com/office/drawing/2014/main" id="{ED611BA0-2495-4912-A3A6-C4CE0158161C}"/>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372100" y="1876425"/>
          <a:ext cx="2209800" cy="4381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104775</xdr:colOff>
      <xdr:row>7</xdr:row>
      <xdr:rowOff>85725</xdr:rowOff>
    </xdr:from>
    <xdr:to>
      <xdr:col>11</xdr:col>
      <xdr:colOff>466725</xdr:colOff>
      <xdr:row>9</xdr:row>
      <xdr:rowOff>85725</xdr:rowOff>
    </xdr:to>
    <xdr:sp macro="" textlink="" fLocksText="0">
      <xdr:nvSpPr>
        <xdr:cNvPr id="1060" name="Text Box 2019">
          <a:extLst>
            <a:ext uri="{FF2B5EF4-FFF2-40B4-BE49-F238E27FC236}">
              <a16:creationId xmlns:a16="http://schemas.microsoft.com/office/drawing/2014/main" id="{1C1A8379-FF30-40A0-BD5D-F9200B9CF666}"/>
            </a:ext>
          </a:extLst>
        </xdr:cNvPr>
        <xdr:cNvSpPr>
          <a:spLocks noChangeArrowheads="1"/>
        </xdr:cNvSpPr>
      </xdr:nvSpPr>
      <xdr:spPr bwMode="auto">
        <a:xfrm>
          <a:off x="5514975" y="1895475"/>
          <a:ext cx="1990725" cy="381000"/>
        </a:xfrm>
        <a:custGeom>
          <a:avLst/>
          <a:gdLst>
            <a:gd name="G0" fmla="*/ 5860 1 2"/>
            <a:gd name="G1" fmla="*/ 1058 1 2"/>
            <a:gd name="G2" fmla="+- 1058 0 0"/>
            <a:gd name="G3" fmla="+- 5860 0 0"/>
          </a:gdLst>
          <a:ahLst/>
          <a:cxnLst>
            <a:cxn ang="0">
              <a:pos x="r" y="vc"/>
            </a:cxn>
            <a:cxn ang="5400000">
              <a:pos x="hc" y="b"/>
            </a:cxn>
            <a:cxn ang="10800000">
              <a:pos x="l" y="vc"/>
            </a:cxn>
            <a:cxn ang="16200000">
              <a:pos x="hc" y="t"/>
            </a:cxn>
          </a:cxnLst>
          <a:rect l="0" t="0" r="0" b="0"/>
          <a:pathLst>
            <a:path>
              <a:moveTo>
                <a:pt x="0" y="0"/>
              </a:moveTo>
              <a:lnTo>
                <a:pt x="5860" y="0"/>
              </a:lnTo>
              <a:lnTo>
                <a:pt x="5860" y="1058"/>
              </a:lnTo>
              <a:lnTo>
                <a:pt x="0" y="1058"/>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s-SV" sz="1200" b="0" i="0" u="none" strike="noStrike" baseline="0">
              <a:solidFill>
                <a:srgbClr val="000000"/>
              </a:solidFill>
              <a:latin typeface="Arial"/>
              <a:cs typeface="Arial"/>
            </a:rPr>
            <a:t>Informes</a:t>
          </a:r>
        </a:p>
        <a:p>
          <a:pPr algn="l" rtl="0">
            <a:defRPr sz="1000"/>
          </a:pPr>
          <a:endParaRPr lang="es-SV" sz="1200" b="0" i="0" u="none" strike="noStrike" baseline="0">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1</xdr:row>
      <xdr:rowOff>57150</xdr:rowOff>
    </xdr:from>
    <xdr:to>
      <xdr:col>1</xdr:col>
      <xdr:colOff>152400</xdr:colOff>
      <xdr:row>4</xdr:row>
      <xdr:rowOff>66675</xdr:rowOff>
    </xdr:to>
    <xdr:pic>
      <xdr:nvPicPr>
        <xdr:cNvPr id="10241" name="Picture 2">
          <a:extLst>
            <a:ext uri="{FF2B5EF4-FFF2-40B4-BE49-F238E27FC236}">
              <a16:creationId xmlns:a16="http://schemas.microsoft.com/office/drawing/2014/main" id="{AA138177-F9B0-4A11-85C0-11D4E06C00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47650"/>
          <a:ext cx="752475" cy="981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1123950</xdr:colOff>
      <xdr:row>0</xdr:row>
      <xdr:rowOff>419100</xdr:rowOff>
    </xdr:to>
    <xdr:sp macro="" textlink="" fLocksText="0">
      <xdr:nvSpPr>
        <xdr:cNvPr id="2049" name="AutoShape 50">
          <a:hlinkClick xmlns:r="http://schemas.openxmlformats.org/officeDocument/2006/relationships" r:id="rId1"/>
          <a:extLst>
            <a:ext uri="{FF2B5EF4-FFF2-40B4-BE49-F238E27FC236}">
              <a16:creationId xmlns:a16="http://schemas.microsoft.com/office/drawing/2014/main" id="{8CC3A5C1-9EC5-4035-82C5-2738122ECE7F}"/>
            </a:ext>
          </a:extLst>
        </xdr:cNvPr>
        <xdr:cNvSpPr>
          <a:spLocks noChangeArrowheads="1"/>
        </xdr:cNvSpPr>
      </xdr:nvSpPr>
      <xdr:spPr bwMode="auto">
        <a:xfrm>
          <a:off x="47625" y="19050"/>
          <a:ext cx="1247775" cy="400050"/>
        </a:xfrm>
        <a:custGeom>
          <a:avLst/>
          <a:gdLst>
            <a:gd name="G0" fmla="min 3658 1117"/>
            <a:gd name="G1" fmla="*/ 34464 3658 1"/>
            <a:gd name="G2" fmla="*/ G1 1 G0"/>
            <a:gd name="G3" fmla="*/ 1 0 0"/>
            <a:gd name="G4" fmla="+- G3 0 50000"/>
            <a:gd name="G5" fmla="*/ 1 0 0"/>
            <a:gd name="G6" fmla="+- 34464 0 50000"/>
            <a:gd name="G7" fmla="?: G6 50000 34464"/>
            <a:gd name="G8" fmla="?: G4 G5 G6"/>
            <a:gd name="G9" fmla="*/ 1 0 0"/>
            <a:gd name="G10" fmla="+- G9 0 77907"/>
            <a:gd name="G11" fmla="*/ 1 0 0"/>
            <a:gd name="G12" fmla="+- G2 0 77907"/>
            <a:gd name="G13" fmla="?: G12 77907 G2"/>
            <a:gd name="G14" fmla="?: G10 G11 G12"/>
            <a:gd name="G15" fmla="*/ G0 G14 1"/>
            <a:gd name="G16" fmla="*/ G15 1 34464"/>
            <a:gd name="G17" fmla="*/ 1 0 0"/>
            <a:gd name="G18" fmla="+- G16 0 G17"/>
            <a:gd name="G19" fmla="*/ 1117 G8 1"/>
            <a:gd name="G20" fmla="*/ G19 1 3392"/>
            <a:gd name="G21" fmla="*/ 1117 1 2"/>
            <a:gd name="G22" fmla="+- G21 0 G20"/>
            <a:gd name="G23" fmla="+- G21 G20 0"/>
            <a:gd name="G24" fmla="*/ 1 0 0"/>
            <a:gd name="G25" fmla="+- G23 0 G24"/>
            <a:gd name="G26" fmla="*/ 1117 1 2"/>
            <a:gd name="G27" fmla="*/ G22 G16 1"/>
            <a:gd name="G28" fmla="*/ G27 1 G26"/>
            <a:gd name="G29" fmla="+- G18 0 G28"/>
            <a:gd name="G30" fmla="+- 3658 0 0"/>
            <a:gd name="G31" fmla="+- 1117 0 0"/>
          </a:gdLst>
          <a:ahLst/>
          <a:cxnLst>
            <a:cxn ang="0">
              <a:pos x="r" y="vc"/>
            </a:cxn>
            <a:cxn ang="5400000">
              <a:pos x="hc" y="b"/>
            </a:cxn>
            <a:cxn ang="10800000">
              <a:pos x="l" y="vc"/>
            </a:cxn>
            <a:cxn ang="16200000">
              <a:pos x="hc" y="t"/>
            </a:cxn>
          </a:cxnLst>
          <a:rect l="0" t="0" r="0" b="0"/>
          <a:pathLst>
            <a:path>
              <a:moveTo>
                <a:pt x="0" y="559"/>
              </a:moveTo>
              <a:lnTo>
                <a:pt x="1132" y="0"/>
              </a:lnTo>
              <a:lnTo>
                <a:pt x="1132" y="5675"/>
              </a:lnTo>
              <a:lnTo>
                <a:pt x="3658" y="5675"/>
              </a:lnTo>
              <a:lnTo>
                <a:pt x="3658" y="-4558"/>
              </a:lnTo>
              <a:lnTo>
                <a:pt x="1132" y="-4558"/>
              </a:lnTo>
              <a:lnTo>
                <a:pt x="1132" y="1117"/>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161925</xdr:colOff>
      <xdr:row>29</xdr:row>
      <xdr:rowOff>276225</xdr:rowOff>
    </xdr:from>
    <xdr:to>
      <xdr:col>6</xdr:col>
      <xdr:colOff>161925</xdr:colOff>
      <xdr:row>39</xdr:row>
      <xdr:rowOff>95250</xdr:rowOff>
    </xdr:to>
    <xdr:sp macro="" textlink="">
      <xdr:nvSpPr>
        <xdr:cNvPr id="3075" name="AutoShape 100">
          <a:extLst>
            <a:ext uri="{FF2B5EF4-FFF2-40B4-BE49-F238E27FC236}">
              <a16:creationId xmlns:a16="http://schemas.microsoft.com/office/drawing/2014/main" id="{D074DB7D-1774-49C1-8D79-7A20D40EFA13}"/>
            </a:ext>
          </a:extLst>
        </xdr:cNvPr>
        <xdr:cNvSpPr>
          <a:spLocks noChangeShapeType="1"/>
        </xdr:cNvSpPr>
      </xdr:nvSpPr>
      <xdr:spPr bwMode="auto">
        <a:xfrm flipH="1">
          <a:off x="11963400" y="4524375"/>
          <a:ext cx="0" cy="2305050"/>
        </a:xfrm>
        <a:prstGeom prst="straightConnector1">
          <a:avLst/>
        </a:prstGeom>
        <a:noFill/>
        <a:ln w="9360">
          <a:solidFill>
            <a:srgbClr val="000000"/>
          </a:solidFill>
          <a:miter lim="800000"/>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19050</xdr:colOff>
      <xdr:row>0</xdr:row>
      <xdr:rowOff>0</xdr:rowOff>
    </xdr:from>
    <xdr:to>
      <xdr:col>1</xdr:col>
      <xdr:colOff>942975</xdr:colOff>
      <xdr:row>0</xdr:row>
      <xdr:rowOff>333375</xdr:rowOff>
    </xdr:to>
    <xdr:sp macro="" textlink="" fLocksText="0">
      <xdr:nvSpPr>
        <xdr:cNvPr id="3076" name="AutoShape 50">
          <a:hlinkClick xmlns:r="http://schemas.openxmlformats.org/officeDocument/2006/relationships" r:id="rId1"/>
          <a:extLst>
            <a:ext uri="{FF2B5EF4-FFF2-40B4-BE49-F238E27FC236}">
              <a16:creationId xmlns:a16="http://schemas.microsoft.com/office/drawing/2014/main" id="{DF3ADE59-FEAB-4142-8BD5-0392875BE99F}"/>
            </a:ext>
          </a:extLst>
        </xdr:cNvPr>
        <xdr:cNvSpPr>
          <a:spLocks noChangeArrowheads="1"/>
        </xdr:cNvSpPr>
      </xdr:nvSpPr>
      <xdr:spPr bwMode="auto">
        <a:xfrm>
          <a:off x="190500" y="0"/>
          <a:ext cx="923925" cy="333375"/>
        </a:xfrm>
        <a:custGeom>
          <a:avLst/>
          <a:gdLst>
            <a:gd name="G0" fmla="min 2711 926"/>
            <a:gd name="G1" fmla="*/ 34464 2711 1"/>
            <a:gd name="G2" fmla="*/ G1 1 G0"/>
            <a:gd name="G3" fmla="*/ 1 0 0"/>
            <a:gd name="G4" fmla="+- G3 0 50000"/>
            <a:gd name="G5" fmla="*/ 1 0 0"/>
            <a:gd name="G6" fmla="+- 34464 0 50000"/>
            <a:gd name="G7" fmla="?: G6 50000 34464"/>
            <a:gd name="G8" fmla="?: G4 G5 G6"/>
            <a:gd name="G9" fmla="*/ 1 0 0"/>
            <a:gd name="G10" fmla="+- G9 0 79711"/>
            <a:gd name="G11" fmla="*/ 1 0 0"/>
            <a:gd name="G12" fmla="+- G2 0 79711"/>
            <a:gd name="G13" fmla="?: G12 79711 G2"/>
            <a:gd name="G14" fmla="?: G10 G11 G12"/>
            <a:gd name="G15" fmla="*/ G0 G14 1"/>
            <a:gd name="G16" fmla="*/ G15 1 34464"/>
            <a:gd name="G17" fmla="*/ 1 0 0"/>
            <a:gd name="G18" fmla="+- G16 0 G17"/>
            <a:gd name="G19" fmla="*/ 926 G8 1"/>
            <a:gd name="G20" fmla="*/ G19 1 3392"/>
            <a:gd name="G21" fmla="*/ 926 1 2"/>
            <a:gd name="G22" fmla="+- G21 0 G20"/>
            <a:gd name="G23" fmla="+- G21 G20 0"/>
            <a:gd name="G24" fmla="*/ 1 0 0"/>
            <a:gd name="G25" fmla="+- G23 0 G24"/>
            <a:gd name="G26" fmla="*/ 926 1 2"/>
            <a:gd name="G27" fmla="*/ G22 G16 1"/>
            <a:gd name="G28" fmla="*/ G27 1 G26"/>
            <a:gd name="G29" fmla="+- G18 0 G28"/>
            <a:gd name="G30" fmla="+- 2711 0 0"/>
            <a:gd name="G31" fmla="+- 926 0 0"/>
          </a:gdLst>
          <a:ahLst/>
          <a:cxnLst>
            <a:cxn ang="0">
              <a:pos x="r" y="vc"/>
            </a:cxn>
            <a:cxn ang="5400000">
              <a:pos x="hc" y="b"/>
            </a:cxn>
            <a:cxn ang="10800000">
              <a:pos x="l" y="vc"/>
            </a:cxn>
            <a:cxn ang="16200000">
              <a:pos x="hc" y="t"/>
            </a:cxn>
          </a:cxnLst>
          <a:rect l="0" t="0" r="0" b="0"/>
          <a:pathLst>
            <a:path>
              <a:moveTo>
                <a:pt x="0" y="463"/>
              </a:moveTo>
              <a:lnTo>
                <a:pt x="568" y="0"/>
              </a:lnTo>
              <a:lnTo>
                <a:pt x="568" y="4704"/>
              </a:lnTo>
              <a:lnTo>
                <a:pt x="2711" y="4704"/>
              </a:lnTo>
              <a:lnTo>
                <a:pt x="2711" y="-3779"/>
              </a:lnTo>
              <a:lnTo>
                <a:pt x="568" y="-3779"/>
              </a:lnTo>
              <a:lnTo>
                <a:pt x="568" y="926"/>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twoCellAnchor>
    <xdr:from>
      <xdr:col>2</xdr:col>
      <xdr:colOff>1200150</xdr:colOff>
      <xdr:row>49</xdr:row>
      <xdr:rowOff>28575</xdr:rowOff>
    </xdr:from>
    <xdr:to>
      <xdr:col>6</xdr:col>
      <xdr:colOff>971550</xdr:colOff>
      <xdr:row>50</xdr:row>
      <xdr:rowOff>38100</xdr:rowOff>
    </xdr:to>
    <xdr:grpSp>
      <xdr:nvGrpSpPr>
        <xdr:cNvPr id="3077" name="Group 5">
          <a:extLst>
            <a:ext uri="{FF2B5EF4-FFF2-40B4-BE49-F238E27FC236}">
              <a16:creationId xmlns:a16="http://schemas.microsoft.com/office/drawing/2014/main" id="{F2EE299B-E3A8-4707-ADA7-307BE5B37359}"/>
            </a:ext>
          </a:extLst>
        </xdr:cNvPr>
        <xdr:cNvGrpSpPr>
          <a:grpSpLocks/>
        </xdr:cNvGrpSpPr>
      </xdr:nvGrpSpPr>
      <xdr:grpSpPr bwMode="auto">
        <a:xfrm>
          <a:off x="7927181" y="9232106"/>
          <a:ext cx="5045869" cy="200025"/>
          <a:chOff x="13221" y="13635"/>
          <a:chExt cx="8060" cy="312"/>
        </a:xfrm>
      </xdr:grpSpPr>
      <xdr:sp macro="" textlink="">
        <xdr:nvSpPr>
          <xdr:cNvPr id="3078" name="AutoShape 100">
            <a:extLst>
              <a:ext uri="{FF2B5EF4-FFF2-40B4-BE49-F238E27FC236}">
                <a16:creationId xmlns:a16="http://schemas.microsoft.com/office/drawing/2014/main" id="{539CC887-93EA-4930-93E0-34F5C8BE33EA}"/>
              </a:ext>
            </a:extLst>
          </xdr:cNvPr>
          <xdr:cNvSpPr>
            <a:spLocks noChangeShapeType="1"/>
          </xdr:cNvSpPr>
        </xdr:nvSpPr>
        <xdr:spPr bwMode="auto">
          <a:xfrm>
            <a:off x="13242" y="13928"/>
            <a:ext cx="8033" cy="1"/>
          </a:xfrm>
          <a:prstGeom prst="straightConnector1">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9" name="Straight Connector 16">
            <a:extLst>
              <a:ext uri="{FF2B5EF4-FFF2-40B4-BE49-F238E27FC236}">
                <a16:creationId xmlns:a16="http://schemas.microsoft.com/office/drawing/2014/main" id="{4774AE6E-02F1-43B8-B489-93ADBA13F7D5}"/>
              </a:ext>
            </a:extLst>
          </xdr:cNvPr>
          <xdr:cNvSpPr>
            <a:spLocks noChangeShapeType="1"/>
          </xdr:cNvSpPr>
        </xdr:nvSpPr>
        <xdr:spPr bwMode="auto">
          <a:xfrm flipV="1">
            <a:off x="13221" y="13635"/>
            <a:ext cx="0" cy="28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80" name="Straight Connector 17">
            <a:extLst>
              <a:ext uri="{FF2B5EF4-FFF2-40B4-BE49-F238E27FC236}">
                <a16:creationId xmlns:a16="http://schemas.microsoft.com/office/drawing/2014/main" id="{51202865-EEA6-4C1D-8AF7-CE688B78A002}"/>
              </a:ext>
            </a:extLst>
          </xdr:cNvPr>
          <xdr:cNvSpPr>
            <a:spLocks noChangeShapeType="1"/>
          </xdr:cNvSpPr>
        </xdr:nvSpPr>
        <xdr:spPr bwMode="auto">
          <a:xfrm flipV="1">
            <a:off x="21282" y="13661"/>
            <a:ext cx="0" cy="28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1</xdr:row>
      <xdr:rowOff>314325</xdr:rowOff>
    </xdr:from>
    <xdr:to>
      <xdr:col>0</xdr:col>
      <xdr:colOff>1162050</xdr:colOff>
      <xdr:row>2</xdr:row>
      <xdr:rowOff>447675</xdr:rowOff>
    </xdr:to>
    <xdr:sp macro="" textlink="" fLocksText="0">
      <xdr:nvSpPr>
        <xdr:cNvPr id="4097" name="Rectangle 117">
          <a:hlinkClick xmlns:r="http://schemas.openxmlformats.org/officeDocument/2006/relationships" r:id="rId1"/>
          <a:extLst>
            <a:ext uri="{FF2B5EF4-FFF2-40B4-BE49-F238E27FC236}">
              <a16:creationId xmlns:a16="http://schemas.microsoft.com/office/drawing/2014/main" id="{F822478D-4F68-4146-BCFE-3FFFA4AE37ED}"/>
            </a:ext>
          </a:extLst>
        </xdr:cNvPr>
        <xdr:cNvSpPr>
          <a:spLocks noChangeArrowheads="1"/>
        </xdr:cNvSpPr>
      </xdr:nvSpPr>
      <xdr:spPr bwMode="auto">
        <a:xfrm>
          <a:off x="228600" y="581025"/>
          <a:ext cx="933450" cy="457200"/>
        </a:xfrm>
        <a:custGeom>
          <a:avLst/>
          <a:gdLst>
            <a:gd name="G0" fmla="*/ 2762 1 2"/>
            <a:gd name="G1" fmla="*/ 1265 1 2"/>
            <a:gd name="G2" fmla="+- 1265 0 0"/>
            <a:gd name="G3" fmla="+- 2762 0 0"/>
          </a:gdLst>
          <a:ahLst/>
          <a:cxnLst>
            <a:cxn ang="0">
              <a:pos x="r" y="vc"/>
            </a:cxn>
            <a:cxn ang="5400000">
              <a:pos x="hc" y="b"/>
            </a:cxn>
            <a:cxn ang="10800000">
              <a:pos x="l" y="vc"/>
            </a:cxn>
            <a:cxn ang="16200000">
              <a:pos x="hc" y="t"/>
            </a:cxn>
          </a:cxnLst>
          <a:rect l="0" t="0" r="0" b="0"/>
          <a:pathLst>
            <a:path>
              <a:moveTo>
                <a:pt x="0" y="0"/>
              </a:moveTo>
              <a:lnTo>
                <a:pt x="2762" y="0"/>
              </a:lnTo>
              <a:lnTo>
                <a:pt x="2762" y="1265"/>
              </a:lnTo>
              <a:lnTo>
                <a:pt x="0" y="1265"/>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0" bIns="0" anchor="t"/>
        <a:lstStyle/>
        <a:p>
          <a:pPr algn="l" rtl="0">
            <a:defRPr sz="1000"/>
          </a:pPr>
          <a:r>
            <a:rPr lang="es-SV" sz="900" b="0" i="0" u="none" strike="noStrike" baseline="0">
              <a:solidFill>
                <a:srgbClr val="000000"/>
              </a:solidFill>
              <a:latin typeface="Calibri"/>
              <a:cs typeface="Calibri"/>
            </a:rPr>
            <a:t>http://www.crwflags.com/fotw/flags/country.html</a:t>
          </a:r>
        </a:p>
      </xdr:txBody>
    </xdr:sp>
    <xdr:clientData/>
  </xdr:twoCellAnchor>
  <xdr:twoCellAnchor>
    <xdr:from>
      <xdr:col>0</xdr:col>
      <xdr:colOff>114300</xdr:colOff>
      <xdr:row>0</xdr:row>
      <xdr:rowOff>28575</xdr:rowOff>
    </xdr:from>
    <xdr:to>
      <xdr:col>0</xdr:col>
      <xdr:colOff>1000125</xdr:colOff>
      <xdr:row>1</xdr:row>
      <xdr:rowOff>104775</xdr:rowOff>
    </xdr:to>
    <xdr:sp macro="" textlink="" fLocksText="0">
      <xdr:nvSpPr>
        <xdr:cNvPr id="4098" name="AutoShape 50">
          <a:hlinkClick xmlns:r="http://schemas.openxmlformats.org/officeDocument/2006/relationships" r:id="rId2"/>
          <a:extLst>
            <a:ext uri="{FF2B5EF4-FFF2-40B4-BE49-F238E27FC236}">
              <a16:creationId xmlns:a16="http://schemas.microsoft.com/office/drawing/2014/main" id="{8036BF29-0CB6-45F5-BF94-4E83E8C2C8FB}"/>
            </a:ext>
          </a:extLst>
        </xdr:cNvPr>
        <xdr:cNvSpPr>
          <a:spLocks noChangeArrowheads="1"/>
        </xdr:cNvSpPr>
      </xdr:nvSpPr>
      <xdr:spPr bwMode="auto">
        <a:xfrm>
          <a:off x="114300" y="28575"/>
          <a:ext cx="885825" cy="342900"/>
        </a:xfrm>
        <a:custGeom>
          <a:avLst/>
          <a:gdLst>
            <a:gd name="G0" fmla="min 2599 952"/>
            <a:gd name="G1" fmla="*/ 34464 2599 1"/>
            <a:gd name="G2" fmla="*/ G1 1 G0"/>
            <a:gd name="G3" fmla="*/ 1 0 0"/>
            <a:gd name="G4" fmla="+- G3 0 50000"/>
            <a:gd name="G5" fmla="*/ 1 0 0"/>
            <a:gd name="G6" fmla="+- 34464 0 50000"/>
            <a:gd name="G7" fmla="?: G6 50000 34464"/>
            <a:gd name="G8" fmla="?: G4 G5 G6"/>
            <a:gd name="G9" fmla="*/ 1 0 0"/>
            <a:gd name="G10" fmla="+- G9 0 74365"/>
            <a:gd name="G11" fmla="*/ 1 0 0"/>
            <a:gd name="G12" fmla="+- G2 0 74365"/>
            <a:gd name="G13" fmla="?: G12 74365 G2"/>
            <a:gd name="G14" fmla="?: G10 G11 G12"/>
            <a:gd name="G15" fmla="*/ G0 G14 1"/>
            <a:gd name="G16" fmla="*/ G15 1 34464"/>
            <a:gd name="G17" fmla="*/ 1 0 0"/>
            <a:gd name="G18" fmla="+- G16 0 G17"/>
            <a:gd name="G19" fmla="*/ 952 G8 1"/>
            <a:gd name="G20" fmla="*/ G19 1 3392"/>
            <a:gd name="G21" fmla="*/ 952 1 2"/>
            <a:gd name="G22" fmla="+- G21 0 G20"/>
            <a:gd name="G23" fmla="+- G21 G20 0"/>
            <a:gd name="G24" fmla="*/ 1 0 0"/>
            <a:gd name="G25" fmla="+- G23 0 G24"/>
            <a:gd name="G26" fmla="*/ 952 1 2"/>
            <a:gd name="G27" fmla="*/ G22 G16 1"/>
            <a:gd name="G28" fmla="*/ G27 1 G26"/>
            <a:gd name="G29" fmla="+- G18 0 G28"/>
            <a:gd name="G30" fmla="+- 2599 0 0"/>
            <a:gd name="G31" fmla="+- 952 0 0"/>
          </a:gdLst>
          <a:ahLst/>
          <a:cxnLst>
            <a:cxn ang="0">
              <a:pos x="r" y="vc"/>
            </a:cxn>
            <a:cxn ang="5400000">
              <a:pos x="hc" y="b"/>
            </a:cxn>
            <a:cxn ang="10800000">
              <a:pos x="l" y="vc"/>
            </a:cxn>
            <a:cxn ang="16200000">
              <a:pos x="hc" y="t"/>
            </a:cxn>
          </a:cxnLst>
          <a:rect l="0" t="0" r="0" b="0"/>
          <a:pathLst>
            <a:path>
              <a:moveTo>
                <a:pt x="0" y="476"/>
              </a:moveTo>
              <a:lnTo>
                <a:pt x="544" y="0"/>
              </a:lnTo>
              <a:lnTo>
                <a:pt x="544" y="4836"/>
              </a:lnTo>
              <a:lnTo>
                <a:pt x="2599" y="4836"/>
              </a:lnTo>
              <a:lnTo>
                <a:pt x="2599" y="-3885"/>
              </a:lnTo>
              <a:lnTo>
                <a:pt x="544" y="-3885"/>
              </a:lnTo>
              <a:lnTo>
                <a:pt x="544" y="952"/>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twoCellAnchor>
    <xdr:from>
      <xdr:col>0</xdr:col>
      <xdr:colOff>247650</xdr:colOff>
      <xdr:row>1</xdr:row>
      <xdr:rowOff>266700</xdr:rowOff>
    </xdr:from>
    <xdr:to>
      <xdr:col>0</xdr:col>
      <xdr:colOff>1200150</xdr:colOff>
      <xdr:row>3</xdr:row>
      <xdr:rowOff>38100</xdr:rowOff>
    </xdr:to>
    <xdr:pic>
      <xdr:nvPicPr>
        <xdr:cNvPr id="4099" name="Picture 711">
          <a:extLst>
            <a:ext uri="{FF2B5EF4-FFF2-40B4-BE49-F238E27FC236}">
              <a16:creationId xmlns:a16="http://schemas.microsoft.com/office/drawing/2014/main" id="{209B8E24-543C-47C8-82E0-43BE62C1C51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7650" y="533400"/>
          <a:ext cx="952500" cy="5524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73367</xdr:colOff>
      <xdr:row>9</xdr:row>
      <xdr:rowOff>66675</xdr:rowOff>
    </xdr:from>
    <xdr:to>
      <xdr:col>7</xdr:col>
      <xdr:colOff>161924</xdr:colOff>
      <xdr:row>21</xdr:row>
      <xdr:rowOff>123825</xdr:rowOff>
    </xdr:to>
    <xdr:graphicFrame macro="">
      <xdr:nvGraphicFramePr>
        <xdr:cNvPr id="5121" name="Gráfico 1">
          <a:extLst>
            <a:ext uri="{FF2B5EF4-FFF2-40B4-BE49-F238E27FC236}">
              <a16:creationId xmlns:a16="http://schemas.microsoft.com/office/drawing/2014/main" id="{A2CB781A-D050-45BE-9972-2ADA1B52A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47626</xdr:colOff>
      <xdr:row>9</xdr:row>
      <xdr:rowOff>57150</xdr:rowOff>
    </xdr:from>
    <xdr:to>
      <xdr:col>14</xdr:col>
      <xdr:colOff>1</xdr:colOff>
      <xdr:row>20</xdr:row>
      <xdr:rowOff>66675</xdr:rowOff>
    </xdr:to>
    <xdr:graphicFrame macro="">
      <xdr:nvGraphicFramePr>
        <xdr:cNvPr id="5122" name="Gráfico 2">
          <a:extLst>
            <a:ext uri="{FF2B5EF4-FFF2-40B4-BE49-F238E27FC236}">
              <a16:creationId xmlns:a16="http://schemas.microsoft.com/office/drawing/2014/main" id="{76FB7CF9-C1F5-452D-8F02-2D6B149780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0</xdr:row>
      <xdr:rowOff>0</xdr:rowOff>
    </xdr:from>
    <xdr:to>
      <xdr:col>1</xdr:col>
      <xdr:colOff>714375</xdr:colOff>
      <xdr:row>0</xdr:row>
      <xdr:rowOff>333375</xdr:rowOff>
    </xdr:to>
    <xdr:sp macro="" textlink="" fLocksText="0">
      <xdr:nvSpPr>
        <xdr:cNvPr id="5123" name="AutoShape 50">
          <a:hlinkClick xmlns:r="http://schemas.openxmlformats.org/officeDocument/2006/relationships" r:id="rId3"/>
          <a:extLst>
            <a:ext uri="{FF2B5EF4-FFF2-40B4-BE49-F238E27FC236}">
              <a16:creationId xmlns:a16="http://schemas.microsoft.com/office/drawing/2014/main" id="{7131276E-CDF1-421E-A651-60791F601C53}"/>
            </a:ext>
          </a:extLst>
        </xdr:cNvPr>
        <xdr:cNvSpPr>
          <a:spLocks noChangeArrowheads="1"/>
        </xdr:cNvSpPr>
      </xdr:nvSpPr>
      <xdr:spPr bwMode="auto">
        <a:xfrm>
          <a:off x="28575" y="0"/>
          <a:ext cx="914400" cy="333375"/>
        </a:xfrm>
        <a:custGeom>
          <a:avLst/>
          <a:gdLst>
            <a:gd name="G0" fmla="min 2692 926"/>
            <a:gd name="G1" fmla="*/ 34464 2692 1"/>
            <a:gd name="G2" fmla="*/ G1 1 G0"/>
            <a:gd name="G3" fmla="*/ 1 0 0"/>
            <a:gd name="G4" fmla="+- G3 0 50000"/>
            <a:gd name="G5" fmla="*/ 1 0 0"/>
            <a:gd name="G6" fmla="+- 34464 0 50000"/>
            <a:gd name="G7" fmla="?: G6 50000 34464"/>
            <a:gd name="G8" fmla="?: G4 G5 G6"/>
            <a:gd name="G9" fmla="*/ 1 0 0"/>
            <a:gd name="G10" fmla="+- G9 0 78906"/>
            <a:gd name="G11" fmla="*/ 1 0 0"/>
            <a:gd name="G12" fmla="+- G2 0 78906"/>
            <a:gd name="G13" fmla="?: G12 78906 G2"/>
            <a:gd name="G14" fmla="?: G10 G11 G12"/>
            <a:gd name="G15" fmla="*/ G0 G14 1"/>
            <a:gd name="G16" fmla="*/ G15 1 34464"/>
            <a:gd name="G17" fmla="*/ 1 0 0"/>
            <a:gd name="G18" fmla="+- G16 0 G17"/>
            <a:gd name="G19" fmla="*/ 926 G8 1"/>
            <a:gd name="G20" fmla="*/ G19 1 3392"/>
            <a:gd name="G21" fmla="*/ 926 1 2"/>
            <a:gd name="G22" fmla="+- G21 0 G20"/>
            <a:gd name="G23" fmla="+- G21 G20 0"/>
            <a:gd name="G24" fmla="*/ 1 0 0"/>
            <a:gd name="G25" fmla="+- G23 0 G24"/>
            <a:gd name="G26" fmla="*/ 926 1 2"/>
            <a:gd name="G27" fmla="*/ G22 G16 1"/>
            <a:gd name="G28" fmla="*/ G27 1 G26"/>
            <a:gd name="G29" fmla="+- G18 0 G28"/>
            <a:gd name="G30" fmla="+- 2692 0 0"/>
            <a:gd name="G31" fmla="+- 926 0 0"/>
          </a:gdLst>
          <a:ahLst/>
          <a:cxnLst>
            <a:cxn ang="0">
              <a:pos x="r" y="vc"/>
            </a:cxn>
            <a:cxn ang="5400000">
              <a:pos x="hc" y="b"/>
            </a:cxn>
            <a:cxn ang="10800000">
              <a:pos x="l" y="vc"/>
            </a:cxn>
            <a:cxn ang="16200000">
              <a:pos x="hc" y="t"/>
            </a:cxn>
          </a:cxnLst>
          <a:rect l="0" t="0" r="0" b="0"/>
          <a:pathLst>
            <a:path>
              <a:moveTo>
                <a:pt x="0" y="463"/>
              </a:moveTo>
              <a:lnTo>
                <a:pt x="571" y="0"/>
              </a:lnTo>
              <a:lnTo>
                <a:pt x="571" y="4704"/>
              </a:lnTo>
              <a:lnTo>
                <a:pt x="2692" y="4704"/>
              </a:lnTo>
              <a:lnTo>
                <a:pt x="2692" y="-3779"/>
              </a:lnTo>
              <a:lnTo>
                <a:pt x="571" y="-3779"/>
              </a:lnTo>
              <a:lnTo>
                <a:pt x="571" y="926"/>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twoCellAnchor>
    <xdr:from>
      <xdr:col>13</xdr:col>
      <xdr:colOff>942975</xdr:colOff>
      <xdr:row>9</xdr:row>
      <xdr:rowOff>85725</xdr:rowOff>
    </xdr:from>
    <xdr:to>
      <xdr:col>22</xdr:col>
      <xdr:colOff>123825</xdr:colOff>
      <xdr:row>22</xdr:row>
      <xdr:rowOff>409575</xdr:rowOff>
    </xdr:to>
    <xdr:graphicFrame macro="">
      <xdr:nvGraphicFramePr>
        <xdr:cNvPr id="5124" name="Gráfico 4">
          <a:extLst>
            <a:ext uri="{FF2B5EF4-FFF2-40B4-BE49-F238E27FC236}">
              <a16:creationId xmlns:a16="http://schemas.microsoft.com/office/drawing/2014/main" id="{5D8B9C49-D29D-4BF1-A606-4BFBE857A1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23</xdr:row>
      <xdr:rowOff>47624</xdr:rowOff>
    </xdr:from>
    <xdr:to>
      <xdr:col>6</xdr:col>
      <xdr:colOff>371475</xdr:colOff>
      <xdr:row>33</xdr:row>
      <xdr:rowOff>133349</xdr:rowOff>
    </xdr:to>
    <xdr:graphicFrame macro="">
      <xdr:nvGraphicFramePr>
        <xdr:cNvPr id="5125" name="Gráfico 5">
          <a:extLst>
            <a:ext uri="{FF2B5EF4-FFF2-40B4-BE49-F238E27FC236}">
              <a16:creationId xmlns:a16="http://schemas.microsoft.com/office/drawing/2014/main" id="{BBCF7714-9BD0-47CD-B4DC-C4FBE27BEC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34</xdr:row>
      <xdr:rowOff>0</xdr:rowOff>
    </xdr:from>
    <xdr:to>
      <xdr:col>7</xdr:col>
      <xdr:colOff>461878</xdr:colOff>
      <xdr:row>44</xdr:row>
      <xdr:rowOff>131240</xdr:rowOff>
    </xdr:to>
    <xdr:pic>
      <xdr:nvPicPr>
        <xdr:cNvPr id="5" name="Imagen 4">
          <a:extLst>
            <a:ext uri="{FF2B5EF4-FFF2-40B4-BE49-F238E27FC236}">
              <a16:creationId xmlns:a16="http://schemas.microsoft.com/office/drawing/2014/main" id="{4C6A9692-4BF1-430C-8CD3-FD38473C5347}"/>
            </a:ext>
          </a:extLst>
        </xdr:cNvPr>
        <xdr:cNvPicPr>
          <a:picLocks noChangeAspect="1"/>
        </xdr:cNvPicPr>
      </xdr:nvPicPr>
      <xdr:blipFill>
        <a:blip xmlns:r="http://schemas.openxmlformats.org/officeDocument/2006/relationships" r:embed="rId6"/>
        <a:stretch>
          <a:fillRect/>
        </a:stretch>
      </xdr:blipFill>
      <xdr:spPr>
        <a:xfrm>
          <a:off x="228600" y="8982075"/>
          <a:ext cx="5614903" cy="2036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57150</xdr:colOff>
      <xdr:row>7</xdr:row>
      <xdr:rowOff>152400</xdr:rowOff>
    </xdr:from>
    <xdr:to>
      <xdr:col>12</xdr:col>
      <xdr:colOff>295275</xdr:colOff>
      <xdr:row>14</xdr:row>
      <xdr:rowOff>142875</xdr:rowOff>
    </xdr:to>
    <xdr:graphicFrame macro="">
      <xdr:nvGraphicFramePr>
        <xdr:cNvPr id="6145" name="Gráfico 1">
          <a:extLst>
            <a:ext uri="{FF2B5EF4-FFF2-40B4-BE49-F238E27FC236}">
              <a16:creationId xmlns:a16="http://schemas.microsoft.com/office/drawing/2014/main" id="{87F66D71-DEE9-4396-8D6B-73CFE886C2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xdr:colOff>
      <xdr:row>15</xdr:row>
      <xdr:rowOff>361950</xdr:rowOff>
    </xdr:from>
    <xdr:to>
      <xdr:col>6</xdr:col>
      <xdr:colOff>28575</xdr:colOff>
      <xdr:row>25</xdr:row>
      <xdr:rowOff>19050</xdr:rowOff>
    </xdr:to>
    <xdr:graphicFrame macro="">
      <xdr:nvGraphicFramePr>
        <xdr:cNvPr id="6146" name="Gráfico 2">
          <a:extLst>
            <a:ext uri="{FF2B5EF4-FFF2-40B4-BE49-F238E27FC236}">
              <a16:creationId xmlns:a16="http://schemas.microsoft.com/office/drawing/2014/main" id="{8382C917-20EC-4CF8-9F75-D532ABCD5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7</xdr:row>
      <xdr:rowOff>180975</xdr:rowOff>
    </xdr:from>
    <xdr:to>
      <xdr:col>6</xdr:col>
      <xdr:colOff>114300</xdr:colOff>
      <xdr:row>14</xdr:row>
      <xdr:rowOff>238125</xdr:rowOff>
    </xdr:to>
    <xdr:graphicFrame macro="">
      <xdr:nvGraphicFramePr>
        <xdr:cNvPr id="6147" name="Gráfico 3">
          <a:extLst>
            <a:ext uri="{FF2B5EF4-FFF2-40B4-BE49-F238E27FC236}">
              <a16:creationId xmlns:a16="http://schemas.microsoft.com/office/drawing/2014/main" id="{BB6A065B-D6F3-4155-90D8-6B969D2C2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1076325</xdr:colOff>
      <xdr:row>15</xdr:row>
      <xdr:rowOff>371475</xdr:rowOff>
    </xdr:from>
    <xdr:to>
      <xdr:col>13</xdr:col>
      <xdr:colOff>247650</xdr:colOff>
      <xdr:row>25</xdr:row>
      <xdr:rowOff>38100</xdr:rowOff>
    </xdr:to>
    <xdr:graphicFrame macro="">
      <xdr:nvGraphicFramePr>
        <xdr:cNvPr id="6148" name="Gráfico 4">
          <a:extLst>
            <a:ext uri="{FF2B5EF4-FFF2-40B4-BE49-F238E27FC236}">
              <a16:creationId xmlns:a16="http://schemas.microsoft.com/office/drawing/2014/main" id="{AD5EA788-D5C4-4AA8-BE58-9DF948903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27</xdr:row>
      <xdr:rowOff>38100</xdr:rowOff>
    </xdr:from>
    <xdr:to>
      <xdr:col>6</xdr:col>
      <xdr:colOff>123825</xdr:colOff>
      <xdr:row>30</xdr:row>
      <xdr:rowOff>257175</xdr:rowOff>
    </xdr:to>
    <xdr:graphicFrame macro="">
      <xdr:nvGraphicFramePr>
        <xdr:cNvPr id="6149" name="Gráfico 5">
          <a:extLst>
            <a:ext uri="{FF2B5EF4-FFF2-40B4-BE49-F238E27FC236}">
              <a16:creationId xmlns:a16="http://schemas.microsoft.com/office/drawing/2014/main" id="{84092C96-2392-44DD-9A0A-7F5A85C94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0</xdr:row>
      <xdr:rowOff>0</xdr:rowOff>
    </xdr:from>
    <xdr:to>
      <xdr:col>1</xdr:col>
      <xdr:colOff>704850</xdr:colOff>
      <xdr:row>0</xdr:row>
      <xdr:rowOff>333375</xdr:rowOff>
    </xdr:to>
    <xdr:sp macro="" textlink="" fLocksText="0">
      <xdr:nvSpPr>
        <xdr:cNvPr id="6150" name="AutoShape 50">
          <a:hlinkClick xmlns:r="http://schemas.openxmlformats.org/officeDocument/2006/relationships" r:id="rId6"/>
          <a:extLst>
            <a:ext uri="{FF2B5EF4-FFF2-40B4-BE49-F238E27FC236}">
              <a16:creationId xmlns:a16="http://schemas.microsoft.com/office/drawing/2014/main" id="{57801220-9B1B-4284-920B-CED319F6EAF9}"/>
            </a:ext>
          </a:extLst>
        </xdr:cNvPr>
        <xdr:cNvSpPr>
          <a:spLocks noChangeArrowheads="1"/>
        </xdr:cNvSpPr>
      </xdr:nvSpPr>
      <xdr:spPr bwMode="auto">
        <a:xfrm>
          <a:off x="28575" y="0"/>
          <a:ext cx="904875" cy="333375"/>
        </a:xfrm>
        <a:custGeom>
          <a:avLst/>
          <a:gdLst>
            <a:gd name="G0" fmla="min 2670 926"/>
            <a:gd name="G1" fmla="*/ 34464 2670 1"/>
            <a:gd name="G2" fmla="*/ G1 1 G0"/>
            <a:gd name="G3" fmla="*/ 1 0 0"/>
            <a:gd name="G4" fmla="+- G3 0 50000"/>
            <a:gd name="G5" fmla="*/ 1 0 0"/>
            <a:gd name="G6" fmla="+- 34464 0 50000"/>
            <a:gd name="G7" fmla="?: G6 50000 34464"/>
            <a:gd name="G8" fmla="?: G4 G5 G6"/>
            <a:gd name="G9" fmla="*/ 1 0 0"/>
            <a:gd name="G10" fmla="+- G9 0 78906"/>
            <a:gd name="G11" fmla="*/ 1 0 0"/>
            <a:gd name="G12" fmla="+- G2 0 78906"/>
            <a:gd name="G13" fmla="?: G12 78906 G2"/>
            <a:gd name="G14" fmla="?: G10 G11 G12"/>
            <a:gd name="G15" fmla="*/ G0 G14 1"/>
            <a:gd name="G16" fmla="*/ G15 1 34464"/>
            <a:gd name="G17" fmla="*/ 1 0 0"/>
            <a:gd name="G18" fmla="+- G16 0 G17"/>
            <a:gd name="G19" fmla="*/ 926 G8 1"/>
            <a:gd name="G20" fmla="*/ G19 1 3392"/>
            <a:gd name="G21" fmla="*/ 926 1 2"/>
            <a:gd name="G22" fmla="+- G21 0 G20"/>
            <a:gd name="G23" fmla="+- G21 G20 0"/>
            <a:gd name="G24" fmla="*/ 1 0 0"/>
            <a:gd name="G25" fmla="+- G23 0 G24"/>
            <a:gd name="G26" fmla="*/ 926 1 2"/>
            <a:gd name="G27" fmla="*/ G22 G16 1"/>
            <a:gd name="G28" fmla="*/ G27 1 G26"/>
            <a:gd name="G29" fmla="+- G18 0 G28"/>
            <a:gd name="G30" fmla="+- 2670 0 0"/>
            <a:gd name="G31" fmla="+- 926 0 0"/>
          </a:gdLst>
          <a:ahLst/>
          <a:cxnLst>
            <a:cxn ang="0">
              <a:pos x="r" y="vc"/>
            </a:cxn>
            <a:cxn ang="5400000">
              <a:pos x="hc" y="b"/>
            </a:cxn>
            <a:cxn ang="10800000">
              <a:pos x="l" y="vc"/>
            </a:cxn>
            <a:cxn ang="16200000">
              <a:pos x="hc" y="t"/>
            </a:cxn>
          </a:cxnLst>
          <a:rect l="0" t="0" r="0" b="0"/>
          <a:pathLst>
            <a:path>
              <a:moveTo>
                <a:pt x="0" y="463"/>
              </a:moveTo>
              <a:lnTo>
                <a:pt x="549" y="0"/>
              </a:lnTo>
              <a:lnTo>
                <a:pt x="549" y="4704"/>
              </a:lnTo>
              <a:lnTo>
                <a:pt x="2670" y="4704"/>
              </a:lnTo>
              <a:lnTo>
                <a:pt x="2670" y="-3779"/>
              </a:lnTo>
              <a:lnTo>
                <a:pt x="549" y="-3779"/>
              </a:lnTo>
              <a:lnTo>
                <a:pt x="549" y="926"/>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438150</xdr:colOff>
      <xdr:row>9</xdr:row>
      <xdr:rowOff>104775</xdr:rowOff>
    </xdr:from>
    <xdr:to>
      <xdr:col>12</xdr:col>
      <xdr:colOff>247650</xdr:colOff>
      <xdr:row>18</xdr:row>
      <xdr:rowOff>9525</xdr:rowOff>
    </xdr:to>
    <xdr:graphicFrame macro="">
      <xdr:nvGraphicFramePr>
        <xdr:cNvPr id="7169" name="Gráfico 1">
          <a:extLst>
            <a:ext uri="{FF2B5EF4-FFF2-40B4-BE49-F238E27FC236}">
              <a16:creationId xmlns:a16="http://schemas.microsoft.com/office/drawing/2014/main" id="{B6F86160-55D2-41BB-B955-CF9D8A95A4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209550</xdr:colOff>
      <xdr:row>8</xdr:row>
      <xdr:rowOff>923925</xdr:rowOff>
    </xdr:from>
    <xdr:to>
      <xdr:col>16</xdr:col>
      <xdr:colOff>733425</xdr:colOff>
      <xdr:row>17</xdr:row>
      <xdr:rowOff>171450</xdr:rowOff>
    </xdr:to>
    <xdr:graphicFrame macro="">
      <xdr:nvGraphicFramePr>
        <xdr:cNvPr id="7170" name="Gráfico 2">
          <a:extLst>
            <a:ext uri="{FF2B5EF4-FFF2-40B4-BE49-F238E27FC236}">
              <a16:creationId xmlns:a16="http://schemas.microsoft.com/office/drawing/2014/main" id="{80D8ECAF-8A60-4848-B2BE-100DB6894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0</xdr:row>
      <xdr:rowOff>9525</xdr:rowOff>
    </xdr:from>
    <xdr:to>
      <xdr:col>1</xdr:col>
      <xdr:colOff>942975</xdr:colOff>
      <xdr:row>1</xdr:row>
      <xdr:rowOff>0</xdr:rowOff>
    </xdr:to>
    <xdr:sp macro="" textlink="" fLocksText="0">
      <xdr:nvSpPr>
        <xdr:cNvPr id="7171" name="AutoShape 50">
          <a:hlinkClick xmlns:r="http://schemas.openxmlformats.org/officeDocument/2006/relationships" r:id="rId3"/>
          <a:extLst>
            <a:ext uri="{FF2B5EF4-FFF2-40B4-BE49-F238E27FC236}">
              <a16:creationId xmlns:a16="http://schemas.microsoft.com/office/drawing/2014/main" id="{1EB1D272-1627-450E-9221-0CBA7938D313}"/>
            </a:ext>
          </a:extLst>
        </xdr:cNvPr>
        <xdr:cNvSpPr>
          <a:spLocks noChangeArrowheads="1"/>
        </xdr:cNvSpPr>
      </xdr:nvSpPr>
      <xdr:spPr bwMode="auto">
        <a:xfrm>
          <a:off x="57150" y="9525"/>
          <a:ext cx="914400" cy="323850"/>
        </a:xfrm>
        <a:custGeom>
          <a:avLst/>
          <a:gdLst>
            <a:gd name="G0" fmla="min 2704 900"/>
            <a:gd name="G1" fmla="*/ 34464 2704 1"/>
            <a:gd name="G2" fmla="*/ G1 1 G0"/>
            <a:gd name="G3" fmla="*/ 1 0 0"/>
            <a:gd name="G4" fmla="+- G3 0 50000"/>
            <a:gd name="G5" fmla="*/ 1 0 0"/>
            <a:gd name="G6" fmla="+- 34464 0 50000"/>
            <a:gd name="G7" fmla="?: G6 50000 34464"/>
            <a:gd name="G8" fmla="?: G4 G5 G6"/>
            <a:gd name="G9" fmla="*/ 1 0 0"/>
            <a:gd name="G10" fmla="+- G9 0 82055"/>
            <a:gd name="G11" fmla="*/ 1 0 0"/>
            <a:gd name="G12" fmla="+- G2 0 82055"/>
            <a:gd name="G13" fmla="?: G12 82055 G2"/>
            <a:gd name="G14" fmla="?: G10 G11 G12"/>
            <a:gd name="G15" fmla="*/ G0 G14 1"/>
            <a:gd name="G16" fmla="*/ G15 1 34464"/>
            <a:gd name="G17" fmla="*/ 1 0 0"/>
            <a:gd name="G18" fmla="+- G16 0 G17"/>
            <a:gd name="G19" fmla="*/ 900 G8 1"/>
            <a:gd name="G20" fmla="*/ G19 1 3392"/>
            <a:gd name="G21" fmla="*/ 900 1 2"/>
            <a:gd name="G22" fmla="+- G21 0 G20"/>
            <a:gd name="G23" fmla="+- G21 G20 0"/>
            <a:gd name="G24" fmla="*/ 1 0 0"/>
            <a:gd name="G25" fmla="+- G23 0 G24"/>
            <a:gd name="G26" fmla="*/ 900 1 2"/>
            <a:gd name="G27" fmla="*/ G22 G16 1"/>
            <a:gd name="G28" fmla="*/ G27 1 G26"/>
            <a:gd name="G29" fmla="+- G18 0 G28"/>
            <a:gd name="G30" fmla="+- 2704 0 0"/>
            <a:gd name="G31" fmla="+- 900 0 0"/>
          </a:gdLst>
          <a:ahLst/>
          <a:cxnLst>
            <a:cxn ang="0">
              <a:pos x="r" y="vc"/>
            </a:cxn>
            <a:cxn ang="5400000">
              <a:pos x="hc" y="b"/>
            </a:cxn>
            <a:cxn ang="10800000">
              <a:pos x="l" y="vc"/>
            </a:cxn>
            <a:cxn ang="16200000">
              <a:pos x="hc" y="t"/>
            </a:cxn>
          </a:cxnLst>
          <a:rect l="0" t="0" r="0" b="0"/>
          <a:pathLst>
            <a:path>
              <a:moveTo>
                <a:pt x="0" y="450"/>
              </a:moveTo>
              <a:lnTo>
                <a:pt x="560" y="0"/>
              </a:lnTo>
              <a:lnTo>
                <a:pt x="560" y="4572"/>
              </a:lnTo>
              <a:lnTo>
                <a:pt x="2704" y="4572"/>
              </a:lnTo>
              <a:lnTo>
                <a:pt x="2704" y="-3673"/>
              </a:lnTo>
              <a:lnTo>
                <a:pt x="560" y="-3673"/>
              </a:lnTo>
              <a:lnTo>
                <a:pt x="560" y="900"/>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twoCellAnchor>
    <xdr:from>
      <xdr:col>1</xdr:col>
      <xdr:colOff>76200</xdr:colOff>
      <xdr:row>9</xdr:row>
      <xdr:rowOff>57150</xdr:rowOff>
    </xdr:from>
    <xdr:to>
      <xdr:col>5</xdr:col>
      <xdr:colOff>285750</xdr:colOff>
      <xdr:row>17</xdr:row>
      <xdr:rowOff>57150</xdr:rowOff>
    </xdr:to>
    <xdr:graphicFrame macro="">
      <xdr:nvGraphicFramePr>
        <xdr:cNvPr id="7172" name="Gráfico 4">
          <a:extLst>
            <a:ext uri="{FF2B5EF4-FFF2-40B4-BE49-F238E27FC236}">
              <a16:creationId xmlns:a16="http://schemas.microsoft.com/office/drawing/2014/main" id="{CABE6820-645B-4F24-AF9B-7F25500B03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38100</xdr:rowOff>
    </xdr:from>
    <xdr:to>
      <xdr:col>1</xdr:col>
      <xdr:colOff>923925</xdr:colOff>
      <xdr:row>0</xdr:row>
      <xdr:rowOff>371475</xdr:rowOff>
    </xdr:to>
    <xdr:sp macro="" textlink="" fLocksText="0">
      <xdr:nvSpPr>
        <xdr:cNvPr id="8193" name="AutoShape 50">
          <a:hlinkClick xmlns:r="http://schemas.openxmlformats.org/officeDocument/2006/relationships" r:id="rId1"/>
          <a:extLst>
            <a:ext uri="{FF2B5EF4-FFF2-40B4-BE49-F238E27FC236}">
              <a16:creationId xmlns:a16="http://schemas.microsoft.com/office/drawing/2014/main" id="{B3615DE2-8969-47F9-A751-94979C57B9E3}"/>
            </a:ext>
          </a:extLst>
        </xdr:cNvPr>
        <xdr:cNvSpPr>
          <a:spLocks noChangeArrowheads="1"/>
        </xdr:cNvSpPr>
      </xdr:nvSpPr>
      <xdr:spPr bwMode="auto">
        <a:xfrm>
          <a:off x="57150" y="38100"/>
          <a:ext cx="942975" cy="333375"/>
        </a:xfrm>
        <a:custGeom>
          <a:avLst/>
          <a:gdLst>
            <a:gd name="G0" fmla="min 2743 926"/>
            <a:gd name="G1" fmla="*/ 34464 2743 1"/>
            <a:gd name="G2" fmla="*/ G1 1 G0"/>
            <a:gd name="G3" fmla="*/ 1 0 0"/>
            <a:gd name="G4" fmla="+- G3 0 50000"/>
            <a:gd name="G5" fmla="*/ 1 0 0"/>
            <a:gd name="G6" fmla="+- 34464 0 50000"/>
            <a:gd name="G7" fmla="?: G6 50000 34464"/>
            <a:gd name="G8" fmla="?: G4 G5 G6"/>
            <a:gd name="G9" fmla="*/ 1 0 0"/>
            <a:gd name="G10" fmla="+- G9 0 80516"/>
            <a:gd name="G11" fmla="*/ 1 0 0"/>
            <a:gd name="G12" fmla="+- G2 0 80516"/>
            <a:gd name="G13" fmla="?: G12 80516 G2"/>
            <a:gd name="G14" fmla="?: G10 G11 G12"/>
            <a:gd name="G15" fmla="*/ G0 G14 1"/>
            <a:gd name="G16" fmla="*/ G15 1 34464"/>
            <a:gd name="G17" fmla="*/ 1 0 0"/>
            <a:gd name="G18" fmla="+- G16 0 G17"/>
            <a:gd name="G19" fmla="*/ 926 G8 1"/>
            <a:gd name="G20" fmla="*/ G19 1 3392"/>
            <a:gd name="G21" fmla="*/ 926 1 2"/>
            <a:gd name="G22" fmla="+- G21 0 G20"/>
            <a:gd name="G23" fmla="+- G21 G20 0"/>
            <a:gd name="G24" fmla="*/ 1 0 0"/>
            <a:gd name="G25" fmla="+- G23 0 G24"/>
            <a:gd name="G26" fmla="*/ 926 1 2"/>
            <a:gd name="G27" fmla="*/ G22 G16 1"/>
            <a:gd name="G28" fmla="*/ G27 1 G26"/>
            <a:gd name="G29" fmla="+- G18 0 G28"/>
            <a:gd name="G30" fmla="+- 2743 0 0"/>
            <a:gd name="G31" fmla="+- 926 0 0"/>
          </a:gdLst>
          <a:ahLst/>
          <a:cxnLst>
            <a:cxn ang="0">
              <a:pos x="r" y="vc"/>
            </a:cxn>
            <a:cxn ang="5400000">
              <a:pos x="hc" y="b"/>
            </a:cxn>
            <a:cxn ang="10800000">
              <a:pos x="l" y="vc"/>
            </a:cxn>
            <a:cxn ang="16200000">
              <a:pos x="hc" y="t"/>
            </a:cxn>
          </a:cxnLst>
          <a:rect l="0" t="0" r="0" b="0"/>
          <a:pathLst>
            <a:path>
              <a:moveTo>
                <a:pt x="0" y="463"/>
              </a:moveTo>
              <a:lnTo>
                <a:pt x="579" y="0"/>
              </a:lnTo>
              <a:lnTo>
                <a:pt x="579" y="4704"/>
              </a:lnTo>
              <a:lnTo>
                <a:pt x="2743" y="4704"/>
              </a:lnTo>
              <a:lnTo>
                <a:pt x="2743" y="-3779"/>
              </a:lnTo>
              <a:lnTo>
                <a:pt x="579" y="-3779"/>
              </a:lnTo>
              <a:lnTo>
                <a:pt x="579" y="926"/>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0</xdr:row>
      <xdr:rowOff>19050</xdr:rowOff>
    </xdr:from>
    <xdr:to>
      <xdr:col>1</xdr:col>
      <xdr:colOff>676275</xdr:colOff>
      <xdr:row>0</xdr:row>
      <xdr:rowOff>342900</xdr:rowOff>
    </xdr:to>
    <xdr:sp macro="" textlink="" fLocksText="0">
      <xdr:nvSpPr>
        <xdr:cNvPr id="9217" name="AutoShape 50">
          <a:hlinkClick xmlns:r="http://schemas.openxmlformats.org/officeDocument/2006/relationships" r:id="rId1"/>
          <a:extLst>
            <a:ext uri="{FF2B5EF4-FFF2-40B4-BE49-F238E27FC236}">
              <a16:creationId xmlns:a16="http://schemas.microsoft.com/office/drawing/2014/main" id="{94F4392F-33BB-45F2-9388-B17E8E4CF03B}"/>
            </a:ext>
          </a:extLst>
        </xdr:cNvPr>
        <xdr:cNvSpPr>
          <a:spLocks noChangeArrowheads="1"/>
        </xdr:cNvSpPr>
      </xdr:nvSpPr>
      <xdr:spPr bwMode="auto">
        <a:xfrm>
          <a:off x="57150" y="19050"/>
          <a:ext cx="895350" cy="323850"/>
        </a:xfrm>
        <a:custGeom>
          <a:avLst/>
          <a:gdLst>
            <a:gd name="G0" fmla="min 2626 900"/>
            <a:gd name="G1" fmla="*/ 34464 2626 1"/>
            <a:gd name="G2" fmla="*/ G1 1 G0"/>
            <a:gd name="G3" fmla="*/ 1 0 0"/>
            <a:gd name="G4" fmla="+- G3 0 50000"/>
            <a:gd name="G5" fmla="*/ 1 0 0"/>
            <a:gd name="G6" fmla="+- 34464 0 50000"/>
            <a:gd name="G7" fmla="?: G6 50000 34464"/>
            <a:gd name="G8" fmla="?: G4 G5 G6"/>
            <a:gd name="G9" fmla="*/ 1 0 0"/>
            <a:gd name="G10" fmla="+- G9 0 79569"/>
            <a:gd name="G11" fmla="*/ 1 0 0"/>
            <a:gd name="G12" fmla="+- G2 0 79569"/>
            <a:gd name="G13" fmla="?: G12 79569 G2"/>
            <a:gd name="G14" fmla="?: G10 G11 G12"/>
            <a:gd name="G15" fmla="*/ G0 G14 1"/>
            <a:gd name="G16" fmla="*/ G15 1 34464"/>
            <a:gd name="G17" fmla="*/ 1 0 0"/>
            <a:gd name="G18" fmla="+- G16 0 G17"/>
            <a:gd name="G19" fmla="*/ 900 G8 1"/>
            <a:gd name="G20" fmla="*/ G19 1 3392"/>
            <a:gd name="G21" fmla="*/ 900 1 2"/>
            <a:gd name="G22" fmla="+- G21 0 G20"/>
            <a:gd name="G23" fmla="+- G21 G20 0"/>
            <a:gd name="G24" fmla="*/ 1 0 0"/>
            <a:gd name="G25" fmla="+- G23 0 G24"/>
            <a:gd name="G26" fmla="*/ 900 1 2"/>
            <a:gd name="G27" fmla="*/ G22 G16 1"/>
            <a:gd name="G28" fmla="*/ G27 1 G26"/>
            <a:gd name="G29" fmla="+- G18 0 G28"/>
            <a:gd name="G30" fmla="+- 2626 0 0"/>
            <a:gd name="G31" fmla="+- 900 0 0"/>
          </a:gdLst>
          <a:ahLst/>
          <a:cxnLst>
            <a:cxn ang="0">
              <a:pos x="r" y="vc"/>
            </a:cxn>
            <a:cxn ang="5400000">
              <a:pos x="hc" y="b"/>
            </a:cxn>
            <a:cxn ang="10800000">
              <a:pos x="l" y="vc"/>
            </a:cxn>
            <a:cxn ang="16200000">
              <a:pos x="hc" y="t"/>
            </a:cxn>
          </a:cxnLst>
          <a:rect l="0" t="0" r="0" b="0"/>
          <a:pathLst>
            <a:path>
              <a:moveTo>
                <a:pt x="0" y="450"/>
              </a:moveTo>
              <a:lnTo>
                <a:pt x="547" y="0"/>
              </a:lnTo>
              <a:lnTo>
                <a:pt x="547" y="4572"/>
              </a:lnTo>
              <a:lnTo>
                <a:pt x="2626" y="4572"/>
              </a:lnTo>
              <a:lnTo>
                <a:pt x="2626" y="-3673"/>
              </a:lnTo>
              <a:lnTo>
                <a:pt x="547" y="-3673"/>
              </a:lnTo>
              <a:lnTo>
                <a:pt x="547" y="900"/>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E%20MENSUALES/REPORTE%20SEMESTRAL/Documents%20and%20Settings/Administrator/My%20Documents/Downloads/Ficticia%20HIV%20Dashboard_ES%20-%20Set%20Up%20and%20Maintenance%20Gui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0" refreshError="1"/>
      <sheetData sheetId="1">
        <row r="6">
          <cell r="B6" t="str">
            <v>Subvención nº:</v>
          </cell>
          <cell r="C6" t="str">
            <v>FIC-910-G01-H</v>
          </cell>
        </row>
      </sheetData>
      <sheetData sheetId="2">
        <row r="3">
          <cell r="B3" t="str">
            <v>Tablero de mando:  Ficticia - VIH / SIDA</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B1:O4"/>
  <sheetViews>
    <sheetView showGridLines="0" topLeftCell="A3" zoomScale="80" zoomScaleNormal="80" workbookViewId="0">
      <selection activeCell="A3" sqref="A3"/>
    </sheetView>
  </sheetViews>
  <sheetFormatPr baseColWidth="10" defaultColWidth="10.7109375" defaultRowHeight="15"/>
  <cols>
    <col min="1" max="1" width="1.140625" customWidth="1"/>
    <col min="2" max="10" width="11.42578125" customWidth="1"/>
    <col min="11" max="11" width="1.5703125" customWidth="1"/>
  </cols>
  <sheetData>
    <row r="1" spans="2:15" ht="25.5" customHeight="1"/>
    <row r="2" spans="2:15" ht="36">
      <c r="B2" s="440" t="str">
        <f>+'[1]Información de la subvención'!B3:J3</f>
        <v>Tablero de mando:  Ficticia - VIH / SIDA</v>
      </c>
      <c r="C2" s="440"/>
      <c r="D2" s="440"/>
      <c r="E2" s="440"/>
      <c r="F2" s="440"/>
      <c r="G2" s="440"/>
      <c r="H2" s="440"/>
      <c r="I2" s="440"/>
      <c r="J2" s="440"/>
      <c r="K2" s="440"/>
      <c r="L2" s="440"/>
      <c r="M2" s="1"/>
      <c r="N2" s="1"/>
      <c r="O2" s="1"/>
    </row>
    <row r="4" spans="2:15" ht="21">
      <c r="B4" s="441" t="str">
        <f>+'Introducción de datos'!G6&amp;"  "&amp;+'Introducción de datos'!G8&amp;",  "&amp;+'Introducción de datos'!I8</f>
        <v xml:space="preserve">TB  ,  </v>
      </c>
      <c r="C4" s="441"/>
      <c r="D4" s="441"/>
      <c r="E4" s="441"/>
      <c r="F4" s="2"/>
      <c r="G4" s="2"/>
      <c r="H4" s="3" t="str">
        <f>+'[1]Introducción de datos'!B6&amp;" "&amp;+'[1]Introducción de datos'!C6</f>
        <v>Subvención nº: FIC-910-G01-H</v>
      </c>
      <c r="I4" s="3"/>
      <c r="J4" s="3"/>
      <c r="K4" s="2"/>
      <c r="L4" s="2"/>
    </row>
  </sheetData>
  <sheetProtection selectLockedCells="1" selectUnlockedCells="1"/>
  <mergeCells count="2">
    <mergeCell ref="B2:L2"/>
    <mergeCell ref="B4:E4"/>
  </mergeCells>
  <phoneticPr fontId="67" type="noConversion"/>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27"/>
  </sheetPr>
  <dimension ref="A1:M43"/>
  <sheetViews>
    <sheetView showGridLines="0" topLeftCell="A4" zoomScale="70" zoomScaleNormal="70" zoomScaleSheetLayoutView="100" workbookViewId="0">
      <selection activeCell="R20" sqref="R20"/>
    </sheetView>
  </sheetViews>
  <sheetFormatPr baseColWidth="10" defaultColWidth="10.7109375"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13.42578125" customWidth="1"/>
  </cols>
  <sheetData>
    <row r="1" spans="1:13" ht="30.75" customHeight="1"/>
    <row r="2" spans="1:13" ht="27.75" customHeight="1">
      <c r="B2" s="540" t="str">
        <f>+"Cuadro de mando:  "&amp;"  "&amp;+'Introducción de datos'!C4&amp;" - "&amp;'Introducción de datos'!G6</f>
        <v>Cuadro de mando:    El Salvador - TB</v>
      </c>
      <c r="C2" s="540"/>
      <c r="D2" s="540"/>
      <c r="E2" s="540"/>
      <c r="F2" s="540"/>
      <c r="G2" s="540"/>
      <c r="H2" s="540"/>
      <c r="I2" s="540"/>
      <c r="J2" s="540"/>
      <c r="K2" s="540"/>
      <c r="L2" s="540"/>
    </row>
    <row r="3" spans="1:13">
      <c r="B3" s="281">
        <f>+'Introducción de datos'!G8</f>
        <v>0</v>
      </c>
      <c r="C3" s="531">
        <f>+'Introducción de datos'!I8</f>
        <v>0</v>
      </c>
      <c r="D3" s="531"/>
      <c r="E3" s="528"/>
      <c r="F3" s="528"/>
      <c r="G3" s="528"/>
      <c r="H3" s="528"/>
      <c r="I3" s="528"/>
      <c r="J3" s="529" t="str">
        <f>+'Introducción de datos'!B16</f>
        <v>Periodo:</v>
      </c>
      <c r="K3" s="529"/>
      <c r="L3" s="282" t="str">
        <f>+'Introducción de datos'!C16</f>
        <v>P3</v>
      </c>
      <c r="M3" s="33"/>
    </row>
    <row r="4" spans="1:13">
      <c r="B4" s="281" t="str">
        <f>+'Introducción de datos'!B12</f>
        <v>Ultima calificación:</v>
      </c>
      <c r="C4" s="610" t="str">
        <f>+'Introducción de datos'!C12</f>
        <v>A1</v>
      </c>
      <c r="D4" s="610"/>
      <c r="E4" s="528" t="str">
        <f>+'Introducción de datos'!C8</f>
        <v xml:space="preserve">Ministerio de Salud </v>
      </c>
      <c r="F4" s="528"/>
      <c r="G4" s="528"/>
      <c r="H4" s="528"/>
      <c r="I4" s="528"/>
      <c r="J4" s="529" t="str">
        <f>+'Introducción de datos'!D16</f>
        <v>Desde:</v>
      </c>
      <c r="K4" s="529"/>
      <c r="L4" s="283">
        <f>+'Introducción de datos'!E16</f>
        <v>43101</v>
      </c>
    </row>
    <row r="5" spans="1:13" ht="18.75" customHeight="1">
      <c r="B5" s="281"/>
      <c r="C5" s="281"/>
      <c r="D5" s="528" t="str">
        <f>+'Introducción de datos'!G4</f>
        <v>Financiamiento al PENM TB 2016 - 2020</v>
      </c>
      <c r="E5" s="528"/>
      <c r="F5" s="528"/>
      <c r="G5" s="528"/>
      <c r="H5" s="528"/>
      <c r="I5" s="528"/>
      <c r="J5" s="528"/>
      <c r="K5" s="281" t="str">
        <f>+'Introducción de datos'!F16</f>
        <v>Hasta:</v>
      </c>
      <c r="L5" s="283">
        <f>+'Introducción de datos'!G16</f>
        <v>43465</v>
      </c>
    </row>
    <row r="6" spans="1:13" ht="18.75">
      <c r="B6" s="67"/>
      <c r="C6" s="281"/>
      <c r="D6" s="284"/>
      <c r="E6" s="532" t="s">
        <v>246</v>
      </c>
      <c r="F6" s="532"/>
      <c r="G6" s="532"/>
      <c r="H6" s="532"/>
      <c r="I6" s="532"/>
    </row>
    <row r="7" spans="1:13" ht="18.75">
      <c r="E7" s="392"/>
      <c r="F7" s="392"/>
      <c r="G7" s="392"/>
      <c r="H7" s="392"/>
      <c r="I7" s="392"/>
    </row>
    <row r="8" spans="1:13" s="340" customFormat="1" ht="21" customHeight="1">
      <c r="B8" s="393" t="s">
        <v>247</v>
      </c>
      <c r="C8" s="393"/>
      <c r="D8" s="393"/>
      <c r="E8" s="393"/>
      <c r="F8" s="393"/>
      <c r="G8" s="393"/>
      <c r="H8" s="393"/>
      <c r="I8" s="393"/>
      <c r="J8" s="393"/>
      <c r="K8" s="393"/>
      <c r="L8" s="393"/>
    </row>
    <row r="9" spans="1:13" ht="6" customHeight="1">
      <c r="B9" s="150"/>
    </row>
    <row r="10" spans="1:13">
      <c r="B10" s="609"/>
      <c r="C10" s="609"/>
      <c r="D10" s="609"/>
      <c r="E10" s="609"/>
      <c r="F10" s="609"/>
      <c r="G10" s="609"/>
      <c r="H10" s="609"/>
      <c r="I10" s="609"/>
      <c r="J10" s="609"/>
      <c r="K10" s="609"/>
      <c r="L10" s="609"/>
    </row>
    <row r="11" spans="1:13">
      <c r="B11" s="609"/>
      <c r="C11" s="609"/>
      <c r="D11" s="609"/>
      <c r="E11" s="609"/>
      <c r="F11" s="609"/>
      <c r="G11" s="609"/>
      <c r="H11" s="609"/>
      <c r="I11" s="609"/>
      <c r="J11" s="609"/>
      <c r="K11" s="609"/>
      <c r="L11" s="609"/>
    </row>
    <row r="13" spans="1:13" ht="42" customHeight="1">
      <c r="A13" s="394"/>
      <c r="B13" s="592" t="s">
        <v>248</v>
      </c>
      <c r="C13" s="592"/>
      <c r="D13" s="592"/>
      <c r="E13" s="592"/>
      <c r="F13" s="395"/>
      <c r="G13" s="593" t="s">
        <v>249</v>
      </c>
      <c r="H13" s="593"/>
      <c r="I13" s="593"/>
      <c r="J13" s="396" t="s">
        <v>250</v>
      </c>
      <c r="K13" s="594" t="s">
        <v>251</v>
      </c>
      <c r="L13" s="594"/>
    </row>
    <row r="14" spans="1:13" ht="29.25" customHeight="1">
      <c r="A14" s="595" t="s">
        <v>108</v>
      </c>
      <c r="B14" s="602"/>
      <c r="C14" s="602"/>
      <c r="D14" s="602"/>
      <c r="E14" s="602"/>
      <c r="F14" s="70"/>
      <c r="G14" s="603"/>
      <c r="H14" s="603"/>
      <c r="I14" s="603"/>
      <c r="J14" s="604"/>
      <c r="K14" s="606"/>
      <c r="L14" s="606"/>
    </row>
    <row r="15" spans="1:13" ht="2.25" customHeight="1">
      <c r="A15" s="595"/>
      <c r="B15" s="205"/>
      <c r="C15" s="205"/>
      <c r="D15" s="205"/>
      <c r="E15" s="205"/>
      <c r="F15" s="70"/>
      <c r="G15" s="603"/>
      <c r="H15" s="603"/>
      <c r="I15" s="603"/>
      <c r="J15" s="604"/>
      <c r="K15" s="606"/>
      <c r="L15" s="606"/>
    </row>
    <row r="16" spans="1:13" ht="25.5" customHeight="1">
      <c r="A16" s="595"/>
      <c r="B16" s="600"/>
      <c r="C16" s="600"/>
      <c r="D16" s="600"/>
      <c r="E16" s="600"/>
      <c r="F16" s="70"/>
      <c r="G16" s="607"/>
      <c r="H16" s="607"/>
      <c r="I16" s="607"/>
      <c r="J16" s="608"/>
      <c r="K16" s="587"/>
      <c r="L16" s="587"/>
    </row>
    <row r="17" spans="1:12" ht="4.5" customHeight="1">
      <c r="A17" s="595"/>
      <c r="B17" s="600"/>
      <c r="C17" s="600"/>
      <c r="D17" s="600"/>
      <c r="E17" s="600"/>
      <c r="F17" s="70"/>
      <c r="G17" s="607"/>
      <c r="H17" s="607"/>
      <c r="I17" s="607"/>
      <c r="J17" s="608"/>
      <c r="K17" s="587"/>
      <c r="L17" s="587"/>
    </row>
    <row r="18" spans="1:12">
      <c r="A18" s="595"/>
      <c r="B18" s="600"/>
      <c r="C18" s="600"/>
      <c r="D18" s="600"/>
      <c r="E18" s="600"/>
      <c r="F18" s="70"/>
      <c r="G18" s="605"/>
      <c r="H18" s="605"/>
      <c r="I18" s="605"/>
      <c r="J18" s="586"/>
      <c r="K18" s="587"/>
      <c r="L18" s="587"/>
    </row>
    <row r="19" spans="1:12" ht="21" customHeight="1">
      <c r="A19" s="595"/>
      <c r="B19" s="600"/>
      <c r="C19" s="600"/>
      <c r="D19" s="600"/>
      <c r="E19" s="600"/>
      <c r="F19" s="70"/>
      <c r="G19" s="605"/>
      <c r="H19" s="605"/>
      <c r="I19" s="605"/>
      <c r="J19" s="586"/>
      <c r="K19" s="586"/>
      <c r="L19" s="587"/>
    </row>
    <row r="20" spans="1:12">
      <c r="A20" s="595"/>
      <c r="B20" s="600"/>
      <c r="C20" s="600"/>
      <c r="D20" s="600"/>
      <c r="E20" s="600"/>
      <c r="F20" s="70"/>
      <c r="G20" s="585"/>
      <c r="H20" s="585"/>
      <c r="I20" s="585"/>
      <c r="J20" s="586"/>
      <c r="K20" s="587"/>
      <c r="L20" s="587"/>
    </row>
    <row r="21" spans="1:12">
      <c r="A21" s="595"/>
      <c r="B21" s="600"/>
      <c r="C21" s="600"/>
      <c r="D21" s="600"/>
      <c r="E21" s="600"/>
      <c r="F21" s="70"/>
      <c r="G21" s="585"/>
      <c r="H21" s="585"/>
      <c r="I21" s="585"/>
      <c r="J21" s="586"/>
      <c r="K21" s="586"/>
      <c r="L21" s="587"/>
    </row>
    <row r="22" spans="1:12">
      <c r="A22" s="595"/>
      <c r="B22" s="600"/>
      <c r="C22" s="600"/>
      <c r="D22" s="600"/>
      <c r="E22" s="600"/>
      <c r="F22" s="70"/>
      <c r="G22" s="585"/>
      <c r="H22" s="585"/>
      <c r="I22" s="585"/>
      <c r="J22" s="586"/>
      <c r="K22" s="587"/>
      <c r="L22" s="587"/>
    </row>
    <row r="23" spans="1:12">
      <c r="A23" s="595"/>
      <c r="B23" s="600"/>
      <c r="C23" s="600"/>
      <c r="D23" s="600"/>
      <c r="E23" s="600"/>
      <c r="F23" s="70"/>
      <c r="G23" s="585"/>
      <c r="H23" s="585"/>
      <c r="I23" s="585"/>
      <c r="J23" s="586"/>
      <c r="K23" s="586"/>
      <c r="L23" s="587"/>
    </row>
    <row r="24" spans="1:12">
      <c r="A24" s="595"/>
      <c r="B24" s="601"/>
      <c r="C24" s="601"/>
      <c r="D24" s="601"/>
      <c r="E24" s="601"/>
      <c r="F24" s="70"/>
      <c r="G24" s="589"/>
      <c r="H24" s="589"/>
      <c r="I24" s="589"/>
      <c r="J24" s="590"/>
      <c r="K24" s="591"/>
      <c r="L24" s="591"/>
    </row>
    <row r="25" spans="1:12">
      <c r="A25" s="595"/>
      <c r="B25" s="601"/>
      <c r="C25" s="601"/>
      <c r="D25" s="601"/>
      <c r="E25" s="601"/>
      <c r="F25" s="70"/>
      <c r="G25" s="589"/>
      <c r="H25" s="589"/>
      <c r="I25" s="589"/>
      <c r="J25" s="590"/>
      <c r="K25" s="590"/>
      <c r="L25" s="591"/>
    </row>
    <row r="26" spans="1:12">
      <c r="A26" s="394"/>
      <c r="B26" s="394"/>
      <c r="C26" s="394"/>
      <c r="D26" s="394"/>
      <c r="E26" s="394"/>
      <c r="F26" s="394"/>
      <c r="G26" s="394"/>
      <c r="H26" s="394"/>
      <c r="I26" s="394"/>
      <c r="J26" s="394"/>
      <c r="K26" s="394"/>
      <c r="L26" s="394"/>
    </row>
    <row r="27" spans="1:12" ht="18.75">
      <c r="A27" s="394"/>
      <c r="B27" s="394"/>
      <c r="C27" s="394"/>
      <c r="D27" s="394"/>
      <c r="E27" s="397" t="s">
        <v>252</v>
      </c>
      <c r="F27" s="397"/>
      <c r="G27" s="397"/>
      <c r="H27" s="397"/>
      <c r="I27" s="397"/>
      <c r="J27" s="394"/>
      <c r="K27" s="394"/>
      <c r="L27" s="394"/>
    </row>
    <row r="28" spans="1:12" ht="6" customHeight="1">
      <c r="A28" s="394"/>
      <c r="B28" s="394"/>
      <c r="C28" s="394"/>
      <c r="D28" s="394"/>
      <c r="E28" s="398"/>
      <c r="F28" s="398"/>
      <c r="G28" s="398"/>
      <c r="H28" s="398"/>
      <c r="I28" s="398"/>
      <c r="J28" s="394"/>
      <c r="K28" s="394"/>
      <c r="L28" s="394"/>
    </row>
    <row r="29" spans="1:12" s="340" customFormat="1" ht="21" customHeight="1">
      <c r="A29" s="399"/>
      <c r="B29" s="393" t="s">
        <v>253</v>
      </c>
      <c r="C29" s="400"/>
      <c r="D29" s="400"/>
      <c r="E29" s="400"/>
      <c r="F29" s="400"/>
      <c r="G29" s="400"/>
      <c r="H29" s="400"/>
      <c r="I29" s="400"/>
      <c r="J29" s="400"/>
      <c r="K29" s="400"/>
      <c r="L29" s="400"/>
    </row>
    <row r="30" spans="1:12" ht="6" customHeight="1">
      <c r="A30" s="394"/>
      <c r="B30" s="401"/>
      <c r="C30" s="394"/>
      <c r="D30" s="394"/>
      <c r="E30" s="394"/>
      <c r="F30" s="394"/>
      <c r="G30" s="394"/>
      <c r="H30" s="394"/>
      <c r="I30" s="394"/>
      <c r="J30" s="394"/>
      <c r="K30" s="394"/>
      <c r="L30" s="394"/>
    </row>
    <row r="31" spans="1:12" ht="45" customHeight="1">
      <c r="A31" s="394"/>
      <c r="B31" s="592" t="s">
        <v>249</v>
      </c>
      <c r="C31" s="592"/>
      <c r="D31" s="592"/>
      <c r="E31" s="592"/>
      <c r="F31" s="395"/>
      <c r="G31" s="593" t="s">
        <v>254</v>
      </c>
      <c r="H31" s="593"/>
      <c r="I31" s="593"/>
      <c r="J31" s="396" t="s">
        <v>250</v>
      </c>
      <c r="K31" s="594" t="s">
        <v>251</v>
      </c>
      <c r="L31" s="594"/>
    </row>
    <row r="32" spans="1:12" ht="18.75" customHeight="1">
      <c r="A32" s="595" t="s">
        <v>255</v>
      </c>
      <c r="B32" s="596"/>
      <c r="C32" s="596"/>
      <c r="D32" s="596"/>
      <c r="E32" s="596"/>
      <c r="F32" s="70"/>
      <c r="G32" s="597"/>
      <c r="H32" s="597"/>
      <c r="I32" s="597"/>
      <c r="J32" s="598"/>
      <c r="K32" s="599"/>
      <c r="L32" s="599"/>
    </row>
    <row r="33" spans="1:12" ht="18.75" customHeight="1">
      <c r="A33" s="595"/>
      <c r="B33" s="596"/>
      <c r="C33" s="596"/>
      <c r="D33" s="596"/>
      <c r="E33" s="596"/>
      <c r="F33" s="70"/>
      <c r="G33" s="597"/>
      <c r="H33" s="597"/>
      <c r="I33" s="597"/>
      <c r="J33" s="598"/>
      <c r="K33" s="598"/>
      <c r="L33" s="599"/>
    </row>
    <row r="34" spans="1:12" ht="18.75" customHeight="1">
      <c r="A34" s="595"/>
      <c r="B34" s="584" t="str">
        <f>IF(Recomendaciones!I43="","",Recomendaciones!I43)</f>
        <v/>
      </c>
      <c r="C34" s="584"/>
      <c r="D34" s="584"/>
      <c r="E34" s="584"/>
      <c r="F34" s="70"/>
      <c r="G34" s="585"/>
      <c r="H34" s="585"/>
      <c r="I34" s="585"/>
      <c r="J34" s="586"/>
      <c r="K34" s="587"/>
      <c r="L34" s="587"/>
    </row>
    <row r="35" spans="1:12" ht="18.75" customHeight="1">
      <c r="A35" s="595"/>
      <c r="B35" s="584"/>
      <c r="C35" s="584"/>
      <c r="D35" s="584"/>
      <c r="E35" s="584"/>
      <c r="F35" s="70"/>
      <c r="G35" s="585"/>
      <c r="H35" s="585"/>
      <c r="I35" s="585"/>
      <c r="J35" s="586"/>
      <c r="K35" s="586"/>
      <c r="L35" s="587"/>
    </row>
    <row r="36" spans="1:12" ht="18.75" customHeight="1">
      <c r="A36" s="595"/>
      <c r="B36" s="584" t="str">
        <f>+IF(Recomendaciones!I53="","",Recomendaciones!I53)</f>
        <v/>
      </c>
      <c r="C36" s="584"/>
      <c r="D36" s="584"/>
      <c r="E36" s="584"/>
      <c r="F36" s="70"/>
      <c r="G36" s="585"/>
      <c r="H36" s="585"/>
      <c r="I36" s="585"/>
      <c r="J36" s="586"/>
      <c r="K36" s="587"/>
      <c r="L36" s="587"/>
    </row>
    <row r="37" spans="1:12" ht="18.75" customHeight="1">
      <c r="A37" s="595"/>
      <c r="B37" s="584"/>
      <c r="C37" s="584"/>
      <c r="D37" s="584"/>
      <c r="E37" s="584"/>
      <c r="F37" s="70"/>
      <c r="G37" s="585"/>
      <c r="H37" s="585"/>
      <c r="I37" s="585"/>
      <c r="J37" s="586"/>
      <c r="K37" s="586"/>
      <c r="L37" s="587"/>
    </row>
    <row r="38" spans="1:12" ht="18.75" customHeight="1">
      <c r="A38" s="595"/>
      <c r="B38" s="584"/>
      <c r="C38" s="584"/>
      <c r="D38" s="584"/>
      <c r="E38" s="584"/>
      <c r="F38" s="70"/>
      <c r="G38" s="585"/>
      <c r="H38" s="585"/>
      <c r="I38" s="585"/>
      <c r="J38" s="586"/>
      <c r="K38" s="587"/>
      <c r="L38" s="587"/>
    </row>
    <row r="39" spans="1:12" ht="18.75" customHeight="1">
      <c r="A39" s="595"/>
      <c r="B39" s="584"/>
      <c r="C39" s="584"/>
      <c r="D39" s="584"/>
      <c r="E39" s="584"/>
      <c r="F39" s="70"/>
      <c r="G39" s="585"/>
      <c r="H39" s="585"/>
      <c r="I39" s="585"/>
      <c r="J39" s="586"/>
      <c r="K39" s="586"/>
      <c r="L39" s="587"/>
    </row>
    <row r="40" spans="1:12" ht="18.75" customHeight="1">
      <c r="A40" s="595"/>
      <c r="B40" s="584"/>
      <c r="C40" s="584"/>
      <c r="D40" s="584"/>
      <c r="E40" s="584"/>
      <c r="F40" s="70"/>
      <c r="G40" s="585"/>
      <c r="H40" s="585"/>
      <c r="I40" s="585"/>
      <c r="J40" s="586"/>
      <c r="K40" s="587"/>
      <c r="L40" s="587"/>
    </row>
    <row r="41" spans="1:12" ht="18.75" customHeight="1">
      <c r="A41" s="595"/>
      <c r="B41" s="584"/>
      <c r="C41" s="584"/>
      <c r="D41" s="584"/>
      <c r="E41" s="584"/>
      <c r="F41" s="70"/>
      <c r="G41" s="585"/>
      <c r="H41" s="585"/>
      <c r="I41" s="585"/>
      <c r="J41" s="586"/>
      <c r="K41" s="586"/>
      <c r="L41" s="587"/>
    </row>
    <row r="42" spans="1:12" ht="18.75" customHeight="1">
      <c r="A42" s="595"/>
      <c r="B42" s="588"/>
      <c r="C42" s="588"/>
      <c r="D42" s="588"/>
      <c r="E42" s="588"/>
      <c r="F42" s="70"/>
      <c r="G42" s="589"/>
      <c r="H42" s="589"/>
      <c r="I42" s="589"/>
      <c r="J42" s="590"/>
      <c r="K42" s="591"/>
      <c r="L42" s="591"/>
    </row>
    <row r="43" spans="1:12" ht="18.75" customHeight="1">
      <c r="A43" s="595"/>
      <c r="B43" s="588"/>
      <c r="C43" s="588"/>
      <c r="D43" s="588"/>
      <c r="E43" s="588"/>
      <c r="F43" s="70"/>
      <c r="G43" s="589"/>
      <c r="H43" s="589"/>
      <c r="I43" s="589"/>
      <c r="J43" s="590"/>
      <c r="K43" s="590"/>
      <c r="L43" s="591"/>
    </row>
  </sheetData>
  <sheetProtection selectLockedCells="1" selectUnlockedCells="1"/>
  <mergeCells count="66">
    <mergeCell ref="C4:D4"/>
    <mergeCell ref="E4:I4"/>
    <mergeCell ref="J4:K4"/>
    <mergeCell ref="D5:J5"/>
    <mergeCell ref="B2:L2"/>
    <mergeCell ref="C3:D3"/>
    <mergeCell ref="E3:I3"/>
    <mergeCell ref="J3:K3"/>
    <mergeCell ref="E6:I6"/>
    <mergeCell ref="B10:L11"/>
    <mergeCell ref="B13:E13"/>
    <mergeCell ref="G13:I13"/>
    <mergeCell ref="K13:L13"/>
    <mergeCell ref="K14:L15"/>
    <mergeCell ref="B16:E17"/>
    <mergeCell ref="G16:I17"/>
    <mergeCell ref="J16:J17"/>
    <mergeCell ref="K16:L17"/>
    <mergeCell ref="A14:A25"/>
    <mergeCell ref="B14:E14"/>
    <mergeCell ref="G14:I15"/>
    <mergeCell ref="J14:J15"/>
    <mergeCell ref="B18:E19"/>
    <mergeCell ref="G18:I19"/>
    <mergeCell ref="J18:J19"/>
    <mergeCell ref="B22:E23"/>
    <mergeCell ref="G22:I23"/>
    <mergeCell ref="J22:J23"/>
    <mergeCell ref="K22:L23"/>
    <mergeCell ref="B24:E25"/>
    <mergeCell ref="G24:I25"/>
    <mergeCell ref="J24:J25"/>
    <mergeCell ref="K24:L25"/>
    <mergeCell ref="K18:L19"/>
    <mergeCell ref="B20:E21"/>
    <mergeCell ref="G20:I21"/>
    <mergeCell ref="J20:J21"/>
    <mergeCell ref="K20:L21"/>
    <mergeCell ref="B31:E31"/>
    <mergeCell ref="G31:I31"/>
    <mergeCell ref="K31:L31"/>
    <mergeCell ref="A32:A43"/>
    <mergeCell ref="B32:E33"/>
    <mergeCell ref="G32:I33"/>
    <mergeCell ref="J32:J33"/>
    <mergeCell ref="K32:L33"/>
    <mergeCell ref="B34:E35"/>
    <mergeCell ref="G34:I35"/>
    <mergeCell ref="B38:E39"/>
    <mergeCell ref="G38:I39"/>
    <mergeCell ref="J38:J39"/>
    <mergeCell ref="K38:L39"/>
    <mergeCell ref="J34:J35"/>
    <mergeCell ref="K34:L35"/>
    <mergeCell ref="B36:E37"/>
    <mergeCell ref="G36:I37"/>
    <mergeCell ref="J36:J37"/>
    <mergeCell ref="K36:L37"/>
    <mergeCell ref="B42:E43"/>
    <mergeCell ref="G42:I43"/>
    <mergeCell ref="J42:J43"/>
    <mergeCell ref="K42:L43"/>
    <mergeCell ref="B40:E41"/>
    <mergeCell ref="G40:I41"/>
    <mergeCell ref="J40:J41"/>
    <mergeCell ref="K40:L41"/>
  </mergeCells>
  <phoneticPr fontId="67" type="noConversion"/>
  <conditionalFormatting sqref="C4:D4">
    <cfRule type="cellIs" dxfId="3" priority="1" stopIfTrue="1" operator="equal">
      <formula>"C"</formula>
    </cfRule>
    <cfRule type="cellIs" dxfId="2" priority="2" stopIfTrue="1" operator="equal">
      <formula>"B2"</formula>
    </cfRule>
    <cfRule type="cellIs" dxfId="1" priority="3" stopIfTrue="1" operator="equal">
      <formula>"B1"</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48"/>
  <sheetViews>
    <sheetView showGridLines="0" topLeftCell="G6" zoomScale="80" zoomScaleNormal="80" workbookViewId="0">
      <selection activeCell="H9" sqref="H9"/>
    </sheetView>
  </sheetViews>
  <sheetFormatPr baseColWidth="10" defaultColWidth="10.7109375" defaultRowHeight="15"/>
  <cols>
    <col min="1" max="1" width="11.42578125" customWidth="1"/>
    <col min="2" max="2" width="16.140625" customWidth="1"/>
    <col min="3" max="3" width="14.5703125" customWidth="1"/>
    <col min="4" max="4" width="15.42578125" customWidth="1"/>
    <col min="5" max="6" width="11.42578125" customWidth="1"/>
    <col min="7" max="7" width="14.42578125" customWidth="1"/>
    <col min="8" max="8" width="35.42578125" customWidth="1"/>
    <col min="9" max="9" width="45.5703125" customWidth="1"/>
    <col min="10" max="10" width="33.42578125" customWidth="1"/>
    <col min="11" max="12" width="11.42578125" customWidth="1"/>
    <col min="13" max="13" width="28.42578125" customWidth="1"/>
    <col min="14" max="14" width="46.42578125" customWidth="1"/>
  </cols>
  <sheetData>
    <row r="2" spans="2:13" ht="25.5" customHeight="1"/>
    <row r="3" spans="2:13" ht="36">
      <c r="B3" s="515" t="str">
        <f>'Información de la subvención'!B3:J3</f>
        <v>Tablero de mando:  El Salvador - TB</v>
      </c>
      <c r="C3" s="515"/>
      <c r="D3" s="515"/>
      <c r="E3" s="515"/>
      <c r="F3" s="515"/>
      <c r="G3" s="515"/>
      <c r="H3" s="515"/>
      <c r="I3" s="280"/>
    </row>
    <row r="6" spans="2:13" ht="18.75">
      <c r="B6" s="611" t="s">
        <v>256</v>
      </c>
      <c r="C6" s="611"/>
      <c r="D6" s="611"/>
      <c r="E6" s="611"/>
      <c r="F6" s="611"/>
      <c r="G6" s="611"/>
      <c r="H6" s="611"/>
    </row>
    <row r="8" spans="2:13" ht="18.75">
      <c r="B8" s="402" t="s">
        <v>257</v>
      </c>
      <c r="C8" s="402" t="s">
        <v>258</v>
      </c>
      <c r="D8" s="402" t="s">
        <v>259</v>
      </c>
      <c r="E8" s="402" t="s">
        <v>260</v>
      </c>
      <c r="F8" s="402" t="s">
        <v>261</v>
      </c>
      <c r="G8" s="402" t="s">
        <v>262</v>
      </c>
      <c r="H8" s="402" t="s">
        <v>263</v>
      </c>
      <c r="I8" s="402" t="s">
        <v>264</v>
      </c>
      <c r="J8" s="402" t="s">
        <v>265</v>
      </c>
    </row>
    <row r="9" spans="2:13">
      <c r="B9" s="403" t="s">
        <v>266</v>
      </c>
      <c r="C9" s="403" t="s">
        <v>266</v>
      </c>
      <c r="D9" s="403" t="s">
        <v>266</v>
      </c>
      <c r="E9" s="403" t="s">
        <v>266</v>
      </c>
      <c r="F9" s="403" t="s">
        <v>266</v>
      </c>
      <c r="G9" s="403" t="s">
        <v>266</v>
      </c>
      <c r="H9" s="403" t="s">
        <v>266</v>
      </c>
      <c r="I9" s="404" t="s">
        <v>266</v>
      </c>
      <c r="J9" s="403" t="s">
        <v>266</v>
      </c>
    </row>
    <row r="10" spans="2:13">
      <c r="B10" s="405" t="s">
        <v>267</v>
      </c>
      <c r="C10" s="405" t="s">
        <v>76</v>
      </c>
      <c r="D10" s="405" t="s">
        <v>268</v>
      </c>
      <c r="E10" s="405" t="s">
        <v>269</v>
      </c>
      <c r="F10" s="405" t="s">
        <v>80</v>
      </c>
      <c r="G10" s="405" t="s">
        <v>270</v>
      </c>
      <c r="H10" s="406" t="s">
        <v>271</v>
      </c>
      <c r="I10" s="404" t="s">
        <v>172</v>
      </c>
      <c r="J10" s="403" t="s">
        <v>272</v>
      </c>
    </row>
    <row r="11" spans="2:13">
      <c r="B11" s="405" t="s">
        <v>273</v>
      </c>
      <c r="C11" s="405" t="s">
        <v>274</v>
      </c>
      <c r="D11" s="405" t="s">
        <v>275</v>
      </c>
      <c r="E11" s="405" t="s">
        <v>276</v>
      </c>
      <c r="F11" s="405" t="s">
        <v>63</v>
      </c>
      <c r="G11" s="405" t="s">
        <v>277</v>
      </c>
      <c r="H11" s="406" t="s">
        <v>278</v>
      </c>
      <c r="I11" s="404" t="s">
        <v>173</v>
      </c>
      <c r="J11" s="403" t="s">
        <v>279</v>
      </c>
    </row>
    <row r="12" spans="2:13">
      <c r="B12" s="405" t="s">
        <v>50</v>
      </c>
      <c r="D12" s="405" t="s">
        <v>280</v>
      </c>
      <c r="E12" s="405" t="s">
        <v>281</v>
      </c>
      <c r="F12" s="405" t="s">
        <v>81</v>
      </c>
      <c r="G12" s="405" t="s">
        <v>58</v>
      </c>
      <c r="H12" s="406" t="s">
        <v>282</v>
      </c>
      <c r="I12" s="404" t="s">
        <v>174</v>
      </c>
      <c r="J12" s="403" t="s">
        <v>283</v>
      </c>
      <c r="M12" s="407"/>
    </row>
    <row r="13" spans="2:13">
      <c r="B13" s="405" t="s">
        <v>284</v>
      </c>
      <c r="D13" s="405" t="s">
        <v>285</v>
      </c>
      <c r="E13" s="408"/>
      <c r="F13" s="405" t="s">
        <v>82</v>
      </c>
      <c r="G13" s="405" t="s">
        <v>286</v>
      </c>
      <c r="H13" s="406" t="s">
        <v>287</v>
      </c>
      <c r="I13" s="404" t="s">
        <v>175</v>
      </c>
      <c r="J13" s="403" t="s">
        <v>288</v>
      </c>
      <c r="M13" s="407"/>
    </row>
    <row r="14" spans="2:13">
      <c r="B14" s="405" t="s">
        <v>289</v>
      </c>
      <c r="D14" s="405" t="s">
        <v>290</v>
      </c>
      <c r="F14" s="405" t="s">
        <v>83</v>
      </c>
      <c r="G14" s="405" t="s">
        <v>291</v>
      </c>
      <c r="H14" s="406" t="s">
        <v>292</v>
      </c>
      <c r="I14" s="404" t="s">
        <v>293</v>
      </c>
      <c r="J14" s="403" t="s">
        <v>294</v>
      </c>
      <c r="M14" s="407"/>
    </row>
    <row r="15" spans="2:13">
      <c r="D15" s="405" t="s">
        <v>295</v>
      </c>
      <c r="F15" s="405" t="s">
        <v>84</v>
      </c>
      <c r="H15" s="406" t="s">
        <v>296</v>
      </c>
      <c r="I15" s="404" t="s">
        <v>297</v>
      </c>
      <c r="J15" s="403" t="s">
        <v>298</v>
      </c>
      <c r="M15" s="407"/>
    </row>
    <row r="16" spans="2:13">
      <c r="D16" s="405" t="s">
        <v>299</v>
      </c>
      <c r="F16" s="405" t="s">
        <v>85</v>
      </c>
      <c r="H16" s="406" t="s">
        <v>300</v>
      </c>
      <c r="I16" s="404" t="s">
        <v>301</v>
      </c>
      <c r="J16" s="403" t="s">
        <v>302</v>
      </c>
      <c r="M16" s="407"/>
    </row>
    <row r="17" spans="4:13">
      <c r="D17" s="405" t="s">
        <v>303</v>
      </c>
      <c r="F17" s="405" t="s">
        <v>86</v>
      </c>
      <c r="H17" s="406" t="s">
        <v>304</v>
      </c>
      <c r="I17" s="404" t="s">
        <v>305</v>
      </c>
      <c r="J17" s="403" t="s">
        <v>306</v>
      </c>
      <c r="M17" s="407"/>
    </row>
    <row r="18" spans="4:13">
      <c r="D18" s="405" t="s">
        <v>307</v>
      </c>
      <c r="F18" s="405" t="s">
        <v>87</v>
      </c>
      <c r="H18" s="406" t="s">
        <v>308</v>
      </c>
      <c r="I18" s="404" t="s">
        <v>309</v>
      </c>
      <c r="J18" s="403" t="s">
        <v>310</v>
      </c>
      <c r="M18" s="407"/>
    </row>
    <row r="19" spans="4:13">
      <c r="D19" s="405" t="s">
        <v>311</v>
      </c>
      <c r="F19" s="405" t="s">
        <v>88</v>
      </c>
      <c r="H19" s="406" t="s">
        <v>312</v>
      </c>
      <c r="I19" s="404" t="s">
        <v>313</v>
      </c>
      <c r="J19" s="403" t="s">
        <v>314</v>
      </c>
      <c r="M19" s="407"/>
    </row>
    <row r="20" spans="4:13">
      <c r="D20" s="409"/>
      <c r="F20" s="405" t="s">
        <v>89</v>
      </c>
      <c r="H20" s="406" t="s">
        <v>315</v>
      </c>
      <c r="I20" s="404" t="s">
        <v>316</v>
      </c>
      <c r="J20" s="403" t="s">
        <v>317</v>
      </c>
    </row>
    <row r="21" spans="4:13">
      <c r="D21" s="403"/>
      <c r="F21" s="405" t="s">
        <v>90</v>
      </c>
      <c r="H21" s="403"/>
      <c r="I21" s="404" t="s">
        <v>318</v>
      </c>
      <c r="J21" s="403" t="s">
        <v>319</v>
      </c>
    </row>
    <row r="22" spans="4:13">
      <c r="H22" s="403"/>
      <c r="I22" s="404" t="s">
        <v>320</v>
      </c>
      <c r="J22" s="403" t="s">
        <v>321</v>
      </c>
    </row>
    <row r="23" spans="4:13">
      <c r="I23" s="404" t="s">
        <v>322</v>
      </c>
      <c r="J23" s="403" t="s">
        <v>323</v>
      </c>
    </row>
    <row r="24" spans="4:13">
      <c r="I24" s="404" t="s">
        <v>324</v>
      </c>
      <c r="J24" s="403" t="s">
        <v>325</v>
      </c>
    </row>
    <row r="25" spans="4:13">
      <c r="I25" s="403"/>
      <c r="J25" s="403" t="s">
        <v>326</v>
      </c>
    </row>
    <row r="26" spans="4:13">
      <c r="I26" s="404" t="s">
        <v>327</v>
      </c>
      <c r="J26" s="403" t="s">
        <v>328</v>
      </c>
    </row>
    <row r="27" spans="4:13">
      <c r="I27" s="404" t="s">
        <v>329</v>
      </c>
      <c r="J27" s="403" t="s">
        <v>44</v>
      </c>
    </row>
    <row r="28" spans="4:13">
      <c r="I28" s="403" t="s">
        <v>330</v>
      </c>
      <c r="J28" s="403" t="s">
        <v>331</v>
      </c>
    </row>
    <row r="29" spans="4:13">
      <c r="I29" s="403" t="s">
        <v>332</v>
      </c>
      <c r="J29" s="403" t="s">
        <v>333</v>
      </c>
    </row>
    <row r="30" spans="4:13">
      <c r="I30" s="403" t="s">
        <v>334</v>
      </c>
      <c r="J30" s="403" t="s">
        <v>335</v>
      </c>
    </row>
    <row r="31" spans="4:13">
      <c r="J31" s="403" t="s">
        <v>336</v>
      </c>
    </row>
    <row r="32" spans="4:13">
      <c r="J32" s="403" t="s">
        <v>337</v>
      </c>
    </row>
    <row r="33" spans="10:10">
      <c r="J33" s="403" t="s">
        <v>338</v>
      </c>
    </row>
    <row r="34" spans="10:10">
      <c r="J34" s="403" t="s">
        <v>339</v>
      </c>
    </row>
    <row r="35" spans="10:10">
      <c r="J35" s="403" t="s">
        <v>340</v>
      </c>
    </row>
    <row r="36" spans="10:10">
      <c r="J36" s="403" t="s">
        <v>341</v>
      </c>
    </row>
    <row r="37" spans="10:10">
      <c r="J37" s="403" t="s">
        <v>342</v>
      </c>
    </row>
    <row r="38" spans="10:10">
      <c r="J38" s="403" t="s">
        <v>343</v>
      </c>
    </row>
    <row r="39" spans="10:10">
      <c r="J39" s="403" t="s">
        <v>344</v>
      </c>
    </row>
    <row r="40" spans="10:10">
      <c r="J40" s="403" t="s">
        <v>345</v>
      </c>
    </row>
    <row r="41" spans="10:10">
      <c r="J41" s="403" t="s">
        <v>346</v>
      </c>
    </row>
    <row r="42" spans="10:10">
      <c r="J42" s="403" t="s">
        <v>347</v>
      </c>
    </row>
    <row r="43" spans="10:10">
      <c r="J43" s="403" t="s">
        <v>348</v>
      </c>
    </row>
    <row r="44" spans="10:10">
      <c r="J44" s="403" t="s">
        <v>349</v>
      </c>
    </row>
    <row r="45" spans="10:10">
      <c r="J45" s="403" t="s">
        <v>350</v>
      </c>
    </row>
    <row r="46" spans="10:10">
      <c r="J46" s="403" t="s">
        <v>351</v>
      </c>
    </row>
    <row r="47" spans="10:10">
      <c r="J47" s="403" t="s">
        <v>352</v>
      </c>
    </row>
    <row r="48" spans="10:10">
      <c r="J48" s="403" t="s">
        <v>353</v>
      </c>
    </row>
  </sheetData>
  <sheetProtection selectLockedCells="1" selectUnlockedCells="1"/>
  <mergeCells count="2">
    <mergeCell ref="B3:H3"/>
    <mergeCell ref="B6:H6"/>
  </mergeCells>
  <phoneticPr fontId="67" type="noConversion"/>
  <dataValidations count="1">
    <dataValidation type="list" allowBlank="1" showErrorMessage="1" sqref="M28" xr:uid="{00000000-0002-0000-0900-000000000000}">
      <formula1>$J$10:$J$48</formula1>
      <formula2>0</formula2>
    </dataValidation>
  </dataValidations>
  <pageMargins left="0.7" right="0.7" top="0.75" bottom="0.75" header="0.51180555555555551" footer="0.3"/>
  <pageSetup firstPageNumber="0" orientation="landscape" horizontalDpi="300" verticalDpi="300"/>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H48"/>
  <sheetViews>
    <sheetView showGridLines="0" topLeftCell="B1" zoomScale="70" zoomScaleNormal="70" workbookViewId="0">
      <pane ySplit="2" topLeftCell="A3" activePane="bottomLeft" state="frozen"/>
      <selection activeCell="B1" sqref="B1"/>
      <selection pane="bottomLeft" activeCell="B11" sqref="B11:D11"/>
    </sheetView>
  </sheetViews>
  <sheetFormatPr baseColWidth="10" defaultColWidth="10.7109375" defaultRowHeight="15"/>
  <cols>
    <col min="1" max="1" width="2.5703125" customWidth="1"/>
    <col min="2" max="2" width="21.42578125" customWidth="1"/>
    <col min="3" max="3" width="11.42578125" customWidth="1"/>
    <col min="4" max="4" width="11.140625" customWidth="1"/>
    <col min="5" max="5" width="16.42578125" customWidth="1"/>
    <col min="6" max="6" width="15.5703125" customWidth="1"/>
    <col min="7" max="7" width="37.42578125" customWidth="1"/>
    <col min="8" max="8" width="17.42578125" customWidth="1"/>
    <col min="9" max="9" width="71.140625" customWidth="1"/>
    <col min="10" max="10" width="14.140625" customWidth="1"/>
    <col min="11" max="11" width="16" customWidth="1"/>
    <col min="12" max="12" width="13.140625" customWidth="1"/>
    <col min="13" max="13" width="49.42578125" customWidth="1"/>
    <col min="14" max="14" width="2.42578125" customWidth="1"/>
    <col min="15" max="15" width="3" customWidth="1"/>
    <col min="16" max="16" width="2.42578125" customWidth="1"/>
    <col min="17" max="17" width="16.140625" customWidth="1"/>
    <col min="18" max="18" width="13.5703125" customWidth="1"/>
    <col min="19" max="19" width="11.42578125" customWidth="1"/>
    <col min="20" max="20" width="14.85546875" customWidth="1"/>
    <col min="21" max="21" width="16" customWidth="1"/>
    <col min="22" max="22" width="0" hidden="1" customWidth="1"/>
    <col min="23" max="23" width="15.42578125" customWidth="1"/>
    <col min="24" max="24" width="11.42578125" customWidth="1"/>
    <col min="25" max="25" width="2.42578125" customWidth="1"/>
    <col min="26" max="26" width="1.140625" customWidth="1"/>
    <col min="27" max="27" width="3.425781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42578125" customWidth="1"/>
    <col min="36" max="36" width="2.42578125" customWidth="1"/>
    <col min="37" max="37" width="40.5703125" customWidth="1"/>
    <col min="38" max="38" width="15.42578125" customWidth="1"/>
  </cols>
  <sheetData>
    <row r="1" spans="2:60" ht="34.5" customHeight="1"/>
    <row r="2" spans="2:60" ht="36" customHeight="1">
      <c r="B2" s="471" t="str">
        <f>+"Cuadro de mando:  "&amp;"  "&amp;+'Introducción de datos'!C4&amp;" - "&amp;'Introducción de datos'!G6</f>
        <v>Cuadro de mando:    El Salvador - TB</v>
      </c>
      <c r="C2" s="471"/>
      <c r="D2" s="471"/>
      <c r="E2" s="471"/>
      <c r="F2" s="471"/>
      <c r="G2" s="471"/>
      <c r="H2" s="471"/>
      <c r="I2" s="471"/>
      <c r="J2" s="471"/>
      <c r="K2" s="471"/>
      <c r="L2" s="471"/>
      <c r="M2" s="471"/>
    </row>
    <row r="3" spans="2:60" ht="15.75" customHeight="1">
      <c r="B3" s="4"/>
      <c r="C3" s="4"/>
      <c r="D3" s="4"/>
      <c r="E3" s="4"/>
      <c r="F3" s="4"/>
      <c r="G3" s="4"/>
      <c r="H3" s="4"/>
      <c r="I3" s="4"/>
      <c r="J3" s="4"/>
      <c r="K3" s="5"/>
      <c r="L3" s="5"/>
    </row>
    <row r="5" spans="2:60" ht="23.25">
      <c r="B5" s="451" t="s">
        <v>0</v>
      </c>
      <c r="C5" s="451"/>
      <c r="D5" s="451"/>
      <c r="E5" s="451"/>
      <c r="F5" s="451"/>
      <c r="G5" s="451"/>
      <c r="H5" s="451"/>
      <c r="I5" s="451"/>
      <c r="J5" s="451"/>
      <c r="K5" s="451"/>
      <c r="L5" s="451"/>
      <c r="M5" s="451"/>
      <c r="N5" s="451"/>
      <c r="O5" s="451"/>
    </row>
    <row r="7" spans="2:60" ht="21">
      <c r="B7" s="472" t="s">
        <v>1</v>
      </c>
      <c r="C7" s="472"/>
      <c r="D7" s="472"/>
      <c r="E7" s="472" t="s">
        <v>2</v>
      </c>
      <c r="F7" s="472"/>
      <c r="G7" s="472"/>
      <c r="H7" s="472"/>
      <c r="I7" s="472"/>
      <c r="J7" s="472" t="s">
        <v>3</v>
      </c>
      <c r="K7" s="472"/>
      <c r="L7" s="472"/>
      <c r="M7" s="472" t="s">
        <v>4</v>
      </c>
      <c r="N7" s="472"/>
      <c r="O7" s="472"/>
    </row>
    <row r="8" spans="2:60" ht="92.25" customHeight="1">
      <c r="B8" s="454" t="str">
        <f>+'Introducción de datos'!B27</f>
        <v>F1: Presupuesto y desembolsos del Fondo Mundial</v>
      </c>
      <c r="C8" s="454"/>
      <c r="D8" s="454"/>
      <c r="E8" s="469" t="s">
        <v>5</v>
      </c>
      <c r="F8" s="469"/>
      <c r="G8" s="469"/>
      <c r="H8" s="469"/>
      <c r="I8" s="469"/>
      <c r="J8" s="470" t="s">
        <v>6</v>
      </c>
      <c r="K8" s="470"/>
      <c r="L8" s="470"/>
      <c r="M8" s="470" t="s">
        <v>7</v>
      </c>
      <c r="N8" s="470"/>
      <c r="O8" s="470"/>
    </row>
    <row r="9" spans="2:60" ht="117.75" customHeight="1">
      <c r="B9" s="454" t="str">
        <f>+'Introducción de datos'!B36</f>
        <v>F2: Presupuesto y gastos reales por estrategias de la subvención anual</v>
      </c>
      <c r="C9" s="454"/>
      <c r="D9" s="454"/>
      <c r="E9" s="466" t="s">
        <v>8</v>
      </c>
      <c r="F9" s="466"/>
      <c r="G9" s="466"/>
      <c r="H9" s="466"/>
      <c r="I9" s="466"/>
      <c r="J9" s="456" t="s">
        <v>9</v>
      </c>
      <c r="K9" s="456"/>
      <c r="L9" s="456"/>
      <c r="M9" s="456" t="s">
        <v>7</v>
      </c>
      <c r="N9" s="456"/>
      <c r="O9" s="456"/>
    </row>
    <row r="10" spans="2:60" ht="233.25" customHeight="1">
      <c r="B10" s="460" t="str">
        <f>+'Introducción de datos'!B51</f>
        <v>F3: Desembolsos y gastos</v>
      </c>
      <c r="C10" s="460"/>
      <c r="D10" s="460"/>
      <c r="E10" s="466" t="s">
        <v>10</v>
      </c>
      <c r="F10" s="466"/>
      <c r="G10" s="466"/>
      <c r="H10" s="466"/>
      <c r="I10" s="466"/>
      <c r="J10" s="456" t="s">
        <v>11</v>
      </c>
      <c r="K10" s="456"/>
      <c r="L10" s="456"/>
      <c r="M10" s="456" t="s">
        <v>12</v>
      </c>
      <c r="N10" s="456"/>
      <c r="O10" s="456"/>
    </row>
    <row r="11" spans="2:60" ht="279.75" customHeight="1">
      <c r="B11" s="460" t="str">
        <f>+'Introducción de datos'!B69</f>
        <v>F4: Último ciclo de información y desembolso del RP</v>
      </c>
      <c r="C11" s="460"/>
      <c r="D11" s="460"/>
      <c r="E11" s="466" t="s">
        <v>13</v>
      </c>
      <c r="F11" s="466"/>
      <c r="G11" s="466"/>
      <c r="H11" s="466"/>
      <c r="I11" s="466"/>
      <c r="J11" s="456" t="s">
        <v>14</v>
      </c>
      <c r="K11" s="456"/>
      <c r="L11" s="456"/>
      <c r="M11" s="456" t="s">
        <v>15</v>
      </c>
      <c r="N11" s="456"/>
      <c r="O11" s="45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row>
    <row r="12" spans="2:60">
      <c r="B12" s="467"/>
      <c r="C12" s="467"/>
      <c r="D12" s="467"/>
      <c r="E12" s="468"/>
      <c r="F12" s="468"/>
      <c r="G12" s="468"/>
      <c r="H12" s="468"/>
      <c r="I12" s="468"/>
      <c r="J12" s="468"/>
      <c r="K12" s="468"/>
      <c r="L12" s="468"/>
      <c r="M12" s="468"/>
      <c r="N12" s="468"/>
      <c r="O12" s="468"/>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row>
    <row r="13" spans="2:60">
      <c r="B13" s="464"/>
      <c r="C13" s="464"/>
      <c r="D13" s="464"/>
      <c r="E13" s="465"/>
      <c r="F13" s="465"/>
      <c r="G13" s="465"/>
      <c r="H13" s="465"/>
      <c r="I13" s="465"/>
      <c r="J13" s="465"/>
      <c r="K13" s="465"/>
      <c r="L13" s="465"/>
      <c r="M13" s="465"/>
      <c r="N13" s="465"/>
      <c r="O13" s="465"/>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row>
    <row r="14" spans="2:60">
      <c r="B14" s="464"/>
      <c r="C14" s="464"/>
      <c r="D14" s="464"/>
      <c r="E14" s="465"/>
      <c r="F14" s="465"/>
      <c r="G14" s="465"/>
      <c r="H14" s="465"/>
      <c r="I14" s="465"/>
      <c r="J14" s="465"/>
      <c r="K14" s="465"/>
      <c r="L14" s="465"/>
      <c r="M14" s="465"/>
      <c r="N14" s="465"/>
      <c r="O14" s="465"/>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row>
    <row r="15" spans="2:60">
      <c r="B15" s="464"/>
      <c r="C15" s="464"/>
      <c r="D15" s="464"/>
      <c r="E15" s="465"/>
      <c r="F15" s="465"/>
      <c r="G15" s="465"/>
      <c r="H15" s="465"/>
      <c r="I15" s="465"/>
      <c r="J15" s="465"/>
      <c r="K15" s="465"/>
      <c r="L15" s="465"/>
      <c r="M15" s="465"/>
      <c r="N15" s="465"/>
      <c r="O15" s="465"/>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row>
    <row r="16" spans="2:60" ht="23.25">
      <c r="B16" s="451" t="s">
        <v>16</v>
      </c>
      <c r="C16" s="451"/>
      <c r="D16" s="451"/>
      <c r="E16" s="451"/>
      <c r="F16" s="451"/>
      <c r="G16" s="451"/>
      <c r="H16" s="451"/>
      <c r="I16" s="451"/>
      <c r="J16" s="451"/>
      <c r="K16" s="451"/>
      <c r="L16" s="451"/>
      <c r="M16" s="451"/>
      <c r="N16" s="451"/>
      <c r="O16" s="45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row>
    <row r="17" spans="2:60">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row>
    <row r="18" spans="2:60" ht="21">
      <c r="B18" s="463" t="s">
        <v>1</v>
      </c>
      <c r="C18" s="463"/>
      <c r="D18" s="463"/>
      <c r="E18" s="463" t="s">
        <v>2</v>
      </c>
      <c r="F18" s="463"/>
      <c r="G18" s="463"/>
      <c r="H18" s="463"/>
      <c r="I18" s="463"/>
      <c r="J18" s="463" t="s">
        <v>3</v>
      </c>
      <c r="K18" s="463"/>
      <c r="L18" s="463"/>
      <c r="M18" s="463" t="s">
        <v>17</v>
      </c>
      <c r="N18" s="463"/>
      <c r="O18" s="463"/>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row>
    <row r="19" spans="2:60" ht="149.25" customHeight="1">
      <c r="B19" s="454" t="str">
        <f>+'Introducción de datos'!B80</f>
        <v>M1: Estado de las condiciones precedentes y acciones con fecha límite</v>
      </c>
      <c r="C19" s="454"/>
      <c r="D19" s="454"/>
      <c r="E19" s="466" t="s">
        <v>18</v>
      </c>
      <c r="F19" s="466"/>
      <c r="G19" s="466"/>
      <c r="H19" s="466"/>
      <c r="I19" s="466"/>
      <c r="J19" s="456" t="s">
        <v>19</v>
      </c>
      <c r="K19" s="456"/>
      <c r="L19" s="456"/>
      <c r="M19" s="456" t="s">
        <v>20</v>
      </c>
      <c r="N19" s="456"/>
      <c r="O19" s="45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row>
    <row r="20" spans="2:60" ht="102.75" customHeight="1">
      <c r="B20" s="454" t="str">
        <f>+'Introducción de datos'!B87</f>
        <v>M2: Estado de los principales puestos directivos del RP</v>
      </c>
      <c r="C20" s="454"/>
      <c r="D20" s="454"/>
      <c r="E20" s="466" t="s">
        <v>21</v>
      </c>
      <c r="F20" s="466"/>
      <c r="G20" s="466"/>
      <c r="H20" s="466"/>
      <c r="I20" s="466"/>
      <c r="J20" s="456" t="s">
        <v>22</v>
      </c>
      <c r="K20" s="456"/>
      <c r="L20" s="456"/>
      <c r="M20" s="456" t="s">
        <v>23</v>
      </c>
      <c r="N20" s="456"/>
      <c r="O20" s="45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row>
    <row r="21" spans="2:60" ht="137.25" customHeight="1">
      <c r="B21" s="454" t="str">
        <f>+'Introducción de datos'!B92</f>
        <v>M3: Acuerdos contractuales</v>
      </c>
      <c r="C21" s="454"/>
      <c r="D21" s="454"/>
      <c r="E21" s="455" t="s">
        <v>24</v>
      </c>
      <c r="F21" s="455"/>
      <c r="G21" s="455"/>
      <c r="H21" s="455"/>
      <c r="I21" s="455"/>
      <c r="J21" s="456" t="s">
        <v>25</v>
      </c>
      <c r="K21" s="456"/>
      <c r="L21" s="456"/>
      <c r="M21" s="456" t="s">
        <v>26</v>
      </c>
      <c r="N21" s="456"/>
      <c r="O21" s="45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row>
    <row r="22" spans="2:60" ht="74.25" customHeight="1">
      <c r="B22" s="454" t="str">
        <f>+'Introducción de datos'!B97</f>
        <v>M4: Número de informes completos recibidos a tiempo</v>
      </c>
      <c r="C22" s="454"/>
      <c r="D22" s="454"/>
      <c r="E22" s="455" t="s">
        <v>27</v>
      </c>
      <c r="F22" s="455"/>
      <c r="G22" s="455"/>
      <c r="H22" s="455"/>
      <c r="I22" s="455"/>
      <c r="J22" s="456" t="s">
        <v>28</v>
      </c>
      <c r="K22" s="456"/>
      <c r="L22" s="456"/>
      <c r="M22" s="456" t="s">
        <v>29</v>
      </c>
      <c r="N22" s="456"/>
      <c r="O22" s="45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row>
    <row r="23" spans="2:60" ht="207.75" customHeight="1">
      <c r="B23" s="460" t="str">
        <f>+'Introducción de datos'!B103</f>
        <v>M5: Presupuesto y compra de productos y equipo sanitario, medicamentos y productos farmacéuticos</v>
      </c>
      <c r="C23" s="460"/>
      <c r="D23" s="460"/>
      <c r="E23" s="461" t="s">
        <v>30</v>
      </c>
      <c r="F23" s="461"/>
      <c r="G23" s="461"/>
      <c r="H23" s="461"/>
      <c r="I23" s="461"/>
      <c r="J23" s="456" t="s">
        <v>31</v>
      </c>
      <c r="K23" s="456"/>
      <c r="L23" s="456"/>
      <c r="M23" s="456" t="s">
        <v>32</v>
      </c>
      <c r="N23" s="456"/>
      <c r="O23" s="45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row>
    <row r="24" spans="2:60" ht="114.75" customHeight="1">
      <c r="B24" s="460"/>
      <c r="C24" s="460"/>
      <c r="D24" s="460"/>
      <c r="E24" s="462" t="s">
        <v>33</v>
      </c>
      <c r="F24" s="462"/>
      <c r="G24" s="462"/>
      <c r="H24" s="462"/>
      <c r="I24" s="462"/>
      <c r="J24" s="456"/>
      <c r="K24" s="456"/>
      <c r="L24" s="456"/>
      <c r="M24" s="456"/>
      <c r="N24" s="456"/>
      <c r="O24" s="45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row>
    <row r="25" spans="2:60" ht="206.25" customHeight="1">
      <c r="B25" s="454" t="str">
        <f>+'Introducción de datos'!B116</f>
        <v>M6: Diferencia entre existencias actuales y existencias de seguridad</v>
      </c>
      <c r="C25" s="454"/>
      <c r="D25" s="454"/>
      <c r="E25" s="457" t="s">
        <v>34</v>
      </c>
      <c r="F25" s="457"/>
      <c r="G25" s="457"/>
      <c r="H25" s="457"/>
      <c r="I25" s="457"/>
      <c r="J25" s="458" t="s">
        <v>35</v>
      </c>
      <c r="K25" s="458"/>
      <c r="L25" s="458"/>
      <c r="M25" s="459" t="s">
        <v>36</v>
      </c>
      <c r="N25" s="459"/>
      <c r="O25" s="459"/>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row>
    <row r="26" spans="2:60">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row>
    <row r="27" spans="2:60">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row>
    <row r="28" spans="2:60">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row>
    <row r="29" spans="2:60" ht="18.75">
      <c r="B29" s="8"/>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row>
    <row r="30" spans="2:60" ht="23.25">
      <c r="B30" s="451" t="s">
        <v>37</v>
      </c>
      <c r="C30" s="451"/>
      <c r="D30" s="451"/>
      <c r="E30" s="451"/>
      <c r="F30" s="451"/>
      <c r="G30" s="451"/>
      <c r="H30" s="451"/>
      <c r="I30" s="451"/>
      <c r="J30" s="451"/>
      <c r="K30" s="451"/>
      <c r="L30" s="451"/>
      <c r="M30" s="451"/>
      <c r="N30" s="451"/>
      <c r="O30" s="451"/>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row>
    <row r="31" spans="2:60">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row>
    <row r="32" spans="2:60" ht="28.5" customHeight="1">
      <c r="B32" s="452" t="s">
        <v>38</v>
      </c>
      <c r="C32" s="452"/>
      <c r="D32" s="452"/>
      <c r="E32" s="453" t="s">
        <v>39</v>
      </c>
      <c r="F32" s="453"/>
      <c r="G32" s="453"/>
      <c r="H32" s="453"/>
      <c r="I32" s="453"/>
      <c r="J32" s="453" t="s">
        <v>3</v>
      </c>
      <c r="K32" s="453"/>
      <c r="L32" s="453"/>
      <c r="M32" s="453" t="s">
        <v>17</v>
      </c>
      <c r="N32" s="453"/>
      <c r="O32" s="453"/>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row>
    <row r="33" spans="2:60" ht="47.25" customHeight="1">
      <c r="B33" s="450"/>
      <c r="C33" s="450"/>
      <c r="D33" s="450"/>
      <c r="E33" s="445"/>
      <c r="F33" s="445"/>
      <c r="G33" s="445"/>
      <c r="H33" s="445"/>
      <c r="I33" s="445"/>
      <c r="J33" s="446"/>
      <c r="K33" s="446"/>
      <c r="L33" s="446"/>
      <c r="M33" s="446"/>
      <c r="N33" s="446"/>
      <c r="O33" s="44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row>
    <row r="34" spans="2:60" ht="59.25" customHeight="1">
      <c r="B34" s="450"/>
      <c r="C34" s="450"/>
      <c r="D34" s="450"/>
      <c r="E34" s="445"/>
      <c r="F34" s="445"/>
      <c r="G34" s="445"/>
      <c r="H34" s="445"/>
      <c r="I34" s="445"/>
      <c r="J34" s="446"/>
      <c r="K34" s="446"/>
      <c r="L34" s="446"/>
      <c r="M34" s="446"/>
      <c r="N34" s="446"/>
      <c r="O34" s="44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row>
    <row r="35" spans="2:60" ht="57.75" customHeight="1">
      <c r="B35" s="450"/>
      <c r="C35" s="450"/>
      <c r="D35" s="450"/>
      <c r="E35" s="446"/>
      <c r="F35" s="446"/>
      <c r="G35" s="446"/>
      <c r="H35" s="446"/>
      <c r="I35" s="446"/>
      <c r="J35" s="446"/>
      <c r="K35" s="446"/>
      <c r="L35" s="446"/>
      <c r="M35" s="446"/>
      <c r="N35" s="446"/>
      <c r="O35" s="44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row>
    <row r="36" spans="2:60" ht="9.75" customHeight="1">
      <c r="B36" s="449"/>
      <c r="C36" s="449"/>
      <c r="D36" s="449"/>
      <c r="E36" s="9"/>
      <c r="F36" s="10"/>
      <c r="G36" s="10"/>
      <c r="H36" s="10"/>
      <c r="I36" s="11"/>
      <c r="J36" s="12"/>
      <c r="K36" s="13"/>
      <c r="L36" s="14"/>
      <c r="M36" s="12"/>
      <c r="N36" s="13"/>
      <c r="O36" s="14"/>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row>
    <row r="37" spans="2:60" ht="46.5" customHeight="1">
      <c r="B37" s="450"/>
      <c r="C37" s="450"/>
      <c r="D37" s="450"/>
      <c r="E37" s="446"/>
      <c r="F37" s="446"/>
      <c r="G37" s="446"/>
      <c r="H37" s="446"/>
      <c r="I37" s="446"/>
      <c r="J37" s="15"/>
      <c r="K37" s="16"/>
      <c r="L37" s="17"/>
      <c r="M37" s="15"/>
      <c r="N37" s="16"/>
      <c r="O37" s="17"/>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row>
    <row r="38" spans="2:60" ht="69" customHeight="1">
      <c r="B38" s="450"/>
      <c r="C38" s="450"/>
      <c r="D38" s="450"/>
      <c r="E38" s="445"/>
      <c r="F38" s="445"/>
      <c r="G38" s="445"/>
      <c r="H38" s="445"/>
      <c r="I38" s="445"/>
      <c r="J38" s="446"/>
      <c r="K38" s="446"/>
      <c r="L38" s="446"/>
      <c r="M38" s="446"/>
      <c r="N38" s="446"/>
      <c r="O38" s="44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row>
    <row r="39" spans="2:60" ht="64.5" customHeight="1">
      <c r="B39" s="448"/>
      <c r="C39" s="448"/>
      <c r="D39" s="448"/>
      <c r="E39" s="446"/>
      <c r="F39" s="446"/>
      <c r="G39" s="446"/>
      <c r="H39" s="446"/>
      <c r="I39" s="446"/>
      <c r="J39" s="15"/>
      <c r="K39" s="16"/>
      <c r="L39" s="17"/>
      <c r="M39" s="15"/>
      <c r="N39" s="16"/>
      <c r="O39" s="17"/>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row>
    <row r="40" spans="2:60" ht="45" customHeight="1">
      <c r="B40" s="444"/>
      <c r="C40" s="444"/>
      <c r="D40" s="444"/>
      <c r="E40" s="446"/>
      <c r="F40" s="446"/>
      <c r="G40" s="446"/>
      <c r="H40" s="446"/>
      <c r="I40" s="446"/>
      <c r="J40" s="446"/>
      <c r="K40" s="446"/>
      <c r="L40" s="446"/>
      <c r="M40" s="446"/>
      <c r="N40" s="446"/>
      <c r="O40" s="44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row>
    <row r="41" spans="2:60" ht="62.25" customHeight="1">
      <c r="B41" s="448"/>
      <c r="C41" s="448"/>
      <c r="D41" s="448"/>
      <c r="E41" s="445"/>
      <c r="F41" s="445"/>
      <c r="G41" s="445"/>
      <c r="H41" s="445"/>
      <c r="I41" s="445"/>
      <c r="J41" s="446"/>
      <c r="K41" s="446"/>
      <c r="L41" s="446"/>
      <c r="M41" s="446"/>
      <c r="N41" s="446"/>
      <c r="O41" s="44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row>
    <row r="42" spans="2:60" ht="84" customHeight="1">
      <c r="B42" s="448"/>
      <c r="C42" s="448"/>
      <c r="D42" s="448"/>
      <c r="E42" s="446"/>
      <c r="F42" s="446"/>
      <c r="G42" s="446"/>
      <c r="H42" s="446"/>
      <c r="I42" s="446"/>
      <c r="J42" s="15"/>
      <c r="K42" s="16"/>
      <c r="L42" s="17"/>
      <c r="M42" s="15"/>
      <c r="N42" s="16"/>
      <c r="O42" s="17"/>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row>
    <row r="43" spans="2:60" ht="45" customHeight="1">
      <c r="B43" s="448"/>
      <c r="C43" s="448"/>
      <c r="D43" s="448"/>
      <c r="E43" s="445"/>
      <c r="F43" s="445"/>
      <c r="G43" s="445"/>
      <c r="H43" s="445"/>
      <c r="I43" s="445"/>
      <c r="J43" s="446"/>
      <c r="K43" s="446"/>
      <c r="L43" s="446"/>
      <c r="M43" s="15"/>
      <c r="N43" s="16"/>
      <c r="O43" s="17"/>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row>
    <row r="44" spans="2:60" ht="64.5" customHeight="1">
      <c r="B44" s="444"/>
      <c r="C44" s="444"/>
      <c r="D44" s="444"/>
      <c r="E44" s="445"/>
      <c r="F44" s="445"/>
      <c r="G44" s="445"/>
      <c r="H44" s="445"/>
      <c r="I44" s="445"/>
      <c r="J44" s="446"/>
      <c r="K44" s="446"/>
      <c r="L44" s="446"/>
      <c r="M44" s="15"/>
      <c r="N44" s="16"/>
      <c r="O44" s="17"/>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row>
    <row r="45" spans="2:60" ht="49.5" customHeight="1">
      <c r="B45" s="444"/>
      <c r="C45" s="444"/>
      <c r="D45" s="444"/>
      <c r="E45" s="445"/>
      <c r="F45" s="445"/>
      <c r="G45" s="445"/>
      <c r="H45" s="445"/>
      <c r="I45" s="445"/>
      <c r="J45" s="446"/>
      <c r="K45" s="446"/>
      <c r="L45" s="446"/>
      <c r="M45" s="15"/>
      <c r="N45" s="16"/>
      <c r="O45" s="17"/>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row>
    <row r="46" spans="2:60" ht="30" customHeight="1">
      <c r="B46" s="447"/>
      <c r="C46" s="447"/>
      <c r="D46" s="447"/>
      <c r="E46" s="18"/>
      <c r="F46" s="19"/>
      <c r="G46" s="19"/>
      <c r="H46" s="19"/>
      <c r="I46" s="20"/>
      <c r="J46" s="15"/>
      <c r="K46" s="16"/>
      <c r="L46" s="17"/>
      <c r="M46" s="15"/>
      <c r="N46" s="16"/>
      <c r="O46" s="17"/>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row>
    <row r="47" spans="2:60" ht="33.75" customHeight="1">
      <c r="B47" s="21"/>
      <c r="C47" s="22"/>
      <c r="D47" s="22"/>
      <c r="E47" s="23"/>
      <c r="F47" s="24"/>
      <c r="G47" s="24"/>
      <c r="H47" s="24"/>
      <c r="I47" s="24"/>
      <c r="J47" s="23"/>
      <c r="K47" s="23"/>
      <c r="L47" s="25"/>
      <c r="M47" s="26"/>
      <c r="N47" s="23"/>
      <c r="O47" s="25"/>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row>
    <row r="48" spans="2:60" ht="15.75" customHeight="1">
      <c r="B48" s="442" t="s">
        <v>40</v>
      </c>
      <c r="C48" s="442"/>
      <c r="D48" s="442"/>
      <c r="E48" s="442"/>
      <c r="F48" s="442"/>
      <c r="G48" s="442"/>
      <c r="H48" s="442"/>
      <c r="I48" s="442"/>
      <c r="J48" s="442"/>
      <c r="K48" s="442"/>
      <c r="L48" s="442"/>
      <c r="M48" s="443" t="s">
        <v>41</v>
      </c>
      <c r="N48" s="443"/>
      <c r="O48" s="443"/>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row>
  </sheetData>
  <sheetProtection password="CFC9" sheet="1"/>
  <mergeCells count="116">
    <mergeCell ref="B8:D8"/>
    <mergeCell ref="E8:I8"/>
    <mergeCell ref="J8:L8"/>
    <mergeCell ref="M8:O8"/>
    <mergeCell ref="B2:M2"/>
    <mergeCell ref="B5:O5"/>
    <mergeCell ref="B7:D7"/>
    <mergeCell ref="E7:I7"/>
    <mergeCell ref="J7:L7"/>
    <mergeCell ref="M7:O7"/>
    <mergeCell ref="B10:D10"/>
    <mergeCell ref="E10:I10"/>
    <mergeCell ref="J10:L10"/>
    <mergeCell ref="M10:O10"/>
    <mergeCell ref="B9:D9"/>
    <mergeCell ref="E9:I9"/>
    <mergeCell ref="J9:L9"/>
    <mergeCell ref="M9:O9"/>
    <mergeCell ref="B12:D12"/>
    <mergeCell ref="E12:I12"/>
    <mergeCell ref="J12:L12"/>
    <mergeCell ref="M12:O12"/>
    <mergeCell ref="B11:D11"/>
    <mergeCell ref="E11:I11"/>
    <mergeCell ref="J11:L11"/>
    <mergeCell ref="M11:O11"/>
    <mergeCell ref="B14:D14"/>
    <mergeCell ref="E14:I14"/>
    <mergeCell ref="J14:L14"/>
    <mergeCell ref="M14:O14"/>
    <mergeCell ref="B13:D13"/>
    <mergeCell ref="E13:I13"/>
    <mergeCell ref="J13:L13"/>
    <mergeCell ref="M13:O13"/>
    <mergeCell ref="B16:O16"/>
    <mergeCell ref="B18:D18"/>
    <mergeCell ref="E18:I18"/>
    <mergeCell ref="J18:L18"/>
    <mergeCell ref="M18:O18"/>
    <mergeCell ref="B15:D15"/>
    <mergeCell ref="E15:I15"/>
    <mergeCell ref="J15:L15"/>
    <mergeCell ref="M15:O15"/>
    <mergeCell ref="B20:D20"/>
    <mergeCell ref="E20:I20"/>
    <mergeCell ref="J20:L20"/>
    <mergeCell ref="M20:O20"/>
    <mergeCell ref="B19:D19"/>
    <mergeCell ref="E19:I19"/>
    <mergeCell ref="J19:L19"/>
    <mergeCell ref="M19:O19"/>
    <mergeCell ref="B22:D22"/>
    <mergeCell ref="E22:I22"/>
    <mergeCell ref="J22:L22"/>
    <mergeCell ref="M22:O22"/>
    <mergeCell ref="B21:D21"/>
    <mergeCell ref="E21:I21"/>
    <mergeCell ref="J21:L21"/>
    <mergeCell ref="M21:O21"/>
    <mergeCell ref="B25:D25"/>
    <mergeCell ref="E25:I25"/>
    <mergeCell ref="J25:L25"/>
    <mergeCell ref="M25:O25"/>
    <mergeCell ref="B23:D24"/>
    <mergeCell ref="E23:I23"/>
    <mergeCell ref="J23:L24"/>
    <mergeCell ref="M23:O24"/>
    <mergeCell ref="E24:I24"/>
    <mergeCell ref="B33:D33"/>
    <mergeCell ref="E33:I33"/>
    <mergeCell ref="J33:L33"/>
    <mergeCell ref="M33:O33"/>
    <mergeCell ref="B30:O30"/>
    <mergeCell ref="B32:D32"/>
    <mergeCell ref="E32:I32"/>
    <mergeCell ref="J32:L32"/>
    <mergeCell ref="M32:O32"/>
    <mergeCell ref="B35:D35"/>
    <mergeCell ref="E35:I35"/>
    <mergeCell ref="J35:L35"/>
    <mergeCell ref="M35:O35"/>
    <mergeCell ref="B34:D34"/>
    <mergeCell ref="E34:I34"/>
    <mergeCell ref="J34:L34"/>
    <mergeCell ref="M34:O34"/>
    <mergeCell ref="J38:L38"/>
    <mergeCell ref="M38:O38"/>
    <mergeCell ref="B39:D39"/>
    <mergeCell ref="E39:I39"/>
    <mergeCell ref="B36:D36"/>
    <mergeCell ref="B37:D37"/>
    <mergeCell ref="E37:I37"/>
    <mergeCell ref="B38:D38"/>
    <mergeCell ref="E38:I38"/>
    <mergeCell ref="B41:D41"/>
    <mergeCell ref="E41:I41"/>
    <mergeCell ref="B48:L48"/>
    <mergeCell ref="M48:O48"/>
    <mergeCell ref="B45:D45"/>
    <mergeCell ref="E45:I45"/>
    <mergeCell ref="J45:L45"/>
    <mergeCell ref="B46:D46"/>
    <mergeCell ref="J41:L41"/>
    <mergeCell ref="M41:O41"/>
    <mergeCell ref="B40:D40"/>
    <mergeCell ref="E40:I40"/>
    <mergeCell ref="J40:L40"/>
    <mergeCell ref="M40:O40"/>
    <mergeCell ref="J43:L43"/>
    <mergeCell ref="B44:D44"/>
    <mergeCell ref="E44:I44"/>
    <mergeCell ref="J44:L44"/>
    <mergeCell ref="B42:D42"/>
    <mergeCell ref="E42:I42"/>
    <mergeCell ref="B43:D43"/>
    <mergeCell ref="E43:I43"/>
  </mergeCells>
  <phoneticPr fontId="67" type="noConversion"/>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1"/>
    <pageSetUpPr fitToPage="1"/>
  </sheetPr>
  <dimension ref="A1:AC155"/>
  <sheetViews>
    <sheetView showGridLines="0" topLeftCell="A128" zoomScale="80" zoomScaleNormal="80" workbookViewId="0">
      <selection activeCell="B137" sqref="B137:D138"/>
    </sheetView>
  </sheetViews>
  <sheetFormatPr baseColWidth="10" defaultColWidth="10.7109375" defaultRowHeight="15"/>
  <cols>
    <col min="1" max="1" width="2.5703125" customWidth="1"/>
    <col min="2" max="2" width="98.42578125" customWidth="1"/>
    <col min="3" max="3" width="26" customWidth="1"/>
    <col min="4" max="4" width="19.140625" customWidth="1"/>
    <col min="5" max="5" width="16.42578125" customWidth="1"/>
    <col min="6" max="6" width="17.42578125" customWidth="1"/>
    <col min="7" max="7" width="16.42578125" customWidth="1"/>
    <col min="8" max="8" width="17.42578125" customWidth="1"/>
    <col min="9" max="9" width="16.42578125" customWidth="1"/>
    <col min="10" max="10" width="16.85546875" customWidth="1"/>
    <col min="11" max="11" width="18.42578125" customWidth="1"/>
    <col min="12" max="12" width="15.42578125" customWidth="1"/>
    <col min="13" max="13" width="20.42578125" customWidth="1"/>
    <col min="14" max="14" width="14.42578125" customWidth="1"/>
    <col min="15" max="15" width="16.140625" customWidth="1"/>
    <col min="16" max="16" width="13.5703125" customWidth="1"/>
    <col min="17" max="17" width="13.42578125" customWidth="1"/>
    <col min="18" max="18" width="11.42578125" customWidth="1"/>
    <col min="19" max="19" width="2.42578125" customWidth="1"/>
    <col min="20" max="20" width="1.140625" customWidth="1"/>
    <col min="21" max="21" width="3.42578125" customWidth="1"/>
    <col min="22" max="22" width="17" customWidth="1"/>
    <col min="23" max="23" width="15" customWidth="1"/>
    <col min="24" max="24" width="11.42578125" customWidth="1"/>
    <col min="25" max="25" width="13.42578125" customWidth="1"/>
    <col min="26" max="26" width="16.85546875" customWidth="1"/>
    <col min="27" max="27" width="11.42578125" customWidth="1"/>
    <col min="28" max="28" width="2" customWidth="1"/>
    <col min="29" max="29" width="3.42578125" customWidth="1"/>
    <col min="30" max="30" width="2.42578125" customWidth="1"/>
    <col min="31" max="31" width="40.5703125" customWidth="1"/>
    <col min="32" max="32" width="15.42578125" customWidth="1"/>
  </cols>
  <sheetData>
    <row r="1" spans="2:13" ht="29.25" customHeight="1"/>
    <row r="2" spans="2:13" ht="15.75" customHeight="1">
      <c r="B2" s="498" t="s">
        <v>42</v>
      </c>
      <c r="C2" s="498"/>
      <c r="D2" s="498"/>
      <c r="E2" s="498"/>
      <c r="F2" s="498"/>
      <c r="G2" s="498"/>
      <c r="H2" s="498"/>
      <c r="I2" s="498"/>
      <c r="J2" s="498"/>
      <c r="K2" s="27"/>
      <c r="L2" s="27"/>
      <c r="M2" s="27"/>
    </row>
    <row r="3" spans="2:13" ht="4.5" customHeight="1"/>
    <row r="4" spans="2:13" ht="14.25" customHeight="1">
      <c r="B4" s="28" t="s">
        <v>43</v>
      </c>
      <c r="C4" s="504" t="s">
        <v>44</v>
      </c>
      <c r="D4" s="504"/>
      <c r="E4" s="499" t="s">
        <v>45</v>
      </c>
      <c r="F4" s="499"/>
      <c r="G4" s="505" t="s">
        <v>46</v>
      </c>
      <c r="H4" s="505"/>
      <c r="I4" s="505"/>
      <c r="J4" s="505"/>
    </row>
    <row r="5" spans="2:13" ht="3" customHeight="1">
      <c r="B5" s="30"/>
      <c r="E5" s="31"/>
      <c r="F5" s="31"/>
    </row>
    <row r="6" spans="2:13">
      <c r="B6" s="28" t="s">
        <v>47</v>
      </c>
      <c r="C6" s="508" t="s">
        <v>48</v>
      </c>
      <c r="D6" s="508"/>
      <c r="E6" s="499" t="s">
        <v>49</v>
      </c>
      <c r="F6" s="499"/>
      <c r="G6" s="29" t="s">
        <v>50</v>
      </c>
      <c r="H6" s="32" t="s">
        <v>51</v>
      </c>
      <c r="I6" s="509">
        <v>9950916</v>
      </c>
      <c r="J6" s="509"/>
    </row>
    <row r="7" spans="2:13" ht="3" customHeight="1">
      <c r="B7" s="30"/>
      <c r="E7" s="31"/>
      <c r="F7" s="31"/>
      <c r="H7" s="30"/>
    </row>
    <row r="8" spans="2:13">
      <c r="B8" s="28" t="s">
        <v>52</v>
      </c>
      <c r="C8" s="508" t="s">
        <v>53</v>
      </c>
      <c r="D8" s="508"/>
      <c r="E8" s="31"/>
      <c r="F8" s="28"/>
      <c r="G8" s="29"/>
      <c r="H8" s="28"/>
      <c r="I8" s="504"/>
      <c r="J8" s="504"/>
    </row>
    <row r="9" spans="2:13" ht="3" customHeight="1">
      <c r="B9" s="31"/>
      <c r="C9" s="33">
        <v>39825</v>
      </c>
      <c r="E9" s="31"/>
      <c r="F9" s="31"/>
    </row>
    <row r="10" spans="2:13">
      <c r="B10" s="28" t="s">
        <v>54</v>
      </c>
      <c r="C10" s="506">
        <v>42370</v>
      </c>
      <c r="D10" s="506"/>
      <c r="E10" s="507" t="s">
        <v>55</v>
      </c>
      <c r="F10" s="507"/>
      <c r="G10" s="504" t="s">
        <v>56</v>
      </c>
      <c r="H10" s="504"/>
      <c r="I10" s="504"/>
      <c r="J10" s="504"/>
    </row>
    <row r="11" spans="2:13" ht="5.25" customHeight="1"/>
    <row r="12" spans="2:13" ht="15" customHeight="1">
      <c r="B12" s="28" t="s">
        <v>57</v>
      </c>
      <c r="C12" s="495" t="s">
        <v>270</v>
      </c>
      <c r="D12" s="495"/>
      <c r="E12" s="496" t="s">
        <v>59</v>
      </c>
      <c r="F12" s="496"/>
      <c r="G12" s="497" t="s">
        <v>60</v>
      </c>
      <c r="H12" s="497"/>
      <c r="I12" s="497"/>
      <c r="J12" s="497"/>
    </row>
    <row r="13" spans="2:13" ht="5.25" customHeight="1"/>
    <row r="14" spans="2:13" ht="15.75" customHeight="1">
      <c r="B14" s="498" t="s">
        <v>61</v>
      </c>
      <c r="C14" s="498"/>
      <c r="D14" s="498"/>
      <c r="E14" s="498"/>
      <c r="F14" s="498"/>
      <c r="G14" s="498"/>
      <c r="H14" s="498"/>
      <c r="I14" s="498"/>
      <c r="J14" s="498"/>
    </row>
    <row r="15" spans="2:13" ht="3" customHeight="1"/>
    <row r="16" spans="2:13">
      <c r="B16" s="28" t="s">
        <v>62</v>
      </c>
      <c r="C16" s="29" t="s">
        <v>81</v>
      </c>
      <c r="D16" s="28" t="s">
        <v>64</v>
      </c>
      <c r="E16" s="34">
        <v>43101</v>
      </c>
      <c r="F16" s="35" t="s">
        <v>65</v>
      </c>
      <c r="G16" s="34">
        <v>43465</v>
      </c>
      <c r="H16" s="501" t="s">
        <v>66</v>
      </c>
      <c r="I16" s="501"/>
      <c r="J16" s="34">
        <v>43563</v>
      </c>
    </row>
    <row r="17" spans="2:29" ht="3" customHeight="1"/>
    <row r="18" spans="2:29">
      <c r="B18" s="502" t="s">
        <v>67</v>
      </c>
      <c r="C18" s="502"/>
      <c r="D18" s="503" t="s">
        <v>68</v>
      </c>
      <c r="E18" s="503"/>
      <c r="F18" s="503"/>
    </row>
    <row r="19" spans="2:29" ht="3" customHeight="1"/>
    <row r="20" spans="2:29" ht="5.25" customHeight="1"/>
    <row r="21" spans="2:29" ht="15.75" customHeight="1">
      <c r="B21" s="498" t="s">
        <v>69</v>
      </c>
      <c r="C21" s="498"/>
      <c r="D21" s="498"/>
      <c r="E21" s="498"/>
      <c r="F21" s="498"/>
      <c r="G21" s="498"/>
      <c r="H21" s="498"/>
      <c r="I21" s="498"/>
      <c r="J21" s="498"/>
    </row>
    <row r="22" spans="2:29">
      <c r="B22" s="36" t="s">
        <v>70</v>
      </c>
    </row>
    <row r="23" spans="2:29" ht="3" customHeight="1"/>
    <row r="24" spans="2:29">
      <c r="B24" s="28" t="s">
        <v>71</v>
      </c>
      <c r="C24" s="37"/>
      <c r="D24" s="499" t="s">
        <v>72</v>
      </c>
      <c r="E24" s="499"/>
      <c r="F24" s="38"/>
      <c r="G24" s="499" t="s">
        <v>73</v>
      </c>
      <c r="H24" s="499"/>
      <c r="I24" s="500"/>
      <c r="J24" s="500"/>
    </row>
    <row r="25" spans="2:29" ht="18.75">
      <c r="B25" s="39" t="s">
        <v>71</v>
      </c>
      <c r="C25" s="40"/>
      <c r="D25" s="40"/>
      <c r="E25" s="40"/>
      <c r="F25" s="40"/>
      <c r="G25" s="40"/>
      <c r="H25" s="41"/>
      <c r="I25" s="41"/>
      <c r="J25" s="41" t="s">
        <v>74</v>
      </c>
      <c r="K25" s="41"/>
      <c r="L25" s="40"/>
      <c r="M25" s="40"/>
      <c r="N25" s="42"/>
      <c r="AC25" s="43"/>
    </row>
    <row r="26" spans="2:29">
      <c r="B26" s="491" t="s">
        <v>75</v>
      </c>
      <c r="C26" s="491"/>
      <c r="D26" s="44" t="s">
        <v>76</v>
      </c>
      <c r="E26" s="45"/>
      <c r="F26" s="45"/>
      <c r="G26" s="45"/>
      <c r="H26" s="45"/>
      <c r="I26" s="45"/>
      <c r="J26" s="46"/>
      <c r="K26" s="45"/>
      <c r="L26" s="45"/>
      <c r="M26" s="45"/>
      <c r="N26" s="47"/>
      <c r="AC26" s="43"/>
    </row>
    <row r="27" spans="2:29" ht="18.75">
      <c r="B27" s="48" t="s">
        <v>77</v>
      </c>
      <c r="C27" s="45"/>
      <c r="D27" s="45"/>
      <c r="E27" s="45"/>
      <c r="F27" s="45"/>
      <c r="G27" s="45"/>
      <c r="H27" s="45"/>
      <c r="I27" s="45"/>
      <c r="J27" s="46"/>
      <c r="K27" s="45"/>
      <c r="L27" s="45"/>
      <c r="M27" s="45"/>
      <c r="N27" s="47"/>
      <c r="AC27" s="43"/>
    </row>
    <row r="29" spans="2:29">
      <c r="B29" s="492" t="s">
        <v>78</v>
      </c>
      <c r="C29" s="492"/>
      <c r="D29" s="492"/>
      <c r="E29" s="492"/>
      <c r="F29" s="492"/>
      <c r="G29" s="492"/>
      <c r="H29" s="492"/>
      <c r="I29" s="492"/>
      <c r="J29" s="492"/>
      <c r="K29" s="492"/>
      <c r="L29" s="492"/>
      <c r="M29" s="492"/>
      <c r="N29" s="492"/>
      <c r="O29" s="49"/>
      <c r="P29" s="50">
        <f>+C33</f>
        <v>4383064.1091099996</v>
      </c>
      <c r="Q29" s="49"/>
    </row>
    <row r="30" spans="2:29" ht="45" customHeight="1">
      <c r="B30" s="51" t="s">
        <v>79</v>
      </c>
      <c r="C30" s="52" t="s">
        <v>80</v>
      </c>
      <c r="D30" s="52" t="s">
        <v>63</v>
      </c>
      <c r="E30" s="52" t="s">
        <v>81</v>
      </c>
      <c r="F30" s="52" t="s">
        <v>82</v>
      </c>
      <c r="G30" s="52" t="s">
        <v>83</v>
      </c>
      <c r="H30" s="52" t="s">
        <v>84</v>
      </c>
      <c r="I30" s="52" t="s">
        <v>85</v>
      </c>
      <c r="J30" s="52" t="s">
        <v>86</v>
      </c>
      <c r="K30" s="52" t="s">
        <v>87</v>
      </c>
      <c r="L30" s="52" t="s">
        <v>88</v>
      </c>
      <c r="M30" s="52" t="s">
        <v>89</v>
      </c>
      <c r="N30" s="52" t="s">
        <v>90</v>
      </c>
      <c r="O30" s="49"/>
      <c r="P30" s="50">
        <f>+D33</f>
        <v>7436732.1100000003</v>
      </c>
      <c r="Q30" s="49"/>
    </row>
    <row r="31" spans="2:29" ht="14.25" customHeight="1">
      <c r="B31" s="53" t="str">
        <f>CONCATENATE("Presupuesto (en ",'Introducción de datos'!$D$26,")")</f>
        <v>Presupuesto (en $)</v>
      </c>
      <c r="C31" s="54">
        <v>4383064.1091099996</v>
      </c>
      <c r="D31" s="54">
        <v>3053668</v>
      </c>
      <c r="E31" s="54">
        <v>2514184</v>
      </c>
      <c r="F31" s="55"/>
      <c r="G31" s="55"/>
      <c r="H31" s="55"/>
      <c r="I31" s="55"/>
      <c r="J31" s="55"/>
      <c r="K31" s="55"/>
      <c r="L31" s="55"/>
      <c r="M31" s="55"/>
      <c r="N31" s="55"/>
      <c r="O31" s="49"/>
      <c r="P31" s="50">
        <f>+E33</f>
        <v>9950916.1099999994</v>
      </c>
      <c r="Q31" s="49"/>
    </row>
    <row r="32" spans="2:29" ht="14.25" customHeight="1">
      <c r="B32" s="56" t="str">
        <f>CONCATENATE("Desembolsos por el Fondo Mundial (en ",$D$26,")")</f>
        <v>Desembolsos por el Fondo Mundial (en $)</v>
      </c>
      <c r="C32" s="54">
        <v>4383064.1100000003</v>
      </c>
      <c r="D32" s="54">
        <v>3053668</v>
      </c>
      <c r="E32" s="54">
        <v>2514184</v>
      </c>
      <c r="F32" s="57"/>
      <c r="G32" s="57"/>
      <c r="H32" s="57"/>
      <c r="I32" s="55"/>
      <c r="J32" s="55"/>
      <c r="K32" s="55"/>
      <c r="L32" s="55"/>
      <c r="M32" s="55"/>
      <c r="N32" s="55"/>
      <c r="O32" s="49"/>
      <c r="P32" s="50">
        <f>+F33</f>
        <v>0</v>
      </c>
      <c r="Q32" s="49"/>
    </row>
    <row r="33" spans="2:17" ht="14.25" customHeight="1">
      <c r="B33" s="58" t="s">
        <v>91</v>
      </c>
      <c r="C33" s="59">
        <f>+C31</f>
        <v>4383064.1091099996</v>
      </c>
      <c r="D33" s="54">
        <f>+D32+C34</f>
        <v>7436732.1100000003</v>
      </c>
      <c r="E33" s="54">
        <f>+E32+D34</f>
        <v>9950916.1099999994</v>
      </c>
      <c r="F33" s="59"/>
      <c r="G33" s="59"/>
      <c r="H33" s="59"/>
      <c r="I33" s="59"/>
      <c r="J33" s="60"/>
      <c r="K33" s="59"/>
      <c r="L33" s="59"/>
      <c r="M33" s="59"/>
      <c r="N33" s="59"/>
      <c r="O33" s="49"/>
      <c r="P33" s="50">
        <f>+G33</f>
        <v>0</v>
      </c>
      <c r="Q33" s="49"/>
    </row>
    <row r="34" spans="2:17" ht="15" customHeight="1" thickBot="1">
      <c r="B34" s="61" t="s">
        <v>92</v>
      </c>
      <c r="C34" s="62">
        <f>+C32</f>
        <v>4383064.1100000003</v>
      </c>
      <c r="D34" s="54">
        <f>+D33+C35</f>
        <v>7436732.1100000003</v>
      </c>
      <c r="E34" s="54">
        <f>+E33+D35</f>
        <v>9950916.1099999994</v>
      </c>
      <c r="F34" s="62"/>
      <c r="G34" s="62"/>
      <c r="H34" s="62"/>
      <c r="I34" s="62"/>
      <c r="J34" s="62"/>
      <c r="K34" s="62"/>
      <c r="L34" s="62"/>
      <c r="M34" s="62"/>
      <c r="N34" s="62"/>
      <c r="O34" s="49"/>
      <c r="P34" s="50">
        <f>+H33</f>
        <v>0</v>
      </c>
      <c r="Q34" s="49"/>
    </row>
    <row r="35" spans="2:17">
      <c r="C35" s="63">
        <f t="shared" ref="C35:N35" si="0">+IF(AND(C30=$C$16,C33&lt;&gt;0),C34/C33,0)</f>
        <v>0</v>
      </c>
      <c r="D35" s="63">
        <f t="shared" si="0"/>
        <v>0</v>
      </c>
      <c r="E35" s="63">
        <f t="shared" si="0"/>
        <v>1</v>
      </c>
      <c r="F35" s="63">
        <f t="shared" si="0"/>
        <v>0</v>
      </c>
      <c r="G35" s="63">
        <f t="shared" si="0"/>
        <v>0</v>
      </c>
      <c r="H35" s="63">
        <f t="shared" si="0"/>
        <v>0</v>
      </c>
      <c r="I35" s="63">
        <f t="shared" si="0"/>
        <v>0</v>
      </c>
      <c r="J35" s="63">
        <f t="shared" si="0"/>
        <v>0</v>
      </c>
      <c r="K35" s="63">
        <f t="shared" si="0"/>
        <v>0</v>
      </c>
      <c r="L35" s="63">
        <f t="shared" si="0"/>
        <v>0</v>
      </c>
      <c r="M35" s="63">
        <f t="shared" si="0"/>
        <v>0</v>
      </c>
      <c r="N35" s="63">
        <f t="shared" si="0"/>
        <v>0</v>
      </c>
      <c r="O35" s="49"/>
      <c r="P35" s="50">
        <f>+I33</f>
        <v>0</v>
      </c>
      <c r="Q35" s="49"/>
    </row>
    <row r="36" spans="2:17" ht="18.75">
      <c r="B36" s="48" t="s">
        <v>93</v>
      </c>
      <c r="E36" s="64"/>
      <c r="G36" s="65"/>
      <c r="N36" s="66"/>
    </row>
    <row r="37" spans="2:17">
      <c r="N37" s="67"/>
    </row>
    <row r="38" spans="2:17" ht="33.75" customHeight="1">
      <c r="B38" s="427" t="s">
        <v>94</v>
      </c>
      <c r="C38" s="428" t="str">
        <f>CONCATENATE("Presupuesto acumulado (en ",'Introducción de datos'!$D$26,")")</f>
        <v>Presupuesto acumulado (en $)</v>
      </c>
      <c r="D38" s="429" t="str">
        <f>CONCATENATE("Gastos acumulados (en ",'Introducción de datos'!$D$26,")")</f>
        <v>Gastos acumulados (en $)</v>
      </c>
      <c r="E38" s="68"/>
      <c r="F38" s="425"/>
      <c r="J38" s="70"/>
      <c r="K38" s="70"/>
    </row>
    <row r="39" spans="2:17" ht="24.75" customHeight="1">
      <c r="B39" s="430" t="s">
        <v>95</v>
      </c>
      <c r="C39" s="431">
        <f>3357666.82+1458319.31</f>
        <v>4815986.13</v>
      </c>
      <c r="D39" s="431">
        <f>1835360.21+1973245.82</f>
        <v>3808606.0300000003</v>
      </c>
      <c r="E39" s="71"/>
      <c r="F39" s="425"/>
      <c r="G39" s="72"/>
      <c r="J39" s="7"/>
      <c r="K39" s="7"/>
    </row>
    <row r="40" spans="2:17" ht="14.25" customHeight="1">
      <c r="B40" s="430" t="s">
        <v>96</v>
      </c>
      <c r="C40" s="431">
        <f>367270+138859</f>
        <v>506129</v>
      </c>
      <c r="D40" s="431">
        <f>207958.65+225247.38</f>
        <v>433206.03</v>
      </c>
      <c r="F40" s="425"/>
      <c r="G40" s="72"/>
      <c r="K40" s="7"/>
    </row>
    <row r="41" spans="2:17" ht="18.75">
      <c r="B41" s="432" t="s">
        <v>97</v>
      </c>
      <c r="C41" s="431">
        <v>145000</v>
      </c>
      <c r="D41" s="431">
        <f>145000+103440</f>
        <v>248440</v>
      </c>
      <c r="F41" s="425"/>
      <c r="H41" s="426"/>
      <c r="K41" s="7"/>
    </row>
    <row r="42" spans="2:17" ht="15" customHeight="1">
      <c r="B42" s="430" t="s">
        <v>98</v>
      </c>
      <c r="C42" s="431">
        <f>10000+6000</f>
        <v>16000</v>
      </c>
      <c r="D42" s="431">
        <f>4930+106987.09</f>
        <v>111917.09</v>
      </c>
      <c r="F42" s="425"/>
    </row>
    <row r="43" spans="2:17" ht="18.75">
      <c r="B43" s="430" t="s">
        <v>99</v>
      </c>
      <c r="C43" s="431">
        <f>47454.2+25171.7</f>
        <v>72625.899999999994</v>
      </c>
      <c r="D43" s="431">
        <f>43810.75+119924.09</f>
        <v>163734.84</v>
      </c>
      <c r="F43" s="425"/>
    </row>
    <row r="44" spans="2:17" ht="18.75">
      <c r="B44" s="430" t="s">
        <v>100</v>
      </c>
      <c r="C44" s="431">
        <f>801868+199340</f>
        <v>1001208</v>
      </c>
      <c r="D44" s="433">
        <f>482513.17+478908.27</f>
        <v>961421.44</v>
      </c>
      <c r="F44" s="425"/>
    </row>
    <row r="45" spans="2:17" ht="18.75">
      <c r="B45" s="434" t="s">
        <v>101</v>
      </c>
      <c r="C45" s="431">
        <f>1765883.94+273920</f>
        <v>2039803.94</v>
      </c>
      <c r="D45" s="433">
        <f>593810.14+876270.26</f>
        <v>1470080.4</v>
      </c>
      <c r="F45" s="425"/>
    </row>
    <row r="46" spans="2:17" ht="18.75">
      <c r="B46" s="434" t="s">
        <v>102</v>
      </c>
      <c r="C46" s="431">
        <f>392153.98+212788.99</f>
        <v>604942.97</v>
      </c>
      <c r="D46" s="433">
        <f>204105.42+202925.27</f>
        <v>407030.69</v>
      </c>
      <c r="F46" s="425"/>
    </row>
    <row r="47" spans="2:17" ht="18.75">
      <c r="B47" s="434" t="s">
        <v>103</v>
      </c>
      <c r="C47" s="431">
        <f>549435.17228+199785</f>
        <v>749220.17228000006</v>
      </c>
      <c r="D47" s="433">
        <f>317878.74-15+345861.82+20452.7+1.01</f>
        <v>684179.27</v>
      </c>
      <c r="F47" s="425"/>
    </row>
    <row r="48" spans="2:17" ht="19.5" thickBot="1">
      <c r="B48" s="435"/>
      <c r="C48" s="436"/>
      <c r="D48" s="437"/>
    </row>
    <row r="49" spans="2:17" ht="19.5" thickBot="1">
      <c r="B49" s="438" t="s">
        <v>104</v>
      </c>
      <c r="C49" s="439">
        <f>SUM(C39:C47)</f>
        <v>9950916.1122800019</v>
      </c>
      <c r="D49" s="439">
        <f>SUM(D39:D47)</f>
        <v>8288615.790000001</v>
      </c>
      <c r="E49" s="74"/>
      <c r="F49" s="493" t="str">
        <f ca="1">+IF((ROUND(C49,0)=ROUND(OFFSET(B33,0,RIGHT('Introducción de datos'!$C$16,LEN('Introducción de datos'!$C$16)-1),1,1),0)),"OK: Datos corresponden","Atención: Datos no corresponden")</f>
        <v>OK: Datos corresponden</v>
      </c>
      <c r="G49" s="493"/>
      <c r="H49" s="493"/>
      <c r="I49" s="493"/>
      <c r="J49" s="75"/>
      <c r="K49" s="75">
        <f>+D49/C49</f>
        <v>0.83295002153333131</v>
      </c>
      <c r="L49" s="75"/>
      <c r="M49" s="76"/>
      <c r="N49" s="49"/>
    </row>
    <row r="50" spans="2:17">
      <c r="B50" s="77" t="s">
        <v>105</v>
      </c>
      <c r="C50" s="75"/>
      <c r="D50" s="75"/>
      <c r="E50" s="78"/>
      <c r="F50" s="75"/>
      <c r="G50" s="75"/>
      <c r="H50" s="75"/>
      <c r="I50" s="75"/>
      <c r="J50" s="75"/>
      <c r="K50" s="75"/>
      <c r="L50" s="75"/>
      <c r="M50" s="75"/>
      <c r="N50" s="75"/>
      <c r="O50" s="49"/>
      <c r="P50" s="50"/>
      <c r="Q50" s="49"/>
    </row>
    <row r="51" spans="2:17" ht="18.75">
      <c r="B51" s="48" t="s">
        <v>106</v>
      </c>
      <c r="O51" s="49"/>
      <c r="P51" s="50">
        <f>+J33</f>
        <v>0</v>
      </c>
      <c r="Q51" s="49"/>
    </row>
    <row r="52" spans="2:17">
      <c r="O52" s="49"/>
      <c r="P52" s="50">
        <f>+K33</f>
        <v>0</v>
      </c>
      <c r="Q52" s="49"/>
    </row>
    <row r="53" spans="2:17" ht="35.25" customHeight="1">
      <c r="B53" s="79"/>
      <c r="C53" s="80" t="s">
        <v>107</v>
      </c>
      <c r="D53" s="80" t="s">
        <v>108</v>
      </c>
      <c r="E53" s="81" t="str">
        <f>CONCATENATE("Total gastado y desembolso (en ",D26,")")</f>
        <v>Total gastado y desembolso (en $)</v>
      </c>
      <c r="G53" s="82"/>
      <c r="H53" s="69"/>
      <c r="I53" s="83"/>
      <c r="J53" s="83"/>
      <c r="K53" s="83"/>
      <c r="L53" s="83"/>
      <c r="M53" s="84"/>
      <c r="N53" s="84"/>
      <c r="O53" s="50">
        <f>+M33</f>
        <v>0</v>
      </c>
      <c r="P53" s="49"/>
    </row>
    <row r="54" spans="2:17">
      <c r="B54" s="85" t="s">
        <v>109</v>
      </c>
      <c r="C54" s="86">
        <f>4383064.11+3053668</f>
        <v>7436732.1100000003</v>
      </c>
      <c r="D54" s="87">
        <f>2514184+52629.34-52629.34</f>
        <v>2514184</v>
      </c>
      <c r="E54" s="87">
        <f>+D54+C54</f>
        <v>9950916.1099999994</v>
      </c>
      <c r="G54" s="88"/>
      <c r="H54" s="424"/>
      <c r="I54" s="90"/>
      <c r="J54" s="91"/>
      <c r="K54" s="91"/>
      <c r="L54" s="92"/>
      <c r="M54" s="92"/>
      <c r="N54" s="92"/>
      <c r="O54" s="49"/>
      <c r="P54" s="49"/>
    </row>
    <row r="55" spans="2:17">
      <c r="B55" s="419" t="s">
        <v>367</v>
      </c>
      <c r="C55" s="86">
        <f>11135.07+22704.01+13299.42</f>
        <v>47138.5</v>
      </c>
      <c r="D55" s="87">
        <f>5488.4+5825+3721.15+2258.03</f>
        <v>17292.579999999998</v>
      </c>
      <c r="E55" s="87">
        <f>+D55+C55</f>
        <v>64431.08</v>
      </c>
      <c r="G55" s="420"/>
      <c r="H55" s="89"/>
      <c r="I55" s="90"/>
      <c r="J55" s="91"/>
      <c r="K55" s="91"/>
      <c r="L55" s="92"/>
      <c r="M55" s="92"/>
      <c r="N55" s="92"/>
      <c r="O55" s="49"/>
      <c r="P55" s="49"/>
    </row>
    <row r="56" spans="2:17">
      <c r="B56" s="93" t="s">
        <v>369</v>
      </c>
      <c r="C56" s="86">
        <f>1419122.16+2416230.93</f>
        <v>3835353.09</v>
      </c>
      <c r="D56" s="87">
        <v>4453262.7</v>
      </c>
      <c r="E56" s="87">
        <f>+D56+C56</f>
        <v>8288615.79</v>
      </c>
      <c r="G56" s="94"/>
      <c r="H56" s="89"/>
      <c r="I56" s="90"/>
      <c r="J56" s="91"/>
      <c r="K56" s="91"/>
      <c r="L56" s="92"/>
      <c r="M56" s="95"/>
      <c r="N56" s="95"/>
      <c r="O56" s="49"/>
      <c r="P56" s="49"/>
    </row>
    <row r="57" spans="2:17">
      <c r="B57" s="96" t="s">
        <v>368</v>
      </c>
      <c r="C57" s="86">
        <f>1440017.96-9800.41</f>
        <v>1430217.55</v>
      </c>
      <c r="D57" s="86">
        <f>737033-10385.99</f>
        <v>726647.01</v>
      </c>
      <c r="E57" s="87">
        <f>737033-10385.99</f>
        <v>726647.01</v>
      </c>
      <c r="G57" s="94"/>
      <c r="H57" s="423"/>
      <c r="I57" s="90"/>
      <c r="J57" s="91"/>
      <c r="K57" s="91"/>
      <c r="L57" s="92"/>
      <c r="M57" s="95"/>
      <c r="N57" s="95"/>
      <c r="O57" s="49"/>
      <c r="P57" s="49"/>
    </row>
    <row r="58" spans="2:17">
      <c r="B58" s="93" t="s">
        <v>110</v>
      </c>
      <c r="C58" s="97">
        <f>+C54+C55-C56-C57</f>
        <v>2218299.9700000007</v>
      </c>
      <c r="D58" s="97">
        <f>+C58+D54+D55-D56</f>
        <v>296513.85000000056</v>
      </c>
      <c r="E58" s="87">
        <f>+E54+E55-E56-E57</f>
        <v>1000084.3899999994</v>
      </c>
      <c r="F58" s="422"/>
      <c r="G58" s="420"/>
      <c r="H58" s="89"/>
      <c r="I58" s="90"/>
      <c r="J58" s="91"/>
      <c r="K58" s="91"/>
      <c r="L58" s="92"/>
      <c r="M58" s="95"/>
      <c r="N58" s="95"/>
      <c r="O58" s="49"/>
      <c r="P58" s="49"/>
    </row>
    <row r="59" spans="2:17" ht="18.75">
      <c r="B59" s="48" t="s">
        <v>111</v>
      </c>
      <c r="C59" s="80"/>
      <c r="D59" s="80"/>
      <c r="E59" s="80"/>
      <c r="G59" s="421"/>
      <c r="O59" s="49"/>
      <c r="P59" s="50">
        <f>+J40</f>
        <v>0</v>
      </c>
      <c r="Q59" s="49"/>
    </row>
    <row r="60" spans="2:17">
      <c r="B60" s="98" t="s">
        <v>355</v>
      </c>
      <c r="C60" s="87">
        <f>2574371.44+1573570.09</f>
        <v>4147941.5300000003</v>
      </c>
      <c r="D60" s="87">
        <v>1916578.03</v>
      </c>
      <c r="E60" s="87">
        <f t="shared" ref="E60:E66" si="1">+D60+C60</f>
        <v>6064519.5600000005</v>
      </c>
      <c r="F60" s="74"/>
      <c r="G60" s="88"/>
      <c r="H60" s="89"/>
      <c r="I60" s="90"/>
      <c r="J60" s="91"/>
      <c r="K60" s="91"/>
      <c r="L60" s="92"/>
      <c r="M60" s="92"/>
      <c r="N60" s="92"/>
    </row>
    <row r="61" spans="2:17">
      <c r="B61" s="98" t="s">
        <v>112</v>
      </c>
      <c r="C61" s="87">
        <f>140560.32+20309</f>
        <v>160869.32</v>
      </c>
      <c r="D61" s="87">
        <v>0</v>
      </c>
      <c r="E61" s="87">
        <f t="shared" si="1"/>
        <v>160869.32</v>
      </c>
      <c r="F61" s="74"/>
      <c r="G61" s="88"/>
      <c r="H61" s="89"/>
      <c r="I61" s="90"/>
      <c r="J61" s="91"/>
      <c r="K61" s="91"/>
      <c r="L61" s="92"/>
      <c r="M61" s="92"/>
      <c r="N61" s="92"/>
    </row>
    <row r="62" spans="2:17">
      <c r="B62" s="98" t="s">
        <v>354</v>
      </c>
      <c r="C62" s="87">
        <f>560436.01+140630.57</f>
        <v>701066.58000000007</v>
      </c>
      <c r="D62" s="87">
        <v>384021.96</v>
      </c>
      <c r="E62" s="87">
        <f t="shared" si="1"/>
        <v>1085088.54</v>
      </c>
      <c r="F62" s="74"/>
      <c r="G62" s="88"/>
      <c r="H62" s="89"/>
      <c r="I62" s="90"/>
      <c r="J62" s="91"/>
      <c r="K62" s="91"/>
      <c r="L62" s="92"/>
      <c r="M62" s="92"/>
      <c r="N62" s="92"/>
    </row>
    <row r="63" spans="2:17">
      <c r="B63" s="98" t="s">
        <v>113</v>
      </c>
      <c r="C63" s="87">
        <f>366787.2+273266.33-15</f>
        <v>640038.53</v>
      </c>
      <c r="D63" s="87">
        <v>1155489.17</v>
      </c>
      <c r="E63" s="87">
        <f t="shared" si="1"/>
        <v>1795527.7</v>
      </c>
      <c r="F63" s="74"/>
      <c r="G63" s="88"/>
      <c r="H63" s="89"/>
      <c r="I63" s="90"/>
      <c r="J63" s="91"/>
      <c r="K63" s="91"/>
      <c r="L63" s="92"/>
      <c r="M63" s="92"/>
      <c r="N63" s="92"/>
      <c r="O63" s="49"/>
      <c r="P63" s="49"/>
    </row>
    <row r="64" spans="2:17">
      <c r="B64" s="98" t="s">
        <v>114</v>
      </c>
      <c r="C64" s="87">
        <f>351337.41+1982040.03</f>
        <v>2333377.44</v>
      </c>
      <c r="D64" s="87">
        <v>2913751.57</v>
      </c>
      <c r="E64" s="87">
        <f t="shared" si="1"/>
        <v>5247129.01</v>
      </c>
      <c r="F64" s="74"/>
      <c r="G64" s="94"/>
      <c r="H64" s="99"/>
      <c r="I64" s="100"/>
      <c r="J64" s="100"/>
      <c r="K64" s="100"/>
      <c r="L64" s="92"/>
      <c r="M64" s="95"/>
      <c r="N64" s="95"/>
    </row>
    <row r="65" spans="2:17">
      <c r="B65" s="98" t="s">
        <v>115</v>
      </c>
      <c r="C65" s="87">
        <f>140560.32+20309</f>
        <v>160869.32</v>
      </c>
      <c r="D65" s="87">
        <v>0</v>
      </c>
      <c r="E65" s="87">
        <f t="shared" si="1"/>
        <v>160869.32</v>
      </c>
      <c r="F65" s="74"/>
      <c r="G65" s="94"/>
      <c r="H65" s="99"/>
      <c r="I65" s="100"/>
      <c r="J65" s="100"/>
      <c r="K65" s="100"/>
      <c r="L65" s="92"/>
      <c r="M65" s="95"/>
      <c r="N65" s="95"/>
    </row>
    <row r="66" spans="2:17">
      <c r="B66" s="101" t="s">
        <v>116</v>
      </c>
      <c r="C66" s="87">
        <f>560436.01+140630.57</f>
        <v>701066.58000000007</v>
      </c>
      <c r="D66" s="87">
        <v>384021.96</v>
      </c>
      <c r="E66" s="87">
        <f t="shared" si="1"/>
        <v>1085088.54</v>
      </c>
      <c r="F66" s="74"/>
      <c r="G66" s="94"/>
      <c r="H66" s="99"/>
      <c r="I66" s="100"/>
      <c r="J66" s="100"/>
      <c r="K66" s="100"/>
      <c r="L66" s="92"/>
      <c r="M66" s="95"/>
      <c r="N66" s="95"/>
    </row>
    <row r="67" spans="2:17" ht="15.75" customHeight="1">
      <c r="B67" s="102"/>
      <c r="C67" s="103"/>
      <c r="D67" s="103"/>
      <c r="E67" s="104"/>
    </row>
    <row r="68" spans="2:17">
      <c r="C68" s="416"/>
      <c r="D68" s="417"/>
      <c r="E68" s="418"/>
    </row>
    <row r="69" spans="2:17" ht="18.75">
      <c r="B69" s="48" t="s">
        <v>117</v>
      </c>
      <c r="D69" s="106"/>
    </row>
    <row r="71" spans="2:17" ht="14.25" customHeight="1">
      <c r="B71" s="494" t="s">
        <v>118</v>
      </c>
      <c r="C71" s="494"/>
      <c r="D71" s="494"/>
    </row>
    <row r="72" spans="2:17">
      <c r="B72" s="107"/>
      <c r="C72" s="108" t="s">
        <v>119</v>
      </c>
      <c r="D72" s="109" t="s">
        <v>120</v>
      </c>
    </row>
    <row r="73" spans="2:17">
      <c r="B73" s="110" t="s">
        <v>121</v>
      </c>
      <c r="C73" s="111">
        <v>45</v>
      </c>
      <c r="D73" s="112">
        <v>45</v>
      </c>
    </row>
    <row r="74" spans="2:17">
      <c r="B74" s="113" t="s">
        <v>122</v>
      </c>
      <c r="C74" s="111">
        <v>45</v>
      </c>
      <c r="D74" s="112">
        <v>27</v>
      </c>
      <c r="H74" s="89"/>
      <c r="I74" s="89"/>
    </row>
    <row r="75" spans="2:17">
      <c r="B75" s="114" t="s">
        <v>123</v>
      </c>
      <c r="C75" s="115"/>
      <c r="D75" s="116"/>
      <c r="H75" s="89"/>
      <c r="I75" s="89"/>
    </row>
    <row r="76" spans="2:17">
      <c r="B76" s="117"/>
    </row>
    <row r="77" spans="2:17">
      <c r="L77" s="118"/>
    </row>
    <row r="78" spans="2:17" ht="18.75">
      <c r="B78" s="119" t="s">
        <v>124</v>
      </c>
      <c r="C78" s="120"/>
      <c r="D78" s="120"/>
      <c r="E78" s="120"/>
      <c r="F78" s="120"/>
      <c r="G78" s="120"/>
      <c r="H78" s="121" t="s">
        <v>125</v>
      </c>
      <c r="I78" s="120"/>
      <c r="J78" s="122"/>
      <c r="K78" s="122"/>
      <c r="L78" s="123"/>
      <c r="M78" s="124"/>
      <c r="N78" s="125"/>
      <c r="Q78" s="43"/>
    </row>
    <row r="79" spans="2:17" ht="18.75">
      <c r="B79" s="126"/>
      <c r="C79" s="127"/>
      <c r="D79" s="127"/>
      <c r="E79" s="127"/>
      <c r="F79" s="127"/>
      <c r="G79" s="127"/>
      <c r="H79" s="127"/>
      <c r="I79" s="127"/>
      <c r="J79" s="127"/>
      <c r="K79" s="128"/>
      <c r="L79" s="128"/>
      <c r="M79" s="127"/>
      <c r="N79" s="125"/>
      <c r="Q79" s="43"/>
    </row>
    <row r="80" spans="2:17" ht="18.75">
      <c r="B80" s="126" t="s">
        <v>126</v>
      </c>
      <c r="C80" s="127"/>
      <c r="D80" s="127"/>
      <c r="E80" s="127"/>
      <c r="F80" s="127"/>
      <c r="G80" s="127"/>
      <c r="H80" s="127"/>
      <c r="I80" s="127"/>
      <c r="J80" s="127"/>
      <c r="K80" s="128"/>
      <c r="L80" s="128"/>
      <c r="M80" s="127"/>
      <c r="N80" s="125"/>
      <c r="Q80" s="43"/>
    </row>
    <row r="81" spans="2:10">
      <c r="C81" s="129"/>
      <c r="D81" s="129"/>
      <c r="E81" s="129"/>
      <c r="F81" s="129"/>
      <c r="G81" s="129"/>
      <c r="I81" s="129"/>
    </row>
    <row r="82" spans="2:10" ht="45">
      <c r="B82" s="487"/>
      <c r="C82" s="487"/>
      <c r="D82" s="130" t="s">
        <v>127</v>
      </c>
      <c r="E82" s="131" t="s">
        <v>128</v>
      </c>
      <c r="F82" s="131" t="s">
        <v>129</v>
      </c>
      <c r="G82" s="131" t="s">
        <v>130</v>
      </c>
      <c r="H82" s="132" t="s">
        <v>104</v>
      </c>
      <c r="I82" s="133"/>
    </row>
    <row r="83" spans="2:10">
      <c r="B83" s="488" t="s">
        <v>131</v>
      </c>
      <c r="C83" s="488"/>
      <c r="D83" s="135">
        <v>0</v>
      </c>
      <c r="E83" s="136">
        <v>0</v>
      </c>
      <c r="F83" s="136">
        <v>0</v>
      </c>
      <c r="G83" s="136">
        <v>0</v>
      </c>
      <c r="H83" s="137">
        <f>SUM(E83:G83)</f>
        <v>0</v>
      </c>
      <c r="I83" s="138"/>
      <c r="J83" s="138"/>
    </row>
    <row r="84" spans="2:10">
      <c r="B84" s="489" t="s">
        <v>132</v>
      </c>
      <c r="C84" s="489"/>
      <c r="D84" s="140">
        <v>0</v>
      </c>
      <c r="E84" s="141">
        <v>0</v>
      </c>
      <c r="F84" s="141">
        <v>0</v>
      </c>
      <c r="G84" s="141">
        <v>0</v>
      </c>
      <c r="H84" s="142">
        <f>SUM(E84:G84)</f>
        <v>0</v>
      </c>
    </row>
    <row r="85" spans="2:10" ht="15.75">
      <c r="B85" s="143" t="s">
        <v>133</v>
      </c>
    </row>
    <row r="87" spans="2:10" ht="18.75">
      <c r="B87" s="126" t="s">
        <v>134</v>
      </c>
    </row>
    <row r="89" spans="2:10">
      <c r="B89" s="144"/>
      <c r="C89" s="145" t="s">
        <v>135</v>
      </c>
      <c r="D89" s="145" t="s">
        <v>136</v>
      </c>
      <c r="E89" s="146" t="s">
        <v>137</v>
      </c>
      <c r="I89" s="133"/>
    </row>
    <row r="90" spans="2:10">
      <c r="B90" s="139" t="s">
        <v>138</v>
      </c>
      <c r="C90" s="147">
        <v>3</v>
      </c>
      <c r="D90" s="147">
        <v>3</v>
      </c>
      <c r="E90" s="148">
        <f>+C90-D90</f>
        <v>0</v>
      </c>
      <c r="F90" s="30"/>
      <c r="G90" s="149"/>
      <c r="I90" s="138"/>
    </row>
    <row r="91" spans="2:10">
      <c r="B91" s="150"/>
    </row>
    <row r="92" spans="2:10" ht="18.75">
      <c r="B92" s="126" t="s">
        <v>139</v>
      </c>
    </row>
    <row r="94" spans="2:10" ht="30">
      <c r="B94" s="144"/>
      <c r="C94" s="145" t="s">
        <v>140</v>
      </c>
      <c r="D94" s="145" t="s">
        <v>141</v>
      </c>
      <c r="E94" s="145" t="s">
        <v>142</v>
      </c>
      <c r="F94" s="145" t="s">
        <v>143</v>
      </c>
      <c r="G94" s="151" t="s">
        <v>144</v>
      </c>
      <c r="H94" s="152"/>
      <c r="I94" s="133"/>
    </row>
    <row r="95" spans="2:10">
      <c r="B95" s="139" t="s">
        <v>145</v>
      </c>
      <c r="C95" s="147" t="s">
        <v>146</v>
      </c>
      <c r="D95" s="147" t="s">
        <v>146</v>
      </c>
      <c r="E95" s="147" t="s">
        <v>146</v>
      </c>
      <c r="F95" s="147" t="s">
        <v>146</v>
      </c>
      <c r="G95" s="153">
        <v>0</v>
      </c>
      <c r="H95" s="154"/>
      <c r="I95" s="73"/>
    </row>
    <row r="96" spans="2:10">
      <c r="B96" s="150"/>
    </row>
    <row r="97" spans="2:14" ht="18.75">
      <c r="B97" s="126" t="s">
        <v>147</v>
      </c>
    </row>
    <row r="99" spans="2:14">
      <c r="B99" s="144"/>
      <c r="C99" s="155" t="s">
        <v>148</v>
      </c>
      <c r="D99" s="155" t="s">
        <v>149</v>
      </c>
      <c r="E99" s="156" t="s">
        <v>150</v>
      </c>
    </row>
    <row r="100" spans="2:14">
      <c r="B100" s="134" t="s">
        <v>151</v>
      </c>
      <c r="C100" s="135">
        <v>0</v>
      </c>
      <c r="D100" s="157"/>
      <c r="E100" s="158">
        <f>C100-D100</f>
        <v>0</v>
      </c>
    </row>
    <row r="101" spans="2:14">
      <c r="B101" s="139" t="s">
        <v>152</v>
      </c>
      <c r="C101" s="159">
        <v>0</v>
      </c>
      <c r="D101" s="160"/>
      <c r="E101" s="158">
        <f>C101-D101</f>
        <v>0</v>
      </c>
    </row>
    <row r="102" spans="2:14">
      <c r="B102" s="161"/>
    </row>
    <row r="103" spans="2:14" ht="18.75">
      <c r="B103" s="126" t="s">
        <v>153</v>
      </c>
    </row>
    <row r="105" spans="2:14">
      <c r="B105" s="162"/>
      <c r="C105" s="163" t="s">
        <v>80</v>
      </c>
      <c r="D105" s="163" t="s">
        <v>63</v>
      </c>
      <c r="E105" s="163" t="s">
        <v>81</v>
      </c>
      <c r="F105" s="163" t="s">
        <v>82</v>
      </c>
      <c r="G105" s="163" t="s">
        <v>83</v>
      </c>
      <c r="H105" s="163" t="s">
        <v>84</v>
      </c>
      <c r="I105" s="163" t="s">
        <v>85</v>
      </c>
      <c r="J105" s="163" t="s">
        <v>86</v>
      </c>
      <c r="K105" s="163" t="s">
        <v>87</v>
      </c>
      <c r="L105" s="163" t="s">
        <v>88</v>
      </c>
      <c r="M105" s="163" t="s">
        <v>89</v>
      </c>
      <c r="N105" s="164" t="s">
        <v>90</v>
      </c>
    </row>
    <row r="106" spans="2:14" ht="15" customHeight="1">
      <c r="B106" s="165" t="s">
        <v>154</v>
      </c>
      <c r="C106" s="166">
        <v>1004206</v>
      </c>
      <c r="D106" s="166">
        <v>217888</v>
      </c>
      <c r="E106" s="167">
        <v>289318</v>
      </c>
      <c r="F106" s="167"/>
      <c r="G106" s="167"/>
      <c r="H106" s="167"/>
      <c r="I106" s="167"/>
      <c r="J106" s="167"/>
      <c r="K106" s="168"/>
      <c r="L106" s="168"/>
      <c r="M106" s="168"/>
      <c r="N106" s="168"/>
    </row>
    <row r="107" spans="2:14" ht="15" customHeight="1">
      <c r="B107" s="165" t="s">
        <v>155</v>
      </c>
      <c r="C107" s="166">
        <f>1465+43581.6</f>
        <v>45046.6</v>
      </c>
      <c r="D107" s="166">
        <v>0</v>
      </c>
      <c r="E107" s="167">
        <v>38484.42</v>
      </c>
      <c r="F107" s="167"/>
      <c r="G107" s="167"/>
      <c r="H107" s="167"/>
      <c r="I107" s="167"/>
      <c r="J107" s="167"/>
      <c r="K107" s="168"/>
      <c r="L107" s="168"/>
      <c r="M107" s="168"/>
      <c r="N107" s="168"/>
    </row>
    <row r="108" spans="2:14" ht="15" customHeight="1">
      <c r="B108" s="165" t="s">
        <v>156</v>
      </c>
      <c r="C108" s="166">
        <v>593326</v>
      </c>
      <c r="D108" s="166">
        <v>316335.67</v>
      </c>
      <c r="E108" s="167">
        <v>561320.94999999995</v>
      </c>
      <c r="F108" s="167"/>
      <c r="G108" s="167"/>
      <c r="H108" s="167"/>
      <c r="I108" s="167"/>
      <c r="J108" s="167"/>
      <c r="K108" s="168"/>
      <c r="L108" s="168"/>
      <c r="M108" s="168"/>
      <c r="N108" s="168"/>
    </row>
    <row r="109" spans="2:14" ht="15" customHeight="1">
      <c r="B109" s="169" t="s">
        <v>157</v>
      </c>
      <c r="C109" s="170">
        <f>+C106</f>
        <v>1004206</v>
      </c>
      <c r="D109" s="171">
        <f t="shared" ref="D109:F111" si="2">+C109+D106</f>
        <v>1222094</v>
      </c>
      <c r="E109" s="171">
        <f t="shared" si="2"/>
        <v>1511412</v>
      </c>
      <c r="F109" s="171">
        <f t="shared" si="2"/>
        <v>1511412</v>
      </c>
      <c r="G109" s="172"/>
      <c r="H109" s="172"/>
      <c r="I109" s="172"/>
      <c r="J109" s="172"/>
      <c r="K109" s="172"/>
      <c r="L109" s="172">
        <f t="shared" ref="L109:N111" si="3">+K109+L106</f>
        <v>0</v>
      </c>
      <c r="M109" s="173">
        <f t="shared" si="3"/>
        <v>0</v>
      </c>
      <c r="N109" s="173">
        <f t="shared" si="3"/>
        <v>0</v>
      </c>
    </row>
    <row r="110" spans="2:14" ht="15" customHeight="1">
      <c r="B110" s="169" t="s">
        <v>158</v>
      </c>
      <c r="C110" s="170">
        <f>C107</f>
        <v>45046.6</v>
      </c>
      <c r="D110" s="171">
        <v>0</v>
      </c>
      <c r="E110" s="171">
        <f t="shared" si="2"/>
        <v>38484.42</v>
      </c>
      <c r="F110" s="171">
        <f t="shared" si="2"/>
        <v>38484.42</v>
      </c>
      <c r="G110" s="172"/>
      <c r="H110" s="172"/>
      <c r="I110" s="172"/>
      <c r="J110" s="172"/>
      <c r="K110" s="172"/>
      <c r="L110" s="172">
        <f t="shared" si="3"/>
        <v>0</v>
      </c>
      <c r="M110" s="173">
        <f t="shared" si="3"/>
        <v>0</v>
      </c>
      <c r="N110" s="173">
        <f t="shared" si="3"/>
        <v>0</v>
      </c>
    </row>
    <row r="111" spans="2:14">
      <c r="B111" s="174" t="s">
        <v>159</v>
      </c>
      <c r="C111" s="175">
        <f>+C108</f>
        <v>593326</v>
      </c>
      <c r="D111" s="171">
        <f t="shared" si="2"/>
        <v>909661.66999999993</v>
      </c>
      <c r="E111" s="171">
        <f t="shared" si="2"/>
        <v>1470982.6199999999</v>
      </c>
      <c r="F111" s="171">
        <f t="shared" si="2"/>
        <v>1470982.6199999999</v>
      </c>
      <c r="G111" s="172"/>
      <c r="H111" s="172"/>
      <c r="I111" s="172"/>
      <c r="J111" s="172"/>
      <c r="K111" s="172"/>
      <c r="L111" s="172">
        <f t="shared" si="3"/>
        <v>0</v>
      </c>
      <c r="M111" s="173">
        <f t="shared" si="3"/>
        <v>0</v>
      </c>
      <c r="N111" s="173">
        <f t="shared" si="3"/>
        <v>0</v>
      </c>
    </row>
    <row r="112" spans="2:14">
      <c r="J112" s="176"/>
      <c r="K112" s="177"/>
      <c r="M112" s="178"/>
    </row>
    <row r="113" spans="2:14">
      <c r="B113" t="s">
        <v>160</v>
      </c>
      <c r="J113" s="176"/>
      <c r="K113" s="177"/>
      <c r="M113" s="178"/>
    </row>
    <row r="114" spans="2:14">
      <c r="J114" s="176"/>
      <c r="K114" s="178"/>
      <c r="M114" s="178"/>
    </row>
    <row r="116" spans="2:14" ht="18.75">
      <c r="B116" s="126" t="s">
        <v>161</v>
      </c>
    </row>
    <row r="118" spans="2:14" ht="70.5" customHeight="1">
      <c r="B118" s="179" t="s">
        <v>162</v>
      </c>
      <c r="C118" s="180" t="s">
        <v>163</v>
      </c>
      <c r="D118" s="180" t="s">
        <v>164</v>
      </c>
      <c r="E118" s="180" t="s">
        <v>165</v>
      </c>
      <c r="F118" s="180" t="s">
        <v>166</v>
      </c>
      <c r="G118" s="180" t="s">
        <v>167</v>
      </c>
      <c r="H118" s="180" t="s">
        <v>168</v>
      </c>
      <c r="I118" s="180" t="s">
        <v>169</v>
      </c>
      <c r="J118" s="180" t="s">
        <v>170</v>
      </c>
      <c r="K118" s="181" t="s">
        <v>171</v>
      </c>
    </row>
    <row r="119" spans="2:14">
      <c r="B119" s="490" t="s">
        <v>50</v>
      </c>
      <c r="C119" s="182" t="s">
        <v>172</v>
      </c>
      <c r="D119" s="183">
        <v>3</v>
      </c>
      <c r="E119" s="184">
        <f t="shared" ref="E119:E124" si="4">IF(ISBLANK(D119),"",D119*30)</f>
        <v>90</v>
      </c>
      <c r="F119" s="185">
        <v>1</v>
      </c>
      <c r="G119" s="186">
        <f t="shared" ref="G119:G124" si="5">IF(AND(E119&gt;0,F119&gt;0),(F119*E119),"")</f>
        <v>90</v>
      </c>
      <c r="H119" s="187">
        <v>2158</v>
      </c>
      <c r="I119" s="188">
        <f t="shared" ref="I119:I124" si="6">IF(AND(G119&gt;0,H119&gt;0),H119/G119,"")</f>
        <v>23.977777777777778</v>
      </c>
      <c r="J119" s="183">
        <v>18</v>
      </c>
      <c r="K119" s="189">
        <f t="shared" ref="K119:K124" si="7">IF(AND(I119&gt;0,J119&gt;0),I119-J119,"")</f>
        <v>5.9777777777777779</v>
      </c>
    </row>
    <row r="120" spans="2:14">
      <c r="B120" s="490"/>
      <c r="C120" s="182" t="s">
        <v>173</v>
      </c>
      <c r="D120" s="183">
        <v>4</v>
      </c>
      <c r="E120" s="184">
        <f t="shared" si="4"/>
        <v>120</v>
      </c>
      <c r="F120" s="185">
        <v>1</v>
      </c>
      <c r="G120" s="186">
        <f t="shared" si="5"/>
        <v>120</v>
      </c>
      <c r="H120" s="187">
        <v>4425</v>
      </c>
      <c r="I120" s="188">
        <f t="shared" si="6"/>
        <v>36.875</v>
      </c>
      <c r="J120" s="183">
        <v>18</v>
      </c>
      <c r="K120" s="189">
        <f t="shared" si="7"/>
        <v>18.875</v>
      </c>
    </row>
    <row r="121" spans="2:14">
      <c r="B121" s="490"/>
      <c r="C121" s="182" t="s">
        <v>174</v>
      </c>
      <c r="D121" s="183">
        <v>1</v>
      </c>
      <c r="E121" s="184">
        <f t="shared" si="4"/>
        <v>30</v>
      </c>
      <c r="F121" s="185">
        <v>3</v>
      </c>
      <c r="G121" s="186">
        <f t="shared" si="5"/>
        <v>90</v>
      </c>
      <c r="H121" s="187">
        <v>2889</v>
      </c>
      <c r="I121" s="188">
        <f t="shared" si="6"/>
        <v>32.1</v>
      </c>
      <c r="J121" s="183">
        <v>18</v>
      </c>
      <c r="K121" s="189">
        <f t="shared" si="7"/>
        <v>14.100000000000001</v>
      </c>
    </row>
    <row r="122" spans="2:14">
      <c r="B122" s="490"/>
      <c r="C122" s="190" t="s">
        <v>175</v>
      </c>
      <c r="D122" s="191">
        <v>4</v>
      </c>
      <c r="E122" s="184">
        <f t="shared" si="4"/>
        <v>120</v>
      </c>
      <c r="F122" s="185">
        <v>10</v>
      </c>
      <c r="G122" s="186">
        <f t="shared" si="5"/>
        <v>1200</v>
      </c>
      <c r="H122" s="192">
        <v>40726</v>
      </c>
      <c r="I122" s="188">
        <f t="shared" si="6"/>
        <v>33.938333333333333</v>
      </c>
      <c r="J122" s="191">
        <v>18</v>
      </c>
      <c r="K122" s="189">
        <f t="shared" si="7"/>
        <v>15.938333333333333</v>
      </c>
    </row>
    <row r="123" spans="2:14">
      <c r="B123" s="490"/>
      <c r="C123" s="193" t="s">
        <v>176</v>
      </c>
      <c r="D123" s="194">
        <v>2</v>
      </c>
      <c r="E123" s="184">
        <f t="shared" si="4"/>
        <v>60</v>
      </c>
      <c r="F123" s="185">
        <v>11</v>
      </c>
      <c r="G123" s="186">
        <f t="shared" si="5"/>
        <v>660</v>
      </c>
      <c r="H123" s="195">
        <v>14300</v>
      </c>
      <c r="I123" s="188">
        <f t="shared" si="6"/>
        <v>21.666666666666668</v>
      </c>
      <c r="J123" s="191">
        <v>18</v>
      </c>
      <c r="K123" s="189">
        <f t="shared" si="7"/>
        <v>3.6666666666666679</v>
      </c>
    </row>
    <row r="124" spans="2:14">
      <c r="B124" s="490"/>
      <c r="C124" s="196"/>
      <c r="D124" s="197"/>
      <c r="E124" s="198" t="str">
        <f t="shared" si="4"/>
        <v/>
      </c>
      <c r="F124" s="199"/>
      <c r="G124" s="200" t="str">
        <f t="shared" si="5"/>
        <v/>
      </c>
      <c r="H124" s="201"/>
      <c r="I124" s="202" t="str">
        <f t="shared" si="6"/>
        <v/>
      </c>
      <c r="J124" s="203"/>
      <c r="K124" s="204" t="str">
        <f t="shared" si="7"/>
        <v/>
      </c>
    </row>
    <row r="125" spans="2:14">
      <c r="B125" s="205"/>
    </row>
    <row r="126" spans="2:14">
      <c r="J126" s="127"/>
      <c r="K126" s="127"/>
    </row>
    <row r="127" spans="2:14" ht="18.75">
      <c r="B127" s="206" t="s">
        <v>177</v>
      </c>
      <c r="C127" s="207"/>
      <c r="D127" s="207"/>
      <c r="E127" s="208"/>
      <c r="F127" s="208"/>
      <c r="G127" s="208"/>
      <c r="H127" s="209"/>
      <c r="I127" s="210"/>
      <c r="J127" s="211"/>
      <c r="K127" s="212" t="s">
        <v>178</v>
      </c>
      <c r="L127" s="208"/>
      <c r="M127" s="211"/>
      <c r="N127" s="211"/>
    </row>
    <row r="129" spans="1:17" ht="25.5">
      <c r="B129" s="484" t="s">
        <v>179</v>
      </c>
      <c r="C129" s="484"/>
      <c r="D129" s="484"/>
      <c r="E129" s="213" t="s">
        <v>180</v>
      </c>
      <c r="F129" s="214" t="s">
        <v>181</v>
      </c>
      <c r="G129" s="215"/>
      <c r="H129" s="216">
        <v>2016</v>
      </c>
      <c r="I129" s="216">
        <v>2017</v>
      </c>
      <c r="J129" s="216">
        <v>2018</v>
      </c>
      <c r="K129" s="216">
        <v>2019</v>
      </c>
      <c r="L129" s="216">
        <v>2020</v>
      </c>
      <c r="M129" s="216">
        <v>2021</v>
      </c>
      <c r="N129" s="216">
        <v>2022</v>
      </c>
      <c r="O129" s="216">
        <v>2023</v>
      </c>
      <c r="P129" s="216">
        <v>2024</v>
      </c>
      <c r="Q129" s="216">
        <v>2025</v>
      </c>
    </row>
    <row r="130" spans="1:17">
      <c r="B130" s="217"/>
      <c r="C130" s="218"/>
      <c r="D130" s="218"/>
      <c r="E130" s="219"/>
      <c r="F130" s="220"/>
      <c r="G130" s="221"/>
      <c r="H130" s="222"/>
      <c r="I130" s="222"/>
      <c r="J130" s="222"/>
      <c r="K130" s="222"/>
      <c r="L130" s="222"/>
      <c r="M130" s="222"/>
      <c r="N130" s="222"/>
      <c r="O130" s="222"/>
      <c r="P130" s="222"/>
      <c r="Q130" s="223"/>
    </row>
    <row r="131" spans="1:17" ht="15" customHeight="1">
      <c r="A131" s="485" t="s">
        <v>182</v>
      </c>
      <c r="B131" s="480" t="s">
        <v>357</v>
      </c>
      <c r="C131" s="480"/>
      <c r="D131" s="480"/>
      <c r="E131" s="481">
        <v>1.2</v>
      </c>
      <c r="F131" s="482" t="s">
        <v>183</v>
      </c>
      <c r="G131" s="224" t="s">
        <v>184</v>
      </c>
      <c r="H131" s="225">
        <v>2322</v>
      </c>
      <c r="I131" s="225">
        <v>2516</v>
      </c>
      <c r="J131" s="225">
        <v>2686</v>
      </c>
      <c r="K131" s="226"/>
      <c r="L131" s="227"/>
      <c r="M131" s="228"/>
      <c r="N131" s="229"/>
      <c r="O131" s="229"/>
      <c r="P131" s="230"/>
      <c r="Q131" s="230"/>
    </row>
    <row r="132" spans="1:17">
      <c r="A132" s="485"/>
      <c r="B132" s="480"/>
      <c r="C132" s="480"/>
      <c r="D132" s="480"/>
      <c r="E132" s="481"/>
      <c r="F132" s="482"/>
      <c r="G132" s="224" t="s">
        <v>185</v>
      </c>
      <c r="H132" s="225">
        <v>3030</v>
      </c>
      <c r="I132" s="225">
        <v>3671</v>
      </c>
      <c r="J132" s="225">
        <v>3615</v>
      </c>
      <c r="K132" s="226"/>
      <c r="L132" s="225"/>
      <c r="M132" s="228"/>
      <c r="N132" s="229"/>
      <c r="O132" s="229"/>
      <c r="P132" s="230"/>
      <c r="Q132" s="230"/>
    </row>
    <row r="133" spans="1:17" ht="15" customHeight="1">
      <c r="A133" s="485"/>
      <c r="B133" s="483" t="s">
        <v>358</v>
      </c>
      <c r="C133" s="483"/>
      <c r="D133" s="483"/>
      <c r="E133" s="481">
        <v>2.1</v>
      </c>
      <c r="F133" s="482" t="s">
        <v>183</v>
      </c>
      <c r="G133" s="231" t="s">
        <v>184</v>
      </c>
      <c r="H133" s="232">
        <v>0.9</v>
      </c>
      <c r="I133" s="232">
        <v>0.9</v>
      </c>
      <c r="J133" s="411">
        <v>0.9</v>
      </c>
      <c r="K133" s="226"/>
      <c r="L133" s="225"/>
      <c r="M133" s="228"/>
      <c r="N133" s="228"/>
      <c r="O133" s="228"/>
      <c r="P133" s="233"/>
      <c r="Q133" s="233"/>
    </row>
    <row r="134" spans="1:17">
      <c r="A134" s="485"/>
      <c r="B134" s="483"/>
      <c r="C134" s="483"/>
      <c r="D134" s="483"/>
      <c r="E134" s="481"/>
      <c r="F134" s="482"/>
      <c r="G134" s="231" t="s">
        <v>185</v>
      </c>
      <c r="H134" s="232">
        <v>0.94</v>
      </c>
      <c r="I134" s="410">
        <v>0.91680000000000006</v>
      </c>
      <c r="J134" s="412">
        <v>0.91049999999999998</v>
      </c>
      <c r="K134" s="226"/>
      <c r="L134" s="225"/>
      <c r="M134" s="228"/>
      <c r="N134" s="228"/>
      <c r="O134" s="228"/>
      <c r="P134" s="233"/>
      <c r="Q134" s="233"/>
    </row>
    <row r="135" spans="1:17" ht="15" customHeight="1">
      <c r="A135" s="485"/>
      <c r="B135" s="486" t="s">
        <v>186</v>
      </c>
      <c r="C135" s="486"/>
      <c r="D135" s="486"/>
      <c r="E135" s="481">
        <v>2.2000000000000002</v>
      </c>
      <c r="F135" s="482" t="s">
        <v>183</v>
      </c>
      <c r="G135" s="224" t="s">
        <v>184</v>
      </c>
      <c r="H135" s="232">
        <v>0.7</v>
      </c>
      <c r="I135" s="232">
        <v>0.8</v>
      </c>
      <c r="J135" s="413">
        <v>0.9</v>
      </c>
      <c r="K135" s="226"/>
      <c r="L135" s="225"/>
      <c r="M135" s="228"/>
      <c r="N135" s="229"/>
      <c r="O135" s="229"/>
      <c r="P135" s="230"/>
      <c r="Q135" s="230"/>
    </row>
    <row r="136" spans="1:17">
      <c r="A136" s="485"/>
      <c r="B136" s="486"/>
      <c r="C136" s="486"/>
      <c r="D136" s="486"/>
      <c r="E136" s="481"/>
      <c r="F136" s="482"/>
      <c r="G136" s="224" t="s">
        <v>185</v>
      </c>
      <c r="H136" s="232">
        <v>0.23300000000000001</v>
      </c>
      <c r="I136" s="410">
        <v>0.75815999999999995</v>
      </c>
      <c r="J136" s="412">
        <v>0.97219999999999995</v>
      </c>
      <c r="K136" s="226"/>
      <c r="L136" s="225"/>
      <c r="M136" s="234"/>
      <c r="N136" s="229"/>
      <c r="O136" s="229"/>
      <c r="P136" s="230"/>
      <c r="Q136" s="230"/>
    </row>
    <row r="137" spans="1:17" ht="15" customHeight="1">
      <c r="B137" s="480" t="s">
        <v>187</v>
      </c>
      <c r="C137" s="480"/>
      <c r="D137" s="480"/>
      <c r="E137" s="481">
        <v>1.1000000000000001</v>
      </c>
      <c r="F137" s="482" t="s">
        <v>183</v>
      </c>
      <c r="G137" s="231" t="s">
        <v>184</v>
      </c>
      <c r="H137" s="232">
        <v>1</v>
      </c>
      <c r="I137" s="235">
        <v>16</v>
      </c>
      <c r="J137" s="225">
        <v>7</v>
      </c>
      <c r="K137" s="226"/>
      <c r="L137" s="225"/>
      <c r="M137" s="228"/>
      <c r="N137" s="229"/>
      <c r="O137" s="229"/>
      <c r="P137" s="233"/>
      <c r="Q137" s="233"/>
    </row>
    <row r="138" spans="1:17">
      <c r="B138" s="480"/>
      <c r="C138" s="480"/>
      <c r="D138" s="480"/>
      <c r="E138" s="481"/>
      <c r="F138" s="482"/>
      <c r="G138" s="231" t="s">
        <v>185</v>
      </c>
      <c r="H138" s="232">
        <v>0.71430000000000016</v>
      </c>
      <c r="I138" s="235">
        <v>16</v>
      </c>
      <c r="J138" s="225">
        <v>7</v>
      </c>
      <c r="K138" s="226"/>
      <c r="L138" s="225"/>
      <c r="M138" s="234"/>
      <c r="N138" s="229"/>
      <c r="O138" s="229"/>
      <c r="P138" s="233"/>
      <c r="Q138" s="233"/>
    </row>
    <row r="139" spans="1:17" ht="15" customHeight="1">
      <c r="B139" s="483"/>
      <c r="C139" s="483"/>
      <c r="D139" s="483"/>
      <c r="E139" s="481">
        <v>1.4</v>
      </c>
      <c r="F139" s="482" t="s">
        <v>183</v>
      </c>
      <c r="G139" s="231" t="s">
        <v>184</v>
      </c>
      <c r="H139" s="236"/>
      <c r="I139" s="225"/>
      <c r="J139" s="225"/>
      <c r="K139" s="226"/>
      <c r="L139" s="225"/>
      <c r="M139" s="228"/>
      <c r="N139" s="228"/>
      <c r="O139" s="228"/>
      <c r="P139" s="237"/>
      <c r="Q139" s="237"/>
    </row>
    <row r="140" spans="1:17">
      <c r="B140" s="483"/>
      <c r="C140" s="483"/>
      <c r="D140" s="483"/>
      <c r="E140" s="481"/>
      <c r="F140" s="482"/>
      <c r="G140" s="231" t="s">
        <v>185</v>
      </c>
      <c r="H140" s="238"/>
      <c r="I140" s="225"/>
      <c r="J140" s="225"/>
      <c r="K140" s="226"/>
      <c r="L140" s="225"/>
      <c r="M140" s="228"/>
      <c r="N140" s="228"/>
      <c r="O140" s="228"/>
      <c r="P140" s="237"/>
      <c r="Q140" s="237"/>
    </row>
    <row r="141" spans="1:17" ht="15" customHeight="1">
      <c r="B141" s="480"/>
      <c r="C141" s="480"/>
      <c r="D141" s="480"/>
      <c r="E141" s="481">
        <v>1.3</v>
      </c>
      <c r="F141" s="482" t="s">
        <v>183</v>
      </c>
      <c r="G141" s="224" t="s">
        <v>184</v>
      </c>
      <c r="H141" s="239"/>
      <c r="I141" s="225"/>
      <c r="J141" s="225"/>
      <c r="K141" s="226"/>
      <c r="L141" s="225"/>
      <c r="M141" s="228"/>
      <c r="N141" s="229"/>
      <c r="O141" s="229"/>
      <c r="P141" s="230"/>
      <c r="Q141" s="230"/>
    </row>
    <row r="142" spans="1:17">
      <c r="B142" s="480"/>
      <c r="C142" s="480"/>
      <c r="D142" s="480"/>
      <c r="E142" s="481"/>
      <c r="F142" s="482"/>
      <c r="G142" s="224" t="s">
        <v>185</v>
      </c>
      <c r="H142" s="240"/>
      <c r="I142" s="225"/>
      <c r="J142" s="225"/>
      <c r="K142" s="226"/>
      <c r="L142" s="225"/>
      <c r="M142" s="234"/>
      <c r="N142" s="229"/>
      <c r="O142" s="229"/>
      <c r="P142" s="230"/>
      <c r="Q142" s="230"/>
    </row>
    <row r="143" spans="1:17" ht="14.25" customHeight="1">
      <c r="B143" s="480"/>
      <c r="C143" s="480"/>
      <c r="D143" s="480"/>
      <c r="E143" s="481">
        <v>1.5</v>
      </c>
      <c r="F143" s="482" t="s">
        <v>183</v>
      </c>
      <c r="G143" s="224" t="s">
        <v>184</v>
      </c>
      <c r="H143" s="225"/>
      <c r="I143" s="225"/>
      <c r="J143" s="225"/>
      <c r="K143" s="226"/>
      <c r="L143" s="225"/>
      <c r="M143" s="228"/>
      <c r="N143" s="228"/>
      <c r="O143" s="228"/>
      <c r="P143" s="230"/>
      <c r="Q143" s="230"/>
    </row>
    <row r="144" spans="1:17">
      <c r="B144" s="480"/>
      <c r="C144" s="480"/>
      <c r="D144" s="480"/>
      <c r="E144" s="481"/>
      <c r="F144" s="482"/>
      <c r="G144" s="224" t="s">
        <v>185</v>
      </c>
      <c r="H144" s="225"/>
      <c r="I144" s="225"/>
      <c r="J144" s="225"/>
      <c r="K144" s="226"/>
      <c r="L144" s="225"/>
      <c r="M144" s="228"/>
      <c r="N144" s="228"/>
      <c r="O144" s="228"/>
      <c r="P144" s="230"/>
      <c r="Q144" s="230"/>
    </row>
    <row r="145" spans="2:17" ht="14.25" customHeight="1">
      <c r="B145" s="483"/>
      <c r="C145" s="483"/>
      <c r="D145" s="483"/>
      <c r="E145" s="481">
        <v>1.6</v>
      </c>
      <c r="F145" s="482" t="s">
        <v>183</v>
      </c>
      <c r="G145" s="231" t="s">
        <v>184</v>
      </c>
      <c r="H145" s="225"/>
      <c r="I145" s="225"/>
      <c r="J145" s="225"/>
      <c r="K145" s="226"/>
      <c r="L145" s="225"/>
      <c r="M145" s="228"/>
      <c r="N145" s="229"/>
      <c r="O145" s="229"/>
      <c r="P145" s="237"/>
      <c r="Q145" s="237"/>
    </row>
    <row r="146" spans="2:17">
      <c r="B146" s="483"/>
      <c r="C146" s="483"/>
      <c r="D146" s="483"/>
      <c r="E146" s="481"/>
      <c r="F146" s="482"/>
      <c r="G146" s="231" t="s">
        <v>185</v>
      </c>
      <c r="H146" s="225"/>
      <c r="I146" s="225"/>
      <c r="J146" s="225"/>
      <c r="K146" s="226"/>
      <c r="L146" s="225"/>
      <c r="M146" s="234"/>
      <c r="N146" s="229"/>
      <c r="O146" s="229"/>
      <c r="P146" s="237"/>
      <c r="Q146" s="237"/>
    </row>
    <row r="147" spans="2:17">
      <c r="B147" s="205"/>
    </row>
    <row r="148" spans="2:17">
      <c r="B148" s="205"/>
    </row>
    <row r="149" spans="2:17" ht="25.5">
      <c r="B149" s="64" t="s">
        <v>188</v>
      </c>
      <c r="E149" s="241" t="s">
        <v>180</v>
      </c>
      <c r="F149" s="242" t="s">
        <v>181</v>
      </c>
      <c r="G149" s="215"/>
      <c r="H149" s="216" t="str">
        <f t="shared" ref="H149:N149" si="8">C30</f>
        <v>P1</v>
      </c>
      <c r="I149" s="216" t="str">
        <f t="shared" si="8"/>
        <v>P2</v>
      </c>
      <c r="J149" s="216" t="str">
        <f t="shared" si="8"/>
        <v>P3</v>
      </c>
      <c r="K149" s="216" t="str">
        <f t="shared" si="8"/>
        <v>P4</v>
      </c>
      <c r="L149" s="216" t="str">
        <f t="shared" si="8"/>
        <v>P5</v>
      </c>
      <c r="M149" s="216" t="str">
        <f t="shared" si="8"/>
        <v>P6</v>
      </c>
      <c r="N149" s="216" t="str">
        <f t="shared" si="8"/>
        <v>P7</v>
      </c>
      <c r="O149" s="216" t="str">
        <f>L30</f>
        <v>P10</v>
      </c>
      <c r="P149" s="216" t="str">
        <f>M30</f>
        <v>P11</v>
      </c>
      <c r="Q149" s="216" t="str">
        <f>N30</f>
        <v>P12</v>
      </c>
    </row>
    <row r="150" spans="2:17" ht="14.25" customHeight="1" thickBot="1">
      <c r="B150" s="476" t="str">
        <f>IF(ISBLANK(B131),"",(B131))</f>
        <v>TCP-1(M): Número de casos notificados de todas las formas de TB (i.e. confirmados bacteriológicamente y con diagnóstico clínico) incluye casos nuevos y recaídas</v>
      </c>
      <c r="C150" s="476"/>
      <c r="D150" s="476"/>
      <c r="E150" s="474">
        <f>IF(ISBLANK(E131),"",(E131))</f>
        <v>1.2</v>
      </c>
      <c r="F150" s="475" t="str">
        <f>IF(ISBLANK(F131),"",(F131))</f>
        <v>Yes</v>
      </c>
      <c r="G150" s="243" t="s">
        <v>184</v>
      </c>
      <c r="H150" s="244">
        <f t="shared" ref="H150:H155" si="9">H131</f>
        <v>2322</v>
      </c>
      <c r="I150" s="244">
        <f t="shared" ref="I150:J155" si="10">+I131</f>
        <v>2516</v>
      </c>
      <c r="J150" s="244">
        <f t="shared" si="10"/>
        <v>2686</v>
      </c>
      <c r="K150" s="244">
        <f t="shared" ref="K150:K155" si="11">+K131</f>
        <v>0</v>
      </c>
      <c r="L150" s="244">
        <f>L137</f>
        <v>0</v>
      </c>
      <c r="M150" s="244">
        <f t="shared" ref="M150:M155" si="12">+M131</f>
        <v>0</v>
      </c>
      <c r="N150" s="245">
        <f t="shared" ref="N150:N155" si="13">N131</f>
        <v>0</v>
      </c>
      <c r="O150" s="245">
        <f t="shared" ref="O150:O155" si="14">O131</f>
        <v>0</v>
      </c>
      <c r="P150" s="245">
        <f t="shared" ref="P150:P155" si="15">P131</f>
        <v>0</v>
      </c>
      <c r="Q150" s="245">
        <f t="shared" ref="Q150:Q155" si="16">Q131</f>
        <v>0</v>
      </c>
    </row>
    <row r="151" spans="2:17" ht="15.75" thickBot="1">
      <c r="B151" s="476"/>
      <c r="C151" s="476"/>
      <c r="D151" s="476"/>
      <c r="E151" s="474"/>
      <c r="F151" s="475"/>
      <c r="G151" s="246" t="s">
        <v>185</v>
      </c>
      <c r="H151" s="244">
        <f t="shared" si="9"/>
        <v>3030</v>
      </c>
      <c r="I151" s="244">
        <f t="shared" si="10"/>
        <v>3671</v>
      </c>
      <c r="J151" s="244">
        <f t="shared" si="10"/>
        <v>3615</v>
      </c>
      <c r="K151" s="244">
        <f t="shared" si="11"/>
        <v>0</v>
      </c>
      <c r="L151" s="244">
        <f>L138</f>
        <v>0</v>
      </c>
      <c r="M151" s="244">
        <f t="shared" si="12"/>
        <v>0</v>
      </c>
      <c r="N151" s="245">
        <f t="shared" si="13"/>
        <v>0</v>
      </c>
      <c r="O151" s="245">
        <f t="shared" si="14"/>
        <v>0</v>
      </c>
      <c r="P151" s="245">
        <f t="shared" si="15"/>
        <v>0</v>
      </c>
      <c r="Q151" s="245">
        <f t="shared" si="16"/>
        <v>0</v>
      </c>
    </row>
    <row r="152" spans="2:17" ht="15.75" thickBot="1">
      <c r="B152" s="477" t="str">
        <f>IF(ISBLANK(B133),"",(B133))</f>
        <v>DOTS-2b: Porcentaje de casos de tuberculosis confirmados bacteriológicamente que se han tratado con éxito (curados y con tratamiento completo) entre los casos de tuberculosis confirmados bacteriológicamente y registrados durante un período especificado</v>
      </c>
      <c r="C152" s="477"/>
      <c r="D152" s="477"/>
      <c r="E152" s="478">
        <f>IF(ISBLANK(E133),"",(E133))</f>
        <v>2.1</v>
      </c>
      <c r="F152" s="479" t="str">
        <f>IF(ISBLANK(F133),"",(F133))</f>
        <v>Yes</v>
      </c>
      <c r="G152" s="247" t="s">
        <v>184</v>
      </c>
      <c r="H152" s="244">
        <f t="shared" si="9"/>
        <v>0.9</v>
      </c>
      <c r="I152" s="244">
        <f t="shared" si="10"/>
        <v>0.9</v>
      </c>
      <c r="J152" s="244">
        <f t="shared" si="10"/>
        <v>0.9</v>
      </c>
      <c r="K152" s="244">
        <f t="shared" si="11"/>
        <v>0</v>
      </c>
      <c r="L152" s="248">
        <f>L141</f>
        <v>0</v>
      </c>
      <c r="M152" s="244">
        <f t="shared" si="12"/>
        <v>0</v>
      </c>
      <c r="N152" s="249">
        <f t="shared" si="13"/>
        <v>0</v>
      </c>
      <c r="O152" s="249">
        <f t="shared" si="14"/>
        <v>0</v>
      </c>
      <c r="P152" s="249">
        <f t="shared" si="15"/>
        <v>0</v>
      </c>
      <c r="Q152" s="249">
        <f t="shared" si="16"/>
        <v>0</v>
      </c>
    </row>
    <row r="153" spans="2:17" ht="14.25" customHeight="1" thickBot="1">
      <c r="B153" s="477"/>
      <c r="C153" s="477"/>
      <c r="D153" s="477"/>
      <c r="E153" s="478"/>
      <c r="F153" s="479"/>
      <c r="G153" s="247" t="s">
        <v>185</v>
      </c>
      <c r="H153" s="244">
        <f t="shared" si="9"/>
        <v>0.94</v>
      </c>
      <c r="I153" s="244">
        <f t="shared" si="10"/>
        <v>0.91680000000000006</v>
      </c>
      <c r="J153" s="244">
        <f t="shared" si="10"/>
        <v>0.91049999999999998</v>
      </c>
      <c r="K153" s="244">
        <f t="shared" si="11"/>
        <v>0</v>
      </c>
      <c r="L153" s="248">
        <f>L142</f>
        <v>0</v>
      </c>
      <c r="M153" s="244">
        <f t="shared" si="12"/>
        <v>0</v>
      </c>
      <c r="N153" s="249">
        <f t="shared" si="13"/>
        <v>0</v>
      </c>
      <c r="O153" s="249">
        <f t="shared" si="14"/>
        <v>0</v>
      </c>
      <c r="P153" s="249">
        <f t="shared" si="15"/>
        <v>0</v>
      </c>
      <c r="Q153" s="249">
        <f t="shared" si="16"/>
        <v>0</v>
      </c>
    </row>
    <row r="154" spans="2:17" ht="14.25" customHeight="1" thickBot="1">
      <c r="B154" s="473" t="str">
        <f>IF(ISBLANK(B135),"",(B135))</f>
        <v xml:space="preserve">MDR TB-other1: Número y porcentaje de pacientes sospechosos de tuberculosis resistente a los fármacos (RR-TB y / o MDR-TB) que se sometieron a pruebas de sensibilidad </v>
      </c>
      <c r="C154" s="473"/>
      <c r="D154" s="473"/>
      <c r="E154" s="474">
        <f>IF(ISBLANK(E135),"",(E135))</f>
        <v>2.2000000000000002</v>
      </c>
      <c r="F154" s="475" t="str">
        <f>IF(ISBLANK(F135),"",(F135))</f>
        <v>Yes</v>
      </c>
      <c r="G154" s="246" t="s">
        <v>184</v>
      </c>
      <c r="H154" s="244">
        <f t="shared" si="9"/>
        <v>0.7</v>
      </c>
      <c r="I154" s="244">
        <f t="shared" si="10"/>
        <v>0.8</v>
      </c>
      <c r="J154" s="244">
        <f t="shared" si="10"/>
        <v>0.9</v>
      </c>
      <c r="K154" s="244">
        <f t="shared" si="11"/>
        <v>0</v>
      </c>
      <c r="L154" s="244">
        <f>L139</f>
        <v>0</v>
      </c>
      <c r="M154" s="244">
        <f t="shared" si="12"/>
        <v>0</v>
      </c>
      <c r="N154" s="245">
        <f t="shared" si="13"/>
        <v>0</v>
      </c>
      <c r="O154" s="245">
        <f t="shared" si="14"/>
        <v>0</v>
      </c>
      <c r="P154" s="245">
        <f t="shared" si="15"/>
        <v>0</v>
      </c>
      <c r="Q154" s="245">
        <f t="shared" si="16"/>
        <v>0</v>
      </c>
    </row>
    <row r="155" spans="2:17" ht="15" customHeight="1" thickBot="1">
      <c r="B155" s="473"/>
      <c r="C155" s="473"/>
      <c r="D155" s="473"/>
      <c r="E155" s="474"/>
      <c r="F155" s="475"/>
      <c r="G155" s="250" t="s">
        <v>185</v>
      </c>
      <c r="H155" s="251">
        <f t="shared" si="9"/>
        <v>0.23300000000000001</v>
      </c>
      <c r="I155" s="244">
        <f t="shared" si="10"/>
        <v>0.75815999999999995</v>
      </c>
      <c r="J155" s="244">
        <f t="shared" si="10"/>
        <v>0.97219999999999995</v>
      </c>
      <c r="K155" s="244">
        <f t="shared" si="11"/>
        <v>0</v>
      </c>
      <c r="L155" s="251">
        <f>L140</f>
        <v>0</v>
      </c>
      <c r="M155" s="244">
        <f t="shared" si="12"/>
        <v>0</v>
      </c>
      <c r="N155" s="245">
        <f t="shared" si="13"/>
        <v>0</v>
      </c>
      <c r="O155" s="245">
        <f t="shared" si="14"/>
        <v>0</v>
      </c>
      <c r="P155" s="245">
        <f t="shared" si="15"/>
        <v>0</v>
      </c>
      <c r="Q155" s="245">
        <f t="shared" si="16"/>
        <v>0</v>
      </c>
    </row>
  </sheetData>
  <sheetProtection selectLockedCells="1" selectUnlockedCells="1"/>
  <mergeCells count="66">
    <mergeCell ref="B2:J2"/>
    <mergeCell ref="C4:D4"/>
    <mergeCell ref="E4:F4"/>
    <mergeCell ref="G4:J4"/>
    <mergeCell ref="C10:D10"/>
    <mergeCell ref="E10:F10"/>
    <mergeCell ref="G10:J10"/>
    <mergeCell ref="C6:D6"/>
    <mergeCell ref="E6:F6"/>
    <mergeCell ref="I6:J6"/>
    <mergeCell ref="C8:D8"/>
    <mergeCell ref="I8:J8"/>
    <mergeCell ref="C12:D12"/>
    <mergeCell ref="E12:F12"/>
    <mergeCell ref="G12:J12"/>
    <mergeCell ref="B21:J21"/>
    <mergeCell ref="D24:E24"/>
    <mergeCell ref="G24:H24"/>
    <mergeCell ref="I24:J24"/>
    <mergeCell ref="B14:J14"/>
    <mergeCell ref="H16:I16"/>
    <mergeCell ref="B18:C18"/>
    <mergeCell ref="D18:F18"/>
    <mergeCell ref="B82:C82"/>
    <mergeCell ref="B83:C83"/>
    <mergeCell ref="B84:C84"/>
    <mergeCell ref="B119:B124"/>
    <mergeCell ref="B26:C26"/>
    <mergeCell ref="B29:N29"/>
    <mergeCell ref="F49:I49"/>
    <mergeCell ref="B71:D71"/>
    <mergeCell ref="B129:D129"/>
    <mergeCell ref="A131:A136"/>
    <mergeCell ref="B131:D132"/>
    <mergeCell ref="E131:E132"/>
    <mergeCell ref="B135:D136"/>
    <mergeCell ref="E135:E136"/>
    <mergeCell ref="F135:F136"/>
    <mergeCell ref="B137:D138"/>
    <mergeCell ref="E137:E138"/>
    <mergeCell ref="F137:F138"/>
    <mergeCell ref="F131:F132"/>
    <mergeCell ref="B133:D134"/>
    <mergeCell ref="E133:E134"/>
    <mergeCell ref="F133:F134"/>
    <mergeCell ref="B139:D140"/>
    <mergeCell ref="E139:E140"/>
    <mergeCell ref="F139:F140"/>
    <mergeCell ref="B141:D142"/>
    <mergeCell ref="E141:E142"/>
    <mergeCell ref="F141:F142"/>
    <mergeCell ref="B143:D144"/>
    <mergeCell ref="E143:E144"/>
    <mergeCell ref="F143:F144"/>
    <mergeCell ref="B145:D146"/>
    <mergeCell ref="E145:E146"/>
    <mergeCell ref="F145:F146"/>
    <mergeCell ref="B154:D155"/>
    <mergeCell ref="E154:E155"/>
    <mergeCell ref="F154:F155"/>
    <mergeCell ref="B150:D151"/>
    <mergeCell ref="E150:E151"/>
    <mergeCell ref="F150:F151"/>
    <mergeCell ref="B152:D153"/>
    <mergeCell ref="E152:E153"/>
    <mergeCell ref="F152:F153"/>
  </mergeCells>
  <phoneticPr fontId="67" type="noConversion"/>
  <conditionalFormatting sqref="C30:N30 C105:N105">
    <cfRule type="cellIs" dxfId="37" priority="1" stopIfTrue="1" operator="equal">
      <formula>$C$16</formula>
    </cfRule>
  </conditionalFormatting>
  <conditionalFormatting sqref="C12:D12">
    <cfRule type="cellIs" dxfId="36" priority="2" stopIfTrue="1" operator="equal">
      <formula>"C"</formula>
    </cfRule>
    <cfRule type="cellIs" dxfId="35" priority="3" stopIfTrue="1" operator="equal">
      <formula>"B2"</formula>
    </cfRule>
    <cfRule type="cellIs" dxfId="34" priority="4" stopIfTrue="1" operator="equal">
      <formula>"B1"</formula>
    </cfRule>
  </conditionalFormatting>
  <conditionalFormatting sqref="H149:Q149 H129:Q130">
    <cfRule type="cellIs" dxfId="33" priority="5" stopIfTrue="1" operator="equal">
      <formula>$C$16</formula>
    </cfRule>
  </conditionalFormatting>
  <conditionalFormatting sqref="F49:I49">
    <cfRule type="expression" dxfId="32" priority="6" stopIfTrue="1">
      <formula>LEFT($F$49,2)="OK"</formula>
    </cfRule>
  </conditionalFormatting>
  <dataValidations disablePrompts="1" count="9">
    <dataValidation type="list" allowBlank="1" showErrorMessage="1" sqref="G6 B119" xr:uid="{00000000-0002-0000-0200-000000000000}">
      <formula1>Component</formula1>
      <formula2>0</formula2>
    </dataValidation>
    <dataValidation type="list" allowBlank="1" showErrorMessage="1" sqref="C16" xr:uid="{00000000-0002-0000-0200-000001000000}">
      <formula1>PERIOD</formula1>
      <formula2>0</formula2>
    </dataValidation>
    <dataValidation type="list" allowBlank="1" showErrorMessage="1" sqref="G10:J10" xr:uid="{00000000-0002-0000-0200-000002000000}">
      <formula1>LFA</formula1>
      <formula2>0</formula2>
    </dataValidation>
    <dataValidation type="list" allowBlank="1" showErrorMessage="1" sqref="C12:D12" xr:uid="{00000000-0002-0000-0200-000003000000}">
      <formula1>Rating</formula1>
      <formula2>0</formula2>
    </dataValidation>
    <dataValidation type="list" allowBlank="1" showErrorMessage="1" sqref="I8:J8" xr:uid="{00000000-0002-0000-0200-000004000000}">
      <formula1>Phase</formula1>
      <formula2>0</formula2>
    </dataValidation>
    <dataValidation type="list" allowBlank="1" showErrorMessage="1" sqref="G8" xr:uid="{00000000-0002-0000-0200-000005000000}">
      <formula1>Round</formula1>
      <formula2>0</formula2>
    </dataValidation>
    <dataValidation type="list" allowBlank="1" showErrorMessage="1" sqref="D26" xr:uid="{00000000-0002-0000-0200-000006000000}">
      <formula1>Currency</formula1>
      <formula2>0</formula2>
    </dataValidation>
    <dataValidation type="list" allowBlank="1" showErrorMessage="1" sqref="C4:D4" xr:uid="{00000000-0002-0000-0200-000007000000}">
      <formula1>Ciudades</formula1>
      <formula2>0</formula2>
    </dataValidation>
    <dataValidation type="list" allowBlank="1" showErrorMessage="1" sqref="C119:C124" xr:uid="{00000000-0002-0000-0200-000008000000}">
      <formula1>Medicaments</formula1>
      <formula2>0</formula2>
    </dataValidation>
  </dataValidations>
  <pageMargins left="0.70833333333333337" right="0.70833333333333337" top="0.74791666666666667" bottom="0.74861111111111112" header="0.51180555555555551" footer="0.31527777777777777"/>
  <pageSetup paperSize="9" firstPageNumber="0" fitToHeight="8" orientation="landscape" horizontalDpi="300" verticalDpi="300" r:id="rId1"/>
  <headerFooter alignWithMargins="0">
    <oddFooter>&amp;L&amp;F&amp;C&amp;A&amp;R&amp;D</oddFooter>
  </headerFooter>
  <rowBreaks count="1" manualBreakCount="1">
    <brk id="50"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003C-B5A0-4521-9607-8802CC4F978B}">
  <sheetPr>
    <tabColor indexed="51"/>
  </sheetPr>
  <dimension ref="F11:I14"/>
  <sheetViews>
    <sheetView workbookViewId="0">
      <selection activeCell="F12" sqref="F12:I14"/>
    </sheetView>
  </sheetViews>
  <sheetFormatPr baseColWidth="10" defaultRowHeight="15"/>
  <sheetData>
    <row r="11" spans="6:9" ht="15.75" thickBot="1"/>
    <row r="12" spans="6:9">
      <c r="G12" s="216"/>
      <c r="H12" s="216"/>
      <c r="I12" s="216"/>
    </row>
    <row r="13" spans="6:9">
      <c r="F13" s="231"/>
      <c r="G13" s="612"/>
      <c r="H13" s="235"/>
      <c r="I13" s="613"/>
    </row>
    <row r="14" spans="6:9">
      <c r="F14" s="231"/>
      <c r="G14" s="612"/>
      <c r="H14" s="235"/>
      <c r="I14" s="613"/>
    </row>
  </sheetData>
  <conditionalFormatting sqref="G12:I12">
    <cfRule type="cellIs" dxfId="0" priority="1" stopIfTrue="1" operator="equal">
      <formula>$C$16</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1"/>
    <pageSetUpPr fitToPage="1"/>
  </sheetPr>
  <dimension ref="A1:X13"/>
  <sheetViews>
    <sheetView showGridLines="0" tabSelected="1" zoomScale="70" zoomScaleNormal="70" zoomScaleSheetLayoutView="100" workbookViewId="0">
      <selection activeCell="G13" sqref="G13:J13"/>
    </sheetView>
  </sheetViews>
  <sheetFormatPr baseColWidth="10" defaultRowHeight="15"/>
  <cols>
    <col min="1" max="1" width="21.140625" customWidth="1"/>
    <col min="2" max="2" width="12.42578125" customWidth="1"/>
    <col min="3" max="3" width="20.42578125" customWidth="1"/>
    <col min="4" max="4" width="24" customWidth="1"/>
    <col min="5" max="5" width="11.5703125" customWidth="1"/>
    <col min="6" max="6" width="18.5703125" customWidth="1"/>
    <col min="7" max="7" width="17" customWidth="1"/>
    <col min="8" max="8" width="18.42578125" customWidth="1"/>
    <col min="9" max="9" width="9.42578125" customWidth="1"/>
    <col min="10" max="10" width="13" customWidth="1"/>
    <col min="11" max="11" width="11.42578125" customWidth="1"/>
    <col min="12" max="12" width="8.140625" customWidth="1"/>
    <col min="13" max="13" width="9.5703125" customWidth="1"/>
    <col min="14" max="14" width="8.42578125" customWidth="1"/>
    <col min="15" max="15" width="7.140625" customWidth="1"/>
  </cols>
  <sheetData>
    <row r="1" spans="1:24" ht="21" customHeight="1">
      <c r="G1" s="31"/>
    </row>
    <row r="2" spans="1:24" ht="25.5" customHeight="1"/>
    <row r="3" spans="1:24" ht="36">
      <c r="B3" s="515" t="str">
        <f>+"Tablero de mando: "&amp;" "&amp;+'Introducción de datos'!C4&amp;" - "&amp;+'Introducción de datos'!G6</f>
        <v>Tablero de mando:  El Salvador - TB</v>
      </c>
      <c r="C3" s="515"/>
      <c r="D3" s="515"/>
      <c r="E3" s="515"/>
      <c r="F3" s="515"/>
      <c r="G3" s="515"/>
      <c r="H3" s="515"/>
      <c r="I3" s="515"/>
      <c r="J3" s="515"/>
      <c r="K3" s="252"/>
      <c r="L3" s="252"/>
      <c r="M3" s="252"/>
      <c r="N3" s="253"/>
      <c r="O3" s="253"/>
      <c r="P3" s="253"/>
      <c r="Q3" s="253"/>
      <c r="R3" s="253"/>
      <c r="S3" s="253"/>
      <c r="T3" s="253"/>
    </row>
    <row r="4" spans="1:24" ht="15" customHeight="1">
      <c r="L4" s="253"/>
      <c r="M4" s="253"/>
      <c r="N4" s="253"/>
      <c r="O4" s="253"/>
      <c r="P4" s="253"/>
      <c r="Q4" s="253"/>
      <c r="R4" s="253"/>
      <c r="S4" s="253"/>
      <c r="T4" s="253"/>
    </row>
    <row r="5" spans="1:24">
      <c r="L5" s="253"/>
      <c r="M5" s="253"/>
      <c r="N5" s="253"/>
      <c r="O5" s="253"/>
      <c r="P5" s="253"/>
      <c r="Q5" s="253"/>
      <c r="R5" s="253"/>
      <c r="S5" s="253"/>
      <c r="T5" s="253"/>
    </row>
    <row r="6" spans="1:24" ht="32.25" customHeight="1">
      <c r="A6" s="254" t="s">
        <v>43</v>
      </c>
      <c r="B6" s="516" t="str">
        <f>+'Introducción de datos'!C4</f>
        <v>El Salvador</v>
      </c>
      <c r="C6" s="516"/>
      <c r="D6" s="517" t="s">
        <v>45</v>
      </c>
      <c r="E6" s="517"/>
      <c r="F6" s="518" t="str">
        <f>+'Introducción de datos'!G4</f>
        <v>Financiamiento al PENM TB 2016 - 2020</v>
      </c>
      <c r="G6" s="518"/>
      <c r="H6" s="518"/>
      <c r="I6" s="518"/>
      <c r="J6" s="518"/>
      <c r="K6" s="255"/>
      <c r="L6" s="256"/>
      <c r="M6" s="255"/>
      <c r="N6" s="255"/>
      <c r="O6" s="255"/>
      <c r="P6" s="257"/>
      <c r="Q6" s="258"/>
      <c r="R6" s="258"/>
      <c r="S6" s="258"/>
      <c r="T6" s="258"/>
      <c r="U6" s="258"/>
    </row>
    <row r="7" spans="1:24" ht="8.25" customHeight="1">
      <c r="B7" s="259"/>
      <c r="C7" s="260"/>
      <c r="D7" s="260"/>
      <c r="E7" s="261"/>
      <c r="F7" s="261"/>
      <c r="G7" s="260"/>
      <c r="H7" s="260"/>
      <c r="K7" s="255"/>
      <c r="L7" s="255"/>
      <c r="M7" s="255"/>
      <c r="N7" s="255"/>
      <c r="O7" s="255"/>
      <c r="P7" s="257"/>
      <c r="Q7" s="258"/>
      <c r="R7" s="258"/>
      <c r="S7" s="258"/>
      <c r="T7" s="258"/>
      <c r="U7" s="258"/>
    </row>
    <row r="8" spans="1:24" ht="3.75" customHeight="1">
      <c r="C8" s="262"/>
      <c r="D8" s="262"/>
      <c r="E8" s="262"/>
      <c r="F8" s="262"/>
      <c r="G8" s="262"/>
      <c r="H8" s="262"/>
      <c r="I8" s="262"/>
      <c r="J8" s="262"/>
      <c r="K8" s="255"/>
      <c r="L8" s="255"/>
      <c r="M8" s="255"/>
      <c r="N8" s="255"/>
      <c r="O8" s="263"/>
      <c r="P8" s="257"/>
      <c r="Q8" s="263"/>
      <c r="R8" s="264"/>
      <c r="S8" s="258"/>
      <c r="T8" s="258"/>
      <c r="U8" s="258"/>
    </row>
    <row r="9" spans="1:24" ht="25.5" customHeight="1">
      <c r="A9" s="265" t="s">
        <v>49</v>
      </c>
      <c r="B9" s="266" t="str">
        <f>+'Introducción de datos'!G6</f>
        <v>TB</v>
      </c>
      <c r="C9" s="267" t="s">
        <v>47</v>
      </c>
      <c r="D9" s="268" t="str">
        <f>+'Introducción de datos'!C6</f>
        <v xml:space="preserve">SLV-T-MOH </v>
      </c>
      <c r="E9" s="511" t="s">
        <v>189</v>
      </c>
      <c r="F9" s="511"/>
      <c r="G9" s="269">
        <f>+'Introducción de datos'!C10</f>
        <v>42370</v>
      </c>
      <c r="H9" s="265" t="s">
        <v>190</v>
      </c>
      <c r="I9" s="514">
        <f>+'Introducción de datos'!I6</f>
        <v>9950916</v>
      </c>
      <c r="J9" s="514"/>
      <c r="K9" s="255"/>
      <c r="L9" s="255"/>
      <c r="M9" s="255"/>
      <c r="N9" s="255"/>
      <c r="O9" s="263"/>
      <c r="P9" s="257"/>
      <c r="Q9" s="263"/>
      <c r="R9" s="264"/>
      <c r="S9" s="258"/>
      <c r="T9" s="270"/>
      <c r="U9" s="270"/>
      <c r="V9" s="262"/>
      <c r="W9" s="262"/>
      <c r="X9" s="262"/>
    </row>
    <row r="10" spans="1:24" ht="25.5" customHeight="1">
      <c r="A10" s="265" t="s">
        <v>191</v>
      </c>
      <c r="B10" s="271" t="str">
        <f>IF(ISBLANK('Introducción de datos'!G8),"",'Introducción de datos'!G8)</f>
        <v/>
      </c>
      <c r="C10" s="267" t="s">
        <v>192</v>
      </c>
      <c r="D10" s="272">
        <f>+'Introducción de datos'!I8</f>
        <v>0</v>
      </c>
      <c r="E10" s="511" t="s">
        <v>193</v>
      </c>
      <c r="F10" s="511"/>
      <c r="G10" s="510" t="str">
        <f>+'Introducción de datos'!C8</f>
        <v xml:space="preserve">Ministerio de Salud </v>
      </c>
      <c r="H10" s="510"/>
      <c r="I10" s="510"/>
      <c r="J10" s="510"/>
      <c r="K10" s="258"/>
      <c r="L10" s="258"/>
      <c r="M10" s="255"/>
      <c r="N10" s="258"/>
      <c r="O10" s="263"/>
      <c r="P10" s="257"/>
      <c r="Q10" s="270"/>
      <c r="R10" s="264"/>
      <c r="S10" s="258"/>
      <c r="T10" s="270"/>
      <c r="U10" s="270"/>
    </row>
    <row r="11" spans="1:24" ht="25.5" customHeight="1">
      <c r="A11" s="265" t="s">
        <v>194</v>
      </c>
      <c r="B11" s="273" t="str">
        <f>+'Introducción de datos'!C16</f>
        <v>P3</v>
      </c>
      <c r="C11" s="267" t="s">
        <v>195</v>
      </c>
      <c r="D11" s="274">
        <f>+'Introducción de datos'!E16</f>
        <v>43101</v>
      </c>
      <c r="E11" s="511" t="s">
        <v>196</v>
      </c>
      <c r="F11" s="511"/>
      <c r="G11" s="274">
        <f>+'Introducción de datos'!G16</f>
        <v>43465</v>
      </c>
      <c r="H11" s="265" t="s">
        <v>197</v>
      </c>
      <c r="I11" s="513" t="str">
        <f>+'Introducción de datos'!C12</f>
        <v>A1</v>
      </c>
      <c r="J11" s="513"/>
      <c r="K11" s="275"/>
      <c r="L11" s="258"/>
      <c r="M11" s="255"/>
      <c r="N11" s="258"/>
      <c r="O11" s="258"/>
      <c r="P11" s="257"/>
      <c r="Q11" s="270"/>
      <c r="R11" s="264"/>
      <c r="S11" s="258"/>
      <c r="T11" s="276"/>
      <c r="U11" s="270"/>
    </row>
    <row r="12" spans="1:24" ht="25.5" customHeight="1">
      <c r="A12" s="265" t="s">
        <v>55</v>
      </c>
      <c r="B12" s="510" t="str">
        <f>+'Introducción de datos'!G10</f>
        <v>Grupo Jacobs</v>
      </c>
      <c r="C12" s="510"/>
      <c r="D12" s="510"/>
      <c r="E12" s="511" t="s">
        <v>59</v>
      </c>
      <c r="F12" s="511"/>
      <c r="G12" s="510" t="str">
        <f>+'Introducción de datos'!G12</f>
        <v>Jaime Briz de Felipe</v>
      </c>
      <c r="H12" s="510"/>
      <c r="I12" s="510"/>
      <c r="J12" s="510"/>
      <c r="K12" s="258"/>
      <c r="L12" s="258"/>
      <c r="M12" s="255"/>
      <c r="N12" s="258"/>
      <c r="O12" s="258"/>
      <c r="P12" s="257"/>
      <c r="Q12" s="270"/>
      <c r="R12" s="264"/>
      <c r="S12" s="258"/>
      <c r="T12" s="270"/>
      <c r="U12" s="277"/>
      <c r="V12" s="270"/>
      <c r="W12" s="276"/>
      <c r="X12" s="270"/>
    </row>
    <row r="13" spans="1:24" ht="25.5" customHeight="1">
      <c r="A13" s="265" t="s">
        <v>67</v>
      </c>
      <c r="B13" s="510" t="str">
        <f>+'Introducción de datos'!D18</f>
        <v>UAFM/UFE/MINSAL.</v>
      </c>
      <c r="C13" s="510"/>
      <c r="D13" s="510"/>
      <c r="E13" s="511" t="s">
        <v>198</v>
      </c>
      <c r="F13" s="511"/>
      <c r="G13" s="512">
        <f>+'Introducción de datos'!J16</f>
        <v>43563</v>
      </c>
      <c r="H13" s="512"/>
      <c r="I13" s="512"/>
      <c r="J13" s="512"/>
      <c r="K13" s="258"/>
      <c r="L13" s="278"/>
      <c r="M13" s="278"/>
      <c r="N13" s="278"/>
      <c r="O13" s="258"/>
      <c r="P13" s="278"/>
      <c r="Q13" s="278"/>
      <c r="R13" s="264"/>
      <c r="S13" s="258"/>
      <c r="T13" s="278"/>
      <c r="U13" s="279"/>
    </row>
  </sheetData>
  <sheetProtection selectLockedCells="1" selectUnlockedCells="1"/>
  <mergeCells count="16">
    <mergeCell ref="E9:F9"/>
    <mergeCell ref="I9:J9"/>
    <mergeCell ref="E10:F10"/>
    <mergeCell ref="G10:J10"/>
    <mergeCell ref="B3:J3"/>
    <mergeCell ref="B6:C6"/>
    <mergeCell ref="D6:E6"/>
    <mergeCell ref="F6:J6"/>
    <mergeCell ref="B13:D13"/>
    <mergeCell ref="E13:F13"/>
    <mergeCell ref="G13:J13"/>
    <mergeCell ref="E11:F11"/>
    <mergeCell ref="I11:J11"/>
    <mergeCell ref="B12:D12"/>
    <mergeCell ref="E12:F12"/>
    <mergeCell ref="G12:J12"/>
  </mergeCells>
  <phoneticPr fontId="67" type="noConversion"/>
  <conditionalFormatting sqref="I11:J11">
    <cfRule type="cellIs" dxfId="31" priority="1" stopIfTrue="1" operator="equal">
      <formula>"C"</formula>
    </cfRule>
    <cfRule type="cellIs" dxfId="30" priority="2" stopIfTrue="1" operator="equal">
      <formula>"B2"</formula>
    </cfRule>
    <cfRule type="cellIs" dxfId="29" priority="3" stopIfTrue="1" operator="equal">
      <formula>"B1"</formula>
    </cfRule>
  </conditionalFormatting>
  <dataValidations count="1">
    <dataValidation type="list" allowBlank="1" showErrorMessage="1" sqref="G7" xr:uid="{00000000-0002-0000-0300-000000000000}">
      <formula1>$K$8:$K$9</formula1>
      <formula2>0</formula2>
    </dataValidation>
  </dataValidations>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7"/>
  </sheetPr>
  <dimension ref="B1:W33"/>
  <sheetViews>
    <sheetView showGridLines="0" topLeftCell="A7" zoomScaleNormal="100" workbookViewId="0">
      <selection activeCell="N23" sqref="N23"/>
    </sheetView>
  </sheetViews>
  <sheetFormatPr baseColWidth="10" defaultColWidth="10.7109375" defaultRowHeight="15"/>
  <cols>
    <col min="1" max="1" width="3.42578125" customWidth="1"/>
    <col min="2" max="2" width="11.42578125" customWidth="1"/>
    <col min="3" max="3" width="5.140625" customWidth="1"/>
    <col min="4" max="4" width="12.42578125" customWidth="1"/>
    <col min="5" max="5" width="11.42578125" customWidth="1"/>
    <col min="6" max="6" width="30.85546875" customWidth="1"/>
    <col min="7" max="7" width="6" customWidth="1"/>
    <col min="8" max="8" width="14" customWidth="1"/>
    <col min="9" max="9" width="15.85546875" customWidth="1"/>
    <col min="10" max="10" width="13.85546875" customWidth="1"/>
    <col min="11" max="11" width="17" customWidth="1"/>
    <col min="12" max="13" width="3.5703125" customWidth="1"/>
    <col min="14" max="14" width="13.5703125" customWidth="1"/>
    <col min="21" max="21" width="23.42578125" customWidth="1"/>
    <col min="23" max="23" width="14.140625" bestFit="1" customWidth="1"/>
  </cols>
  <sheetData>
    <row r="1" spans="2:23" ht="30.75" customHeight="1"/>
    <row r="2" spans="2:23" ht="27.75" customHeight="1">
      <c r="B2" s="498" t="str">
        <f>+"Cuadro de mando:  "&amp;"  "&amp;+'Introducción de datos'!C4&amp;" - "&amp;'Introducción de datos'!G6</f>
        <v>Cuadro de mando:    El Salvador - TB</v>
      </c>
      <c r="C2" s="498"/>
      <c r="D2" s="498"/>
      <c r="E2" s="498"/>
      <c r="F2" s="498"/>
      <c r="G2" s="498"/>
      <c r="H2" s="498"/>
      <c r="I2" s="498"/>
      <c r="J2" s="498"/>
      <c r="K2" s="498"/>
      <c r="L2" s="280"/>
      <c r="M2" s="280"/>
      <c r="N2" s="280"/>
      <c r="O2" s="280"/>
      <c r="P2" s="280"/>
    </row>
    <row r="3" spans="2:23">
      <c r="B3" s="281">
        <f>+'Introducción de datos'!G8</f>
        <v>0</v>
      </c>
      <c r="C3" s="531">
        <f>+'Introducción de datos'!I8</f>
        <v>0</v>
      </c>
      <c r="D3" s="531"/>
      <c r="E3" s="528"/>
      <c r="F3" s="528"/>
      <c r="G3" s="528"/>
      <c r="H3" s="528"/>
      <c r="I3" s="529" t="str">
        <f>+'Introducción de datos'!B16</f>
        <v>Periodo:</v>
      </c>
      <c r="J3" s="529"/>
      <c r="K3" s="282" t="str">
        <f>+'Introducción de datos'!C16</f>
        <v>P3</v>
      </c>
      <c r="L3" s="275"/>
      <c r="M3" s="275"/>
    </row>
    <row r="4" spans="2:23">
      <c r="B4" s="281" t="str">
        <f>+'Introducción de datos'!B12</f>
        <v>Ultima calificación:</v>
      </c>
      <c r="C4" s="527" t="str">
        <f>+'Introducción de datos'!C12</f>
        <v>A1</v>
      </c>
      <c r="D4" s="527"/>
      <c r="E4" s="528" t="str">
        <f>+'Introducción de datos'!C8</f>
        <v xml:space="preserve">Ministerio de Salud </v>
      </c>
      <c r="F4" s="528"/>
      <c r="G4" s="528"/>
      <c r="H4" s="528"/>
      <c r="I4" s="529" t="str">
        <f>+'Introducción de datos'!D16</f>
        <v>Desde:</v>
      </c>
      <c r="J4" s="529"/>
      <c r="K4" s="283">
        <f>+'Introducción de datos'!E16</f>
        <v>43101</v>
      </c>
    </row>
    <row r="5" spans="2:23" ht="18.75" customHeight="1">
      <c r="B5" s="281"/>
      <c r="C5" s="281"/>
      <c r="D5" s="530" t="str">
        <f>+'Introducción de datos'!G4</f>
        <v>Financiamiento al PENM TB 2016 - 2020</v>
      </c>
      <c r="E5" s="530"/>
      <c r="F5" s="530"/>
      <c r="G5" s="530"/>
      <c r="H5" s="530"/>
      <c r="I5" s="530"/>
      <c r="J5" s="281" t="str">
        <f>+'Introducción de datos'!F16</f>
        <v>Hasta:</v>
      </c>
      <c r="K5" s="283">
        <f>+'Introducción de datos'!G16</f>
        <v>43465</v>
      </c>
    </row>
    <row r="6" spans="2:23" ht="18.75">
      <c r="B6" s="67"/>
      <c r="C6" s="281"/>
      <c r="D6" s="284"/>
      <c r="E6" s="532" t="s">
        <v>199</v>
      </c>
      <c r="F6" s="532"/>
      <c r="G6" s="532"/>
      <c r="H6" s="532"/>
    </row>
    <row r="7" spans="2:23" ht="10.5" customHeight="1">
      <c r="B7" s="67"/>
      <c r="C7" s="281"/>
      <c r="D7" s="284"/>
      <c r="E7" s="285"/>
      <c r="F7" s="285"/>
      <c r="G7" s="285"/>
      <c r="H7" s="285"/>
      <c r="I7" s="286"/>
      <c r="J7" s="286"/>
      <c r="K7" s="287"/>
    </row>
    <row r="8" spans="2:23">
      <c r="B8" s="288" t="str">
        <f>+'Introducción de datos'!B27&amp;" - en ("&amp;'Introducción de datos'!D26&amp;")         "&amp;+I3&amp;" "&amp;+K3</f>
        <v>F1: Presupuesto y desembolsos del Fondo Mundial - en ($)         Periodo: P3</v>
      </c>
      <c r="C8" s="289"/>
      <c r="H8" s="288" t="str">
        <f>+'Introducción de datos'!B51&amp;" - en ("&amp;'Introducción de datos'!D26&amp;")         "&amp;+I3&amp;" "&amp;+K3</f>
        <v>F3: Desembolsos y gastos - en ($)         Periodo: P3</v>
      </c>
      <c r="O8" s="288" t="str">
        <f>+'Introducción de datos'!B59&amp;" - en ("&amp;'Introducción de datos'!D26&amp;")         "&amp;+I3&amp;" "&amp;+K3</f>
        <v>F3a: Detalles Desembolsos y gastos - en ($)         Periodo: P3</v>
      </c>
    </row>
    <row r="9" spans="2:23" ht="81" customHeight="1">
      <c r="B9" s="290" t="s">
        <v>200</v>
      </c>
      <c r="C9" s="524" t="s">
        <v>365</v>
      </c>
      <c r="D9" s="524"/>
      <c r="E9" s="524"/>
      <c r="F9" s="524"/>
      <c r="H9" s="291" t="s">
        <v>200</v>
      </c>
      <c r="I9" s="525" t="s">
        <v>371</v>
      </c>
      <c r="J9" s="525"/>
      <c r="K9" s="525"/>
      <c r="L9" s="525"/>
      <c r="M9" s="525"/>
      <c r="N9" s="525"/>
      <c r="O9" s="292" t="s">
        <v>200</v>
      </c>
      <c r="P9" s="526" t="s">
        <v>370</v>
      </c>
      <c r="Q9" s="526"/>
      <c r="R9" s="526"/>
      <c r="S9" s="526"/>
      <c r="T9" s="526"/>
      <c r="U9" s="526"/>
      <c r="W9" s="422"/>
    </row>
    <row r="10" spans="2:23">
      <c r="W10" s="422"/>
    </row>
    <row r="11" spans="2:23">
      <c r="W11" s="422"/>
    </row>
    <row r="12" spans="2:23">
      <c r="W12" s="422"/>
    </row>
    <row r="13" spans="2:23">
      <c r="W13" s="422"/>
    </row>
    <row r="14" spans="2:23">
      <c r="W14" s="422"/>
    </row>
    <row r="15" spans="2:23">
      <c r="N15" s="258" t="s">
        <v>201</v>
      </c>
    </row>
    <row r="16" spans="2:23">
      <c r="N16" s="258" t="s">
        <v>202</v>
      </c>
    </row>
    <row r="21" spans="2:11" ht="24" customHeight="1"/>
    <row r="22" spans="2:11" ht="23.25" customHeight="1">
      <c r="B22" s="293" t="str">
        <f>+'Introducción de datos'!B36&amp;" - en ("&amp;'Introducción de datos'!D26&amp;")  "&amp;+I3&amp;" "&amp;+K3</f>
        <v>F2: Presupuesto y gastos reales por estrategias de la subvención anual - en ($)  Periodo: P3</v>
      </c>
      <c r="H22" s="293" t="str">
        <f>+'Introducción de datos'!B69&amp;"   "&amp;+I3&amp;" "&amp;+K3</f>
        <v>F4: Último ciclo de información y desembolso del RP   Periodo: P3</v>
      </c>
    </row>
    <row r="23" spans="2:11" ht="46.5" customHeight="1">
      <c r="B23" s="291" t="s">
        <v>203</v>
      </c>
      <c r="C23" s="521" t="s">
        <v>366</v>
      </c>
      <c r="D23" s="521"/>
      <c r="E23" s="521"/>
      <c r="F23" s="521"/>
      <c r="G23" s="294"/>
      <c r="H23" s="291" t="s">
        <v>200</v>
      </c>
      <c r="I23" s="521" t="s">
        <v>204</v>
      </c>
      <c r="J23" s="521"/>
      <c r="K23" s="521"/>
    </row>
    <row r="24" spans="2:11" ht="15.75" customHeight="1">
      <c r="B24" s="295"/>
      <c r="C24" s="295"/>
      <c r="D24" s="295"/>
      <c r="E24" s="295"/>
      <c r="F24" s="295"/>
      <c r="G24" s="295"/>
      <c r="H24" s="295"/>
      <c r="I24" s="295"/>
      <c r="J24" s="295"/>
      <c r="K24" s="295"/>
    </row>
    <row r="25" spans="2:11" ht="29.25" customHeight="1">
      <c r="G25" s="296"/>
      <c r="H25" s="522" t="s">
        <v>205</v>
      </c>
      <c r="I25" s="522"/>
      <c r="J25" s="522"/>
      <c r="K25" s="522"/>
    </row>
    <row r="26" spans="2:11" ht="24.75">
      <c r="H26" s="523"/>
      <c r="I26" s="523"/>
      <c r="J26" s="297" t="s">
        <v>119</v>
      </c>
      <c r="K26" s="298" t="s">
        <v>120</v>
      </c>
    </row>
    <row r="27" spans="2:11" ht="29.25" customHeight="1">
      <c r="G27" s="299"/>
      <c r="H27" s="519" t="str">
        <f>'Introducción de datos'!B73</f>
        <v>Días tardados en presentar el informe de progreso actualizado y solicitud de desembolso al ALF</v>
      </c>
      <c r="I27" s="519"/>
      <c r="J27" s="300">
        <f>+'Introducción de datos'!C73</f>
        <v>45</v>
      </c>
      <c r="K27" s="301">
        <f>+'Introducción de datos'!D73</f>
        <v>45</v>
      </c>
    </row>
    <row r="28" spans="2:11" ht="21" customHeight="1">
      <c r="G28" s="299"/>
      <c r="H28" s="519" t="str">
        <f>'Introducción de datos'!B74</f>
        <v>Días que el desembolso ha tardado en llegar al RP</v>
      </c>
      <c r="I28" s="519"/>
      <c r="J28" s="300">
        <f>+'Introducción de datos'!C74</f>
        <v>45</v>
      </c>
      <c r="K28" s="302">
        <f>+'Introducción de datos'!D74</f>
        <v>27</v>
      </c>
    </row>
    <row r="29" spans="2:11" ht="21" customHeight="1">
      <c r="G29" s="299"/>
      <c r="H29" s="520" t="str">
        <f>'Introducción de datos'!B75</f>
        <v>Días que el desembolso ha tardado en llegar a los agentes de compra</v>
      </c>
      <c r="I29" s="520"/>
      <c r="J29" s="303">
        <f>+'Introducción de datos'!C75</f>
        <v>0</v>
      </c>
      <c r="K29" s="302">
        <f>+'Introducción de datos'!D75</f>
        <v>0</v>
      </c>
    </row>
    <row r="31" spans="2:11">
      <c r="D31" s="289"/>
    </row>
    <row r="32" spans="2:11">
      <c r="C32" s="258" t="s">
        <v>91</v>
      </c>
      <c r="D32" s="289"/>
    </row>
    <row r="33" spans="3:3">
      <c r="C33" s="258" t="s">
        <v>159</v>
      </c>
    </row>
  </sheetData>
  <sheetProtection selectLockedCells="1" selectUnlockedCells="1"/>
  <mergeCells count="19">
    <mergeCell ref="B2:K2"/>
    <mergeCell ref="C3:D3"/>
    <mergeCell ref="E3:H3"/>
    <mergeCell ref="I3:J3"/>
    <mergeCell ref="E6:H6"/>
    <mergeCell ref="C9:F9"/>
    <mergeCell ref="I9:N9"/>
    <mergeCell ref="P9:U9"/>
    <mergeCell ref="C4:D4"/>
    <mergeCell ref="E4:H4"/>
    <mergeCell ref="I4:J4"/>
    <mergeCell ref="D5:I5"/>
    <mergeCell ref="H27:I27"/>
    <mergeCell ref="H28:I28"/>
    <mergeCell ref="H29:I29"/>
    <mergeCell ref="C23:F23"/>
    <mergeCell ref="I23:K23"/>
    <mergeCell ref="H25:K25"/>
    <mergeCell ref="H26:I26"/>
  </mergeCells>
  <phoneticPr fontId="67" type="noConversion"/>
  <conditionalFormatting sqref="K27:K29">
    <cfRule type="cellIs" dxfId="28" priority="1" stopIfTrue="1" operator="equal">
      <formula>0</formula>
    </cfRule>
  </conditionalFormatting>
  <conditionalFormatting sqref="C4:D4">
    <cfRule type="cellIs" dxfId="27" priority="2" stopIfTrue="1" operator="equal">
      <formula>"C"</formula>
    </cfRule>
    <cfRule type="cellIs" dxfId="26" priority="3" stopIfTrue="1" operator="equal">
      <formula>"B2"</formula>
    </cfRule>
    <cfRule type="cellIs" dxfId="25" priority="4" stopIfTrue="1" operator="equal">
      <formula>"B1"</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r:id="rId1"/>
  <headerFooter alignWithMargins="0">
    <oddFooter>&amp;L&amp;F&amp;C&amp;A&amp;R&amp;D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7"/>
  </sheetPr>
  <dimension ref="A1:P34"/>
  <sheetViews>
    <sheetView showGridLines="0" topLeftCell="A13" workbookViewId="0">
      <selection activeCell="Q36" sqref="Q36"/>
    </sheetView>
  </sheetViews>
  <sheetFormatPr baseColWidth="10" defaultColWidth="10.7109375" defaultRowHeight="15"/>
  <cols>
    <col min="1" max="1" width="3.42578125" customWidth="1"/>
    <col min="2" max="2" width="14.42578125" customWidth="1"/>
    <col min="3" max="3" width="12.42578125" customWidth="1"/>
    <col min="4" max="4" width="13.140625" customWidth="1"/>
    <col min="5" max="5" width="11.42578125" customWidth="1"/>
    <col min="6" max="6" width="11.85546875" customWidth="1"/>
    <col min="7" max="7" width="18.5703125" customWidth="1"/>
    <col min="8" max="8" width="11.42578125" customWidth="1"/>
    <col min="9" max="9" width="14.42578125" customWidth="1"/>
    <col min="10" max="10" width="15.140625" customWidth="1"/>
    <col min="11" max="11" width="15.42578125" customWidth="1"/>
    <col min="12" max="12" width="15.5703125" customWidth="1"/>
  </cols>
  <sheetData>
    <row r="1" spans="1:16" ht="28.5" customHeight="1">
      <c r="C1" s="178"/>
      <c r="E1" s="178"/>
    </row>
    <row r="2" spans="1:16" ht="27.75" customHeight="1">
      <c r="B2" s="540" t="str">
        <f>+"Cuadro de mando:  "&amp;"  "&amp;+'Introducción de datos'!C4&amp;" - "&amp;'Introducción de datos'!G6</f>
        <v>Cuadro de mando:    El Salvador - TB</v>
      </c>
      <c r="C2" s="540"/>
      <c r="D2" s="540"/>
      <c r="E2" s="540"/>
      <c r="F2" s="540"/>
      <c r="G2" s="540"/>
      <c r="H2" s="540"/>
      <c r="I2" s="540"/>
      <c r="J2" s="540"/>
      <c r="K2" s="540"/>
      <c r="L2" s="540"/>
      <c r="M2" s="304"/>
      <c r="N2" s="304"/>
      <c r="O2" s="304"/>
      <c r="P2" s="304"/>
    </row>
    <row r="3" spans="1:16">
      <c r="B3" s="281">
        <f>+'Introducción de datos'!G8</f>
        <v>0</v>
      </c>
      <c r="C3" s="531">
        <f>+'Introducción de datos'!I8</f>
        <v>0</v>
      </c>
      <c r="D3" s="531"/>
      <c r="E3" s="528"/>
      <c r="F3" s="528"/>
      <c r="G3" s="528"/>
      <c r="H3" s="528"/>
      <c r="I3" s="528"/>
      <c r="J3" s="529" t="str">
        <f>+'Introducción de datos'!B16</f>
        <v>Periodo:</v>
      </c>
      <c r="K3" s="529"/>
      <c r="L3" s="282" t="str">
        <f>+'Introducción de datos'!C16</f>
        <v>P3</v>
      </c>
    </row>
    <row r="4" spans="1:16">
      <c r="B4" s="281" t="str">
        <f>+'Introducción de datos'!B12</f>
        <v>Ultima calificación:</v>
      </c>
      <c r="C4" s="527" t="str">
        <f>+'Introducción de datos'!C12</f>
        <v>A1</v>
      </c>
      <c r="D4" s="527"/>
      <c r="E4" s="528" t="str">
        <f>+'Introducción de datos'!C8</f>
        <v xml:space="preserve">Ministerio de Salud </v>
      </c>
      <c r="F4" s="528"/>
      <c r="G4" s="528"/>
      <c r="H4" s="528"/>
      <c r="I4" s="528"/>
      <c r="J4" s="529" t="str">
        <f>+'Introducción de datos'!D16</f>
        <v>Desde:</v>
      </c>
      <c r="K4" s="529"/>
      <c r="L4" s="283">
        <f>+'Introducción de datos'!E16</f>
        <v>43101</v>
      </c>
    </row>
    <row r="5" spans="1:16" ht="18.75" customHeight="1">
      <c r="B5" s="281"/>
      <c r="C5" s="281"/>
      <c r="D5" s="528" t="str">
        <f>+'Introducción de datos'!G4</f>
        <v>Financiamiento al PENM TB 2016 - 2020</v>
      </c>
      <c r="E5" s="528"/>
      <c r="F5" s="528"/>
      <c r="G5" s="528"/>
      <c r="H5" s="528"/>
      <c r="I5" s="528"/>
      <c r="J5" s="528"/>
      <c r="K5" s="281" t="str">
        <f>+'Introducción de datos'!F16</f>
        <v>Hasta:</v>
      </c>
      <c r="L5" s="283">
        <f>+'Introducción de datos'!G16</f>
        <v>43465</v>
      </c>
    </row>
    <row r="6" spans="1:16" ht="18.75">
      <c r="B6" s="67"/>
      <c r="C6" s="281"/>
      <c r="D6" s="284"/>
      <c r="E6" s="532" t="s">
        <v>16</v>
      </c>
      <c r="F6" s="532"/>
      <c r="G6" s="532"/>
      <c r="H6" s="532"/>
      <c r="I6" s="532"/>
    </row>
    <row r="7" spans="1:16">
      <c r="B7" s="293" t="str">
        <f>+'Introducción de datos'!B80&amp;"     "&amp;+J3&amp;" "&amp;+L3</f>
        <v>M1: Estado de las condiciones precedentes y acciones con fecha límite     Periodo: P3</v>
      </c>
      <c r="C7" s="289"/>
      <c r="H7" s="293" t="str">
        <f>+'Introducción de datos'!B87&amp;"         "&amp;+J3&amp;"  "&amp;+L3</f>
        <v>M2: Estado de los principales puestos directivos del RP         Periodo:  P3</v>
      </c>
    </row>
    <row r="8" spans="1:16" ht="14.25" customHeight="1">
      <c r="B8" s="291" t="s">
        <v>200</v>
      </c>
      <c r="C8" s="538" t="s">
        <v>206</v>
      </c>
      <c r="D8" s="538"/>
      <c r="E8" s="538"/>
      <c r="F8" s="538"/>
      <c r="G8" s="305"/>
      <c r="H8" s="291" t="s">
        <v>200</v>
      </c>
      <c r="I8" s="535" t="s">
        <v>207</v>
      </c>
      <c r="J8" s="535"/>
      <c r="K8" s="535"/>
      <c r="L8" s="535"/>
    </row>
    <row r="10" spans="1:16">
      <c r="A10" s="306"/>
      <c r="D10" s="539"/>
      <c r="E10" s="464"/>
      <c r="F10" s="464"/>
      <c r="G10" s="7"/>
      <c r="N10" s="307"/>
      <c r="O10" s="307"/>
      <c r="P10" s="105"/>
    </row>
    <row r="11" spans="1:16">
      <c r="C11" s="129"/>
      <c r="D11" s="539"/>
      <c r="E11" s="129"/>
      <c r="F11" s="129"/>
      <c r="G11" s="129"/>
      <c r="H11" s="129"/>
    </row>
    <row r="12" spans="1:16">
      <c r="B12" s="129"/>
      <c r="C12" s="308"/>
      <c r="D12" s="309"/>
      <c r="E12" s="309"/>
      <c r="F12" s="309"/>
      <c r="G12" s="309"/>
      <c r="H12" s="310"/>
    </row>
    <row r="13" spans="1:16">
      <c r="B13" s="129"/>
      <c r="C13" s="308"/>
      <c r="D13" s="309"/>
      <c r="E13" s="309"/>
      <c r="F13" s="309"/>
      <c r="G13" s="309"/>
      <c r="H13" s="310"/>
    </row>
    <row r="15" spans="1:16" ht="27.75" customHeight="1">
      <c r="B15" s="293" t="str">
        <f>+'Introducción de datos'!B92&amp;"            "&amp;+J3&amp;" "&amp;+L3</f>
        <v>M3: Acuerdos contractuales            Periodo: P3</v>
      </c>
      <c r="H15" s="293" t="str">
        <f>+'Introducción de datos'!B97&amp;"                "&amp;+J3&amp;" "&amp;+L3</f>
        <v>M4: Número de informes completos recibidos a tiempo                Periodo: P3</v>
      </c>
    </row>
    <row r="16" spans="1:16" ht="29.25" customHeight="1">
      <c r="B16" s="291" t="s">
        <v>200</v>
      </c>
      <c r="C16" s="535" t="s">
        <v>208</v>
      </c>
      <c r="D16" s="535"/>
      <c r="E16" s="535"/>
      <c r="F16" s="535"/>
      <c r="G16" s="305"/>
      <c r="H16" s="291" t="s">
        <v>200</v>
      </c>
      <c r="I16" s="535" t="s">
        <v>208</v>
      </c>
      <c r="J16" s="535"/>
      <c r="K16" s="535"/>
      <c r="L16" s="535"/>
    </row>
    <row r="18" spans="2:13">
      <c r="M18" s="275"/>
    </row>
    <row r="25" spans="2:13" ht="22.5" customHeight="1"/>
    <row r="26" spans="2:13">
      <c r="B26" s="293" t="str">
        <f>+'Introducción de datos'!B103</f>
        <v>M5: Presupuesto y compra de productos y equipo sanitario, medicamentos y productos farmacéuticos</v>
      </c>
      <c r="H26" s="293" t="str">
        <f>+'Introducción de datos'!B116&amp;"    "&amp;+J3&amp;"  "&amp;+L3</f>
        <v>M6: Diferencia entre existencias actuales y existencias de seguridad    Periodo:  P3</v>
      </c>
    </row>
    <row r="27" spans="2:13" ht="147.75" customHeight="1">
      <c r="B27" s="291" t="s">
        <v>200</v>
      </c>
      <c r="C27" s="536" t="s">
        <v>209</v>
      </c>
      <c r="D27" s="536"/>
      <c r="E27" s="536"/>
      <c r="F27" s="536"/>
      <c r="G27" s="305"/>
      <c r="H27" s="291" t="s">
        <v>200</v>
      </c>
      <c r="I27" s="537" t="s">
        <v>210</v>
      </c>
      <c r="J27" s="537"/>
      <c r="K27" s="537"/>
      <c r="L27" s="537"/>
      <c r="M27" s="311"/>
    </row>
    <row r="29" spans="2:13" ht="75" customHeight="1">
      <c r="F29" s="312"/>
      <c r="G29" s="312"/>
      <c r="H29" s="313" t="s">
        <v>162</v>
      </c>
      <c r="I29" s="314" t="s">
        <v>163</v>
      </c>
      <c r="J29" s="315" t="s">
        <v>211</v>
      </c>
      <c r="K29" s="315" t="s">
        <v>212</v>
      </c>
      <c r="L29" s="316" t="s">
        <v>213</v>
      </c>
    </row>
    <row r="30" spans="2:13" ht="14.45" customHeight="1">
      <c r="F30" s="312"/>
      <c r="G30" s="312"/>
      <c r="H30" s="533" t="str">
        <f>+'Introducción de datos'!B119</f>
        <v>TB</v>
      </c>
      <c r="I30" s="317" t="str">
        <f>+'Introducción de datos'!C119</f>
        <v>PASER</v>
      </c>
      <c r="J30" s="318">
        <f>+'Introducción de datos'!I119</f>
        <v>23.977777777777778</v>
      </c>
      <c r="K30" s="319">
        <f>+'Introducción de datos'!J119</f>
        <v>18</v>
      </c>
      <c r="L30" s="320">
        <f>+'Introducción de datos'!K119</f>
        <v>5.9777777777777779</v>
      </c>
    </row>
    <row r="31" spans="2:13" ht="30" customHeight="1">
      <c r="B31" s="534" t="str">
        <f>+'Introducción de datos'!B113</f>
        <v>* Incluye sólo los montos de las categorías 4 y 5 (Productos y equipamientos sanitarios y Medicamentos y productos farmacéuticos) de los  Informes Financieros Mejorados</v>
      </c>
      <c r="C31" s="534"/>
      <c r="D31" s="534"/>
      <c r="E31" s="534"/>
      <c r="H31" s="533"/>
      <c r="I31" s="317" t="str">
        <f>+'Introducción de datos'!C120</f>
        <v>Cicloserina 250mg</v>
      </c>
      <c r="J31" s="318">
        <f>+'Introducción de datos'!I120</f>
        <v>36.875</v>
      </c>
      <c r="K31" s="319">
        <f>+'Introducción de datos'!J120</f>
        <v>18</v>
      </c>
      <c r="L31" s="321">
        <f>+'Introducción de datos'!K120</f>
        <v>18.875</v>
      </c>
    </row>
    <row r="32" spans="2:13">
      <c r="H32" s="533"/>
      <c r="I32" s="317" t="str">
        <f>+'Introducción de datos'!C121</f>
        <v>Kanamicina 1gr</v>
      </c>
      <c r="J32" s="318">
        <f>+'Introducción de datos'!I121</f>
        <v>32.1</v>
      </c>
      <c r="K32" s="319">
        <f>+'Introducción de datos'!J121</f>
        <v>18</v>
      </c>
      <c r="L32" s="320">
        <f>+'Introducción de datos'!K121</f>
        <v>14.100000000000001</v>
      </c>
    </row>
    <row r="33" spans="8:12">
      <c r="H33" s="533"/>
      <c r="I33" s="317" t="str">
        <f>+'Introducción de datos'!C122</f>
        <v>Etionamida 250mg</v>
      </c>
      <c r="J33" s="318">
        <f>+'Introducción de datos'!I122</f>
        <v>33.938333333333333</v>
      </c>
      <c r="K33" s="319">
        <f>+'Introducción de datos'!J122</f>
        <v>18</v>
      </c>
      <c r="L33" s="320">
        <f>+'Introducción de datos'!K122</f>
        <v>15.938333333333333</v>
      </c>
    </row>
    <row r="34" spans="8:12" ht="16.899999999999999" customHeight="1">
      <c r="H34" s="533"/>
      <c r="I34" s="317" t="str">
        <f>+'Introducción de datos'!C123</f>
        <v>Levofloxacina</v>
      </c>
      <c r="J34" s="318">
        <f>+'Introducción de datos'!I123</f>
        <v>21.666666666666668</v>
      </c>
      <c r="K34" s="319">
        <f>+'Introducción de datos'!J123</f>
        <v>18</v>
      </c>
      <c r="L34" s="320">
        <f>+'Introducción de datos'!K123</f>
        <v>3.6666666666666679</v>
      </c>
    </row>
  </sheetData>
  <sheetProtection selectLockedCells="1" selectUnlockedCells="1"/>
  <mergeCells count="19">
    <mergeCell ref="B2:L2"/>
    <mergeCell ref="C3:D3"/>
    <mergeCell ref="E3:I3"/>
    <mergeCell ref="J3:K3"/>
    <mergeCell ref="E6:I6"/>
    <mergeCell ref="C8:F8"/>
    <mergeCell ref="I8:L8"/>
    <mergeCell ref="D10:D11"/>
    <mergeCell ref="E10:F10"/>
    <mergeCell ref="C4:D4"/>
    <mergeCell ref="E4:I4"/>
    <mergeCell ref="J4:K4"/>
    <mergeCell ref="D5:J5"/>
    <mergeCell ref="H30:H34"/>
    <mergeCell ref="B31:E31"/>
    <mergeCell ref="C16:F16"/>
    <mergeCell ref="I16:L16"/>
    <mergeCell ref="C27:F27"/>
    <mergeCell ref="I27:L27"/>
  </mergeCells>
  <phoneticPr fontId="67" type="noConversion"/>
  <conditionalFormatting sqref="D12:D13">
    <cfRule type="cellIs" dxfId="24" priority="1" stopIfTrue="1" operator="greaterThan">
      <formula>0</formula>
    </cfRule>
  </conditionalFormatting>
  <conditionalFormatting sqref="E12:E13">
    <cfRule type="cellIs" dxfId="23" priority="2" stopIfTrue="1" operator="greaterThan">
      <formula>0</formula>
    </cfRule>
  </conditionalFormatting>
  <conditionalFormatting sqref="F12:G13">
    <cfRule type="cellIs" dxfId="22" priority="3" stopIfTrue="1" operator="greaterThan">
      <formula>0</formula>
    </cfRule>
  </conditionalFormatting>
  <conditionalFormatting sqref="C4:D4">
    <cfRule type="cellIs" dxfId="21" priority="4" stopIfTrue="1" operator="equal">
      <formula>"C"</formula>
    </cfRule>
    <cfRule type="cellIs" dxfId="20" priority="5" stopIfTrue="1" operator="equal">
      <formula>"B2"</formula>
    </cfRule>
    <cfRule type="cellIs" dxfId="19" priority="6" stopIfTrue="1" operator="equal">
      <formula>"B1"</formula>
    </cfRule>
  </conditionalFormatting>
  <conditionalFormatting sqref="L30 L32:L34">
    <cfRule type="cellIs" dxfId="18" priority="7" stopIfTrue="1" operator="lessThan">
      <formula>1</formula>
    </cfRule>
    <cfRule type="cellIs" dxfId="17" priority="8" stopIfTrue="1" operator="between">
      <formula>3</formula>
      <formula>17</formula>
    </cfRule>
    <cfRule type="cellIs" dxfId="16" priority="9" stopIfTrue="1" operator="between">
      <formula>1</formula>
      <formula>3</formula>
    </cfRule>
  </conditionalFormatting>
  <conditionalFormatting sqref="L31">
    <cfRule type="cellIs" dxfId="15" priority="10" stopIfTrue="1" operator="lessThan">
      <formula>1</formula>
    </cfRule>
    <cfRule type="cellIs" dxfId="14" priority="11" stopIfTrue="1" operator="between">
      <formula>3</formula>
      <formula>100</formula>
    </cfRule>
    <cfRule type="cellIs" dxfId="13" priority="12" stopIfTrue="1" operator="between">
      <formula>1</formula>
      <formula>3</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colBreaks count="1" manualBreakCount="1">
    <brk id="12" max="1048575"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7"/>
  </sheetPr>
  <dimension ref="B1:AH24"/>
  <sheetViews>
    <sheetView showGridLines="0" topLeftCell="A29" zoomScaleNormal="100" workbookViewId="0">
      <selection activeCell="F20" sqref="F20"/>
    </sheetView>
  </sheetViews>
  <sheetFormatPr baseColWidth="10" defaultColWidth="11.5703125" defaultRowHeight="15"/>
  <cols>
    <col min="1" max="1" width="0.42578125" customWidth="1"/>
    <col min="2" max="2" width="17.85546875" customWidth="1"/>
    <col min="3" max="3" width="16.140625" customWidth="1"/>
    <col min="4" max="4" width="17.42578125" customWidth="1"/>
    <col min="5" max="5" width="12.7109375" customWidth="1"/>
    <col min="6" max="6" width="12.28515625" customWidth="1"/>
    <col min="7" max="7" width="8.42578125" customWidth="1"/>
    <col min="8" max="8" width="6.42578125" customWidth="1"/>
    <col min="9" max="9" width="6" customWidth="1"/>
    <col min="10" max="10" width="8" customWidth="1"/>
    <col min="11" max="11" width="11.42578125" customWidth="1"/>
    <col min="12" max="12" width="18" customWidth="1"/>
    <col min="13" max="13" width="19.85546875" customWidth="1"/>
    <col min="14" max="14" width="9.42578125" customWidth="1"/>
    <col min="15" max="15" width="7.42578125" customWidth="1"/>
    <col min="16" max="16" width="15.5703125" customWidth="1"/>
    <col min="17" max="17" width="14.42578125" customWidth="1"/>
  </cols>
  <sheetData>
    <row r="1" spans="2:34" ht="26.25" customHeight="1"/>
    <row r="2" spans="2:34" ht="21.75" customHeight="1">
      <c r="B2" s="540" t="str">
        <f>+"Cuadro de mando:  "&amp;"  "&amp;+'Introducción de datos'!C4&amp;" - "&amp;'Introducción de datos'!G6</f>
        <v>Cuadro de mando:    El Salvador - TB</v>
      </c>
      <c r="C2" s="540"/>
      <c r="D2" s="540"/>
      <c r="E2" s="540"/>
      <c r="F2" s="540"/>
      <c r="G2" s="540"/>
      <c r="H2" s="540"/>
      <c r="I2" s="540"/>
      <c r="J2" s="540"/>
      <c r="K2" s="540"/>
      <c r="L2" s="540"/>
      <c r="M2" s="540"/>
      <c r="N2" s="540"/>
      <c r="O2" s="540"/>
      <c r="P2" s="540"/>
      <c r="Q2" s="540"/>
    </row>
    <row r="3" spans="2:34">
      <c r="B3" s="281">
        <f>+'Introducción de datos'!G8</f>
        <v>0</v>
      </c>
      <c r="C3" s="531">
        <f>+'Introducción de datos'!I8</f>
        <v>0</v>
      </c>
      <c r="D3" s="531"/>
      <c r="E3" s="528"/>
      <c r="F3" s="528"/>
      <c r="G3" s="528"/>
      <c r="H3" s="528"/>
      <c r="I3" s="528"/>
      <c r="J3" s="528"/>
      <c r="K3" s="528"/>
      <c r="O3" s="529" t="str">
        <f>+'Introducción de datos'!B16</f>
        <v>Periodo:</v>
      </c>
      <c r="P3" s="529"/>
      <c r="Q3" s="282" t="str">
        <f>+'Introducción de datos'!C16</f>
        <v>P3</v>
      </c>
    </row>
    <row r="4" spans="2:34" ht="12" customHeight="1">
      <c r="B4" s="281" t="str">
        <f>+'Introducción de datos'!B12</f>
        <v>Ultima calificación:</v>
      </c>
      <c r="C4" s="555" t="str">
        <f>+'Introducción de datos'!C12</f>
        <v>A1</v>
      </c>
      <c r="D4" s="555"/>
      <c r="E4" s="528" t="str">
        <f>+'Introducción de datos'!C8</f>
        <v xml:space="preserve">Ministerio de Salud </v>
      </c>
      <c r="F4" s="528"/>
      <c r="G4" s="528"/>
      <c r="H4" s="528"/>
      <c r="I4" s="528"/>
      <c r="J4" s="528"/>
      <c r="K4" s="528"/>
      <c r="L4" s="528"/>
      <c r="O4" s="67"/>
      <c r="P4" s="281" t="str">
        <f>+'Introducción de datos'!D16</f>
        <v>Desde:</v>
      </c>
      <c r="Q4" s="322">
        <f>+'Introducción de datos'!E16</f>
        <v>43101</v>
      </c>
      <c r="X4" s="258"/>
      <c r="Y4" s="258"/>
      <c r="Z4" s="258"/>
      <c r="AA4" s="258"/>
      <c r="AB4" s="258"/>
    </row>
    <row r="5" spans="2:34" ht="20.45" customHeight="1">
      <c r="B5" s="281"/>
      <c r="C5" s="281"/>
      <c r="D5" s="528" t="str">
        <f>+'Introducción de datos'!G4</f>
        <v>Financiamiento al PENM TB 2016 - 2020</v>
      </c>
      <c r="E5" s="528"/>
      <c r="F5" s="528"/>
      <c r="G5" s="528"/>
      <c r="H5" s="528"/>
      <c r="I5" s="528"/>
      <c r="J5" s="528"/>
      <c r="K5" s="528"/>
      <c r="L5" s="528"/>
      <c r="M5" s="528"/>
      <c r="N5" s="528"/>
      <c r="P5" s="281" t="str">
        <f>+'Introducción de datos'!F16</f>
        <v>Hasta:</v>
      </c>
      <c r="Q5" s="322">
        <f>+'Introducción de datos'!G16</f>
        <v>43465</v>
      </c>
      <c r="R5" s="323"/>
      <c r="S5" s="323"/>
      <c r="T5" s="323"/>
      <c r="U5" s="323"/>
      <c r="V5" s="323"/>
      <c r="W5" s="323"/>
      <c r="X5" s="258"/>
      <c r="Y5" s="258"/>
      <c r="Z5" s="258" t="s">
        <v>214</v>
      </c>
      <c r="AA5" s="258"/>
      <c r="AB5" s="258" t="s">
        <v>215</v>
      </c>
      <c r="AC5" s="323"/>
      <c r="AD5" s="323"/>
      <c r="AE5" s="323"/>
      <c r="AF5" s="323"/>
      <c r="AG5" s="323"/>
      <c r="AH5" s="323"/>
    </row>
    <row r="6" spans="2:34" ht="64.150000000000006" customHeight="1">
      <c r="B6" s="281"/>
      <c r="C6" s="281"/>
      <c r="D6" s="324"/>
      <c r="E6" s="324"/>
      <c r="F6" s="556" t="s">
        <v>216</v>
      </c>
      <c r="G6" s="556"/>
      <c r="H6" s="556"/>
      <c r="I6" s="556"/>
      <c r="J6" s="556"/>
      <c r="K6" s="556"/>
      <c r="L6" s="324"/>
      <c r="O6" s="325"/>
      <c r="P6" s="326"/>
      <c r="R6" s="323"/>
      <c r="S6" s="323"/>
      <c r="T6" s="323"/>
      <c r="U6" s="323"/>
      <c r="V6" s="323"/>
      <c r="W6" s="323"/>
      <c r="X6" s="258"/>
      <c r="Y6" s="258"/>
      <c r="Z6" s="258"/>
      <c r="AA6" s="258"/>
      <c r="AB6" s="258"/>
      <c r="AC6" s="323"/>
      <c r="AD6" s="323"/>
      <c r="AE6" s="323"/>
      <c r="AF6" s="323"/>
      <c r="AG6" s="323"/>
      <c r="AH6" s="323"/>
    </row>
    <row r="7" spans="2:34" ht="3" customHeight="1">
      <c r="B7" s="281"/>
      <c r="C7" s="281"/>
      <c r="D7" s="324"/>
      <c r="E7" s="324"/>
      <c r="F7" s="324"/>
      <c r="G7" s="324"/>
      <c r="H7" s="324"/>
      <c r="I7" s="324"/>
      <c r="J7" s="324"/>
      <c r="K7" s="324"/>
      <c r="L7" s="324"/>
      <c r="O7" s="325"/>
      <c r="P7" s="283"/>
      <c r="Q7" s="283"/>
      <c r="R7" s="323"/>
      <c r="S7" s="323"/>
      <c r="T7" s="323"/>
      <c r="U7" s="323"/>
      <c r="V7" s="323"/>
      <c r="W7" s="323"/>
      <c r="X7" s="258"/>
      <c r="Y7" s="258"/>
      <c r="Z7" s="258"/>
      <c r="AA7" s="258"/>
      <c r="AB7" s="258"/>
      <c r="AC7" s="323"/>
      <c r="AD7" s="323"/>
      <c r="AE7" s="323"/>
      <c r="AF7" s="323"/>
      <c r="AG7" s="323"/>
      <c r="AH7" s="323"/>
    </row>
    <row r="8" spans="2:34" ht="63.75" customHeight="1">
      <c r="B8" s="552" t="str">
        <f>+'Introducción de datos'!B131</f>
        <v>TCP-1(M): Número de casos notificados de todas las formas de TB (i.e. confirmados bacteriológicamente y con diagnóstico clínico) incluye casos nuevos y recaídas</v>
      </c>
      <c r="C8" s="552"/>
      <c r="D8" s="552"/>
      <c r="E8" s="552"/>
      <c r="F8" s="552" t="str">
        <f>+'Introducción de datos'!B133</f>
        <v>DOTS-2b: Porcentaje de casos de tuberculosis confirmados bacteriológicamente que se han tratado con éxito (curados y con tratamiento completo) entre los casos de tuberculosis confirmados bacteriológicamente y registrados durante un período especificado</v>
      </c>
      <c r="G8" s="552"/>
      <c r="H8" s="552"/>
      <c r="I8" s="552"/>
      <c r="J8" s="552"/>
      <c r="K8" s="552"/>
      <c r="L8" s="552" t="str">
        <f>+'Introducción de datos'!B135</f>
        <v xml:space="preserve">MDR TB-other1: Número y porcentaje de pacientes sospechosos de tuberculosis resistente a los fármacos (RR-TB y / o MDR-TB) que se sometieron a pruebas de sensibilidad </v>
      </c>
      <c r="M8" s="552"/>
      <c r="N8" s="552"/>
      <c r="O8" s="552"/>
      <c r="P8" s="552"/>
      <c r="Q8" s="552"/>
      <c r="R8" s="323"/>
      <c r="S8" s="323"/>
      <c r="T8" s="323"/>
      <c r="U8" s="323"/>
      <c r="V8" s="323"/>
      <c r="W8" s="323"/>
      <c r="X8" s="258"/>
      <c r="Y8" s="258"/>
      <c r="Z8" s="258"/>
      <c r="AA8" s="258"/>
      <c r="AB8" s="258"/>
      <c r="AC8" s="323"/>
      <c r="AD8" s="323"/>
      <c r="AE8" s="323"/>
      <c r="AF8" s="323"/>
      <c r="AG8" s="323"/>
      <c r="AH8" s="323"/>
    </row>
    <row r="9" spans="2:34" ht="73.5" customHeight="1">
      <c r="B9" s="327" t="s">
        <v>217</v>
      </c>
      <c r="C9" s="553" t="s">
        <v>362</v>
      </c>
      <c r="D9" s="553"/>
      <c r="E9" s="553"/>
      <c r="F9" s="327" t="s">
        <v>217</v>
      </c>
      <c r="G9" s="553" t="s">
        <v>363</v>
      </c>
      <c r="H9" s="553"/>
      <c r="I9" s="553"/>
      <c r="J9" s="553"/>
      <c r="K9" s="553"/>
      <c r="L9" s="327" t="s">
        <v>217</v>
      </c>
      <c r="M9" s="554" t="s">
        <v>364</v>
      </c>
      <c r="N9" s="537"/>
      <c r="O9" s="537"/>
      <c r="P9" s="537"/>
      <c r="Q9" s="537"/>
      <c r="R9" s="323"/>
      <c r="S9" s="323"/>
      <c r="T9" s="323"/>
      <c r="U9" s="323"/>
      <c r="V9" s="323"/>
      <c r="W9" s="323"/>
      <c r="X9" s="323"/>
      <c r="Y9" s="323"/>
      <c r="Z9" s="323"/>
      <c r="AA9" s="323"/>
      <c r="AB9" s="323"/>
      <c r="AC9" s="323"/>
      <c r="AD9" s="323"/>
      <c r="AE9" s="323"/>
      <c r="AF9" s="323"/>
      <c r="AG9" s="323"/>
      <c r="AH9" s="323"/>
    </row>
    <row r="10" spans="2:34" ht="9" customHeight="1">
      <c r="B10" s="281"/>
      <c r="C10" s="281"/>
      <c r="D10" s="324"/>
      <c r="E10" s="324"/>
      <c r="F10" s="324"/>
      <c r="G10" s="324"/>
      <c r="H10" s="324"/>
      <c r="I10" s="324"/>
      <c r="J10" s="324"/>
      <c r="K10" s="324"/>
      <c r="L10" s="324"/>
      <c r="O10" s="325"/>
      <c r="P10" s="283"/>
      <c r="R10" s="323"/>
      <c r="S10" s="323"/>
      <c r="T10" s="323"/>
      <c r="U10" s="323"/>
      <c r="V10" s="323"/>
      <c r="W10" s="323"/>
      <c r="X10" s="323"/>
      <c r="Y10" s="323"/>
      <c r="Z10" s="323"/>
      <c r="AA10" s="323"/>
      <c r="AB10" s="323"/>
      <c r="AC10" s="323"/>
      <c r="AD10" s="323"/>
      <c r="AE10" s="323"/>
      <c r="AF10" s="323"/>
      <c r="AG10" s="323"/>
      <c r="AH10" s="323"/>
    </row>
    <row r="11" spans="2:34" ht="7.9" customHeight="1">
      <c r="B11" s="281"/>
      <c r="C11" s="281"/>
      <c r="D11" s="324"/>
      <c r="E11" s="324"/>
      <c r="F11" s="324"/>
      <c r="G11" s="324"/>
      <c r="H11" s="324"/>
      <c r="I11" s="324"/>
      <c r="J11" s="324"/>
      <c r="K11" s="324"/>
      <c r="L11" s="324"/>
      <c r="O11" s="325"/>
      <c r="P11" s="283"/>
      <c r="R11" s="323"/>
      <c r="S11" s="323"/>
      <c r="T11" s="323"/>
      <c r="U11" s="323"/>
      <c r="V11" s="323"/>
      <c r="W11" s="323"/>
      <c r="X11" s="323"/>
      <c r="Y11" s="323"/>
      <c r="Z11" s="323"/>
      <c r="AA11" s="323"/>
      <c r="AB11" s="323"/>
      <c r="AC11" s="323"/>
      <c r="AD11" s="323"/>
      <c r="AE11" s="323"/>
      <c r="AF11" s="323"/>
      <c r="AG11" s="323"/>
      <c r="AH11" s="323"/>
    </row>
    <row r="12" spans="2:34" ht="30.75" customHeight="1">
      <c r="B12" s="281"/>
      <c r="C12" s="281"/>
      <c r="D12" s="324"/>
      <c r="E12" s="324"/>
      <c r="F12" s="324"/>
      <c r="G12" s="324"/>
      <c r="H12" s="324"/>
      <c r="I12" s="324"/>
      <c r="J12" s="324"/>
      <c r="K12" s="324"/>
      <c r="L12" s="324"/>
      <c r="O12" s="325"/>
      <c r="P12" s="283"/>
      <c r="R12" s="323"/>
      <c r="S12" s="323"/>
      <c r="T12" s="323"/>
      <c r="U12" s="323"/>
      <c r="V12" s="323"/>
      <c r="W12" s="323"/>
      <c r="X12" s="323"/>
      <c r="Y12" s="323"/>
      <c r="Z12" s="323"/>
      <c r="AA12" s="323"/>
      <c r="AB12" s="323"/>
      <c r="AC12" s="323"/>
      <c r="AD12" s="323"/>
      <c r="AE12" s="323"/>
      <c r="AF12" s="323"/>
      <c r="AG12" s="323"/>
      <c r="AH12" s="323"/>
    </row>
    <row r="13" spans="2:34" ht="18.75" customHeight="1">
      <c r="B13" s="281"/>
      <c r="C13" s="281"/>
      <c r="D13" s="324"/>
      <c r="E13" s="324"/>
      <c r="F13" s="324"/>
      <c r="G13" s="324"/>
      <c r="H13" s="324"/>
      <c r="I13" s="324"/>
      <c r="J13" s="324"/>
      <c r="K13" s="324"/>
      <c r="L13" s="324"/>
      <c r="O13" s="325"/>
      <c r="P13" s="283"/>
      <c r="R13" s="323"/>
      <c r="S13" s="323"/>
      <c r="T13" s="323"/>
      <c r="U13" s="323"/>
      <c r="V13" s="323"/>
      <c r="W13" s="323"/>
      <c r="X13" s="323"/>
      <c r="Y13" s="323"/>
      <c r="Z13" s="323"/>
      <c r="AA13" s="323"/>
      <c r="AB13" s="323"/>
      <c r="AC13" s="323"/>
      <c r="AD13" s="323"/>
      <c r="AE13" s="323"/>
      <c r="AF13" s="323"/>
      <c r="AG13" s="323"/>
      <c r="AH13" s="323"/>
    </row>
    <row r="14" spans="2:34" ht="34.5" customHeight="1">
      <c r="B14" s="281"/>
      <c r="C14" s="281"/>
      <c r="D14" s="324"/>
      <c r="E14" s="324"/>
      <c r="F14" s="324"/>
      <c r="G14" s="324"/>
      <c r="H14" s="324"/>
      <c r="I14" s="324"/>
      <c r="J14" s="324"/>
      <c r="K14" s="324"/>
      <c r="L14" s="324"/>
      <c r="O14" s="325"/>
      <c r="P14" s="283"/>
      <c r="R14" s="323"/>
      <c r="S14" s="323"/>
      <c r="T14" s="323"/>
      <c r="U14" s="323"/>
      <c r="V14" s="323"/>
      <c r="W14" s="323"/>
      <c r="X14" s="323"/>
      <c r="Y14" s="323"/>
      <c r="Z14" s="323"/>
      <c r="AA14" s="323"/>
      <c r="AB14" s="323"/>
      <c r="AC14" s="323"/>
      <c r="AD14" s="323"/>
      <c r="AE14" s="323"/>
      <c r="AF14" s="323"/>
      <c r="AG14" s="323"/>
      <c r="AH14" s="323"/>
    </row>
    <row r="15" spans="2:34" ht="21" customHeight="1">
      <c r="B15" s="281"/>
      <c r="C15" s="281"/>
      <c r="D15" s="324"/>
      <c r="E15" s="324"/>
      <c r="F15" s="324"/>
      <c r="G15" s="324"/>
      <c r="H15" s="324"/>
      <c r="I15" s="324"/>
      <c r="J15" s="324"/>
      <c r="K15" s="324"/>
      <c r="L15" s="324"/>
      <c r="O15" s="325"/>
      <c r="P15" s="283"/>
      <c r="R15" s="323"/>
      <c r="S15" s="323"/>
      <c r="T15" s="323"/>
      <c r="U15" s="323"/>
      <c r="V15" s="323"/>
      <c r="W15" s="323"/>
      <c r="X15" s="323"/>
      <c r="Y15" s="323"/>
      <c r="Z15" s="323"/>
      <c r="AA15" s="323"/>
      <c r="AB15" s="323"/>
      <c r="AC15" s="323"/>
      <c r="AD15" s="323"/>
      <c r="AE15" s="323"/>
      <c r="AF15" s="323"/>
      <c r="AG15" s="323"/>
      <c r="AH15" s="323"/>
    </row>
    <row r="16" spans="2:34" ht="18" customHeight="1">
      <c r="B16" s="281"/>
      <c r="C16" s="281"/>
      <c r="D16" s="324"/>
      <c r="E16" s="324"/>
      <c r="F16" s="324"/>
      <c r="G16" s="324"/>
      <c r="H16" s="324"/>
      <c r="I16" s="324"/>
      <c r="J16" s="324"/>
      <c r="K16" s="324"/>
      <c r="L16" s="324"/>
      <c r="O16" s="325"/>
      <c r="P16" s="283"/>
      <c r="R16" s="323"/>
      <c r="S16" s="323"/>
      <c r="T16" s="323"/>
      <c r="U16" s="323"/>
      <c r="V16" s="323"/>
      <c r="W16" s="323"/>
      <c r="X16" s="323"/>
      <c r="Y16" s="323"/>
      <c r="Z16" s="323"/>
      <c r="AA16" s="323"/>
      <c r="AB16" s="323"/>
      <c r="AC16" s="323"/>
      <c r="AD16" s="323"/>
      <c r="AE16" s="323"/>
      <c r="AF16" s="323"/>
      <c r="AG16" s="323"/>
      <c r="AH16" s="323"/>
    </row>
    <row r="17" spans="2:34" ht="18.600000000000001" customHeight="1">
      <c r="B17" s="281"/>
      <c r="C17" s="281"/>
      <c r="D17" s="324"/>
      <c r="E17" s="324"/>
      <c r="F17" s="324"/>
      <c r="G17" s="324"/>
      <c r="H17" s="324"/>
      <c r="I17" s="324"/>
      <c r="J17" s="324"/>
      <c r="K17" s="324"/>
      <c r="L17" s="324"/>
      <c r="O17" s="325"/>
      <c r="P17" s="283"/>
      <c r="R17" s="323"/>
      <c r="S17" s="323"/>
      <c r="T17" s="323"/>
      <c r="U17" s="323"/>
      <c r="V17" s="323"/>
      <c r="W17" s="323"/>
      <c r="X17" s="323"/>
      <c r="Y17" s="323"/>
      <c r="Z17" s="323"/>
      <c r="AA17" s="323"/>
      <c r="AB17" s="323"/>
      <c r="AC17" s="323"/>
      <c r="AD17" s="323"/>
      <c r="AE17" s="323"/>
      <c r="AF17" s="323"/>
      <c r="AG17" s="323"/>
      <c r="AH17" s="323"/>
    </row>
    <row r="18" spans="2:34" ht="19.149999999999999" customHeight="1">
      <c r="B18" s="67"/>
      <c r="C18" s="281"/>
      <c r="D18" s="284"/>
      <c r="E18" s="548"/>
      <c r="F18" s="548"/>
      <c r="G18" s="548"/>
      <c r="H18" s="548"/>
      <c r="I18" s="548"/>
      <c r="J18" s="548"/>
      <c r="K18" s="548"/>
      <c r="R18" s="323"/>
      <c r="S18" s="323"/>
      <c r="T18" s="323"/>
      <c r="U18" s="323"/>
      <c r="V18" s="323"/>
      <c r="W18" s="323"/>
      <c r="X18" s="323"/>
      <c r="Y18" s="323"/>
      <c r="Z18" s="323"/>
      <c r="AA18" s="323"/>
      <c r="AB18" s="323"/>
      <c r="AC18" s="323"/>
      <c r="AD18" s="323"/>
      <c r="AE18" s="323"/>
      <c r="AF18" s="323"/>
      <c r="AG18" s="323"/>
      <c r="AH18" s="323"/>
    </row>
    <row r="19" spans="2:34" ht="24" customHeight="1">
      <c r="B19" s="549" t="s">
        <v>218</v>
      </c>
      <c r="C19" s="549"/>
      <c r="D19" s="549"/>
      <c r="E19" s="328" t="s">
        <v>184</v>
      </c>
      <c r="F19" s="328" t="s">
        <v>219</v>
      </c>
      <c r="G19" s="550" t="s">
        <v>220</v>
      </c>
      <c r="H19" s="550"/>
      <c r="I19" s="551" t="s">
        <v>221</v>
      </c>
      <c r="J19" s="551"/>
      <c r="K19" s="329" t="s">
        <v>222</v>
      </c>
      <c r="L19" s="546" t="s">
        <v>223</v>
      </c>
      <c r="M19" s="546"/>
      <c r="N19" s="546"/>
      <c r="O19" s="546"/>
      <c r="P19" s="546"/>
      <c r="Q19" s="546"/>
      <c r="R19" s="330" t="s">
        <v>224</v>
      </c>
      <c r="S19" s="331">
        <v>0</v>
      </c>
      <c r="T19" s="332">
        <v>0.3</v>
      </c>
      <c r="U19" s="332">
        <v>0.6</v>
      </c>
      <c r="V19" s="332">
        <v>0.9</v>
      </c>
      <c r="W19" s="332">
        <v>1</v>
      </c>
      <c r="X19" s="258"/>
      <c r="Y19" s="258"/>
      <c r="Z19" s="333" t="s">
        <v>225</v>
      </c>
      <c r="AA19" s="331">
        <v>0</v>
      </c>
      <c r="AB19" s="332">
        <v>0.2</v>
      </c>
      <c r="AC19" s="332">
        <v>0.4</v>
      </c>
      <c r="AD19" s="332">
        <v>0.6</v>
      </c>
      <c r="AE19" s="332">
        <v>0.8</v>
      </c>
      <c r="AF19" s="258"/>
      <c r="AG19" s="258"/>
      <c r="AH19" s="258"/>
    </row>
    <row r="20" spans="2:34" ht="318" customHeight="1">
      <c r="B20" s="547" t="s">
        <v>357</v>
      </c>
      <c r="C20" s="547"/>
      <c r="D20" s="547"/>
      <c r="E20" s="414">
        <f>'Introducción de datos'!J131</f>
        <v>2686</v>
      </c>
      <c r="F20" s="414">
        <f>'Introducción de datos'!J132</f>
        <v>3615</v>
      </c>
      <c r="G20" s="545">
        <v>1.2</v>
      </c>
      <c r="H20" s="545"/>
      <c r="I20" s="545"/>
      <c r="J20" s="545"/>
      <c r="K20" s="545"/>
      <c r="L20" s="543" t="s">
        <v>356</v>
      </c>
      <c r="M20" s="543"/>
      <c r="N20" s="543"/>
      <c r="O20" s="543"/>
      <c r="P20" s="543"/>
      <c r="Q20" s="543"/>
      <c r="R20" s="330" t="s">
        <v>226</v>
      </c>
      <c r="S20" s="332">
        <v>0.3</v>
      </c>
      <c r="T20" s="332">
        <v>0.6</v>
      </c>
      <c r="U20" s="332">
        <v>0.9</v>
      </c>
      <c r="V20" s="332">
        <v>1</v>
      </c>
      <c r="W20" s="332">
        <v>2</v>
      </c>
      <c r="X20" s="258"/>
      <c r="Y20" s="258"/>
      <c r="Z20" s="333" t="s">
        <v>227</v>
      </c>
      <c r="AA20" s="332">
        <v>0.2</v>
      </c>
      <c r="AB20" s="332">
        <v>0.4</v>
      </c>
      <c r="AC20" s="332">
        <v>0.6</v>
      </c>
      <c r="AD20" s="332">
        <v>0.8</v>
      </c>
      <c r="AE20" s="332">
        <v>1</v>
      </c>
      <c r="AF20" s="258"/>
      <c r="AG20" s="258"/>
      <c r="AH20" s="258"/>
    </row>
    <row r="21" spans="2:34" ht="297" customHeight="1">
      <c r="B21" s="544" t="str">
        <f>+'Introducción de datos'!B133</f>
        <v>DOTS-2b: Porcentaje de casos de tuberculosis confirmados bacteriológicamente que se han tratado con éxito (curados y con tratamiento completo) entre los casos de tuberculosis confirmados bacteriológicamente y registrados durante un período especificado</v>
      </c>
      <c r="C21" s="544"/>
      <c r="D21" s="544"/>
      <c r="E21" s="334">
        <f>'Introducción de datos'!J133</f>
        <v>0.9</v>
      </c>
      <c r="F21" s="415">
        <f>'Introducción de datos'!J134</f>
        <v>0.91049999999999998</v>
      </c>
      <c r="G21" s="545">
        <f>+IF(ISERROR(F21/E21),0,F21/E21)</f>
        <v>1.0116666666666667</v>
      </c>
      <c r="H21" s="545"/>
      <c r="I21" s="545"/>
      <c r="J21" s="545"/>
      <c r="K21" s="545"/>
      <c r="L21" s="543" t="s">
        <v>359</v>
      </c>
      <c r="M21" s="543"/>
      <c r="N21" s="543"/>
      <c r="O21" s="543"/>
      <c r="P21" s="543"/>
      <c r="Q21" s="543"/>
      <c r="R21" s="335"/>
      <c r="S21" s="336" t="str">
        <f>"de "&amp;S19&amp;" a "&amp;S20</f>
        <v>de 0 a 0.3</v>
      </c>
      <c r="T21" s="336"/>
      <c r="U21" s="336" t="str">
        <f>"de "&amp;U19&amp;" a "&amp;U20</f>
        <v>de 0.6 a 0.9</v>
      </c>
      <c r="V21" s="336" t="str">
        <f>"de "&amp;V19&amp;" a "&amp;V20</f>
        <v>de 0.9 a 1</v>
      </c>
      <c r="W21" s="336" t="str">
        <f>"de "&amp;W19&amp;" a "&amp;W20</f>
        <v>de 1 a 2</v>
      </c>
      <c r="X21" s="258"/>
      <c r="Y21" s="337" t="s">
        <v>228</v>
      </c>
      <c r="Z21" s="338" t="s">
        <v>229</v>
      </c>
      <c r="AA21" s="336" t="str">
        <f>"de "&amp;AA19&amp;" a "&amp;AA20</f>
        <v>de 0 a 0.2</v>
      </c>
      <c r="AB21" s="336" t="str">
        <f>"de "&amp;AB19&amp;" a "&amp;AB20</f>
        <v>de 0.2 a 0.4</v>
      </c>
      <c r="AC21" s="336" t="str">
        <f>"de "&amp;AC19&amp;" a "&amp;AC20</f>
        <v>de 0.4 a 0.6</v>
      </c>
      <c r="AD21" s="336" t="str">
        <f>"de "&amp;AD19&amp;" a "&amp;AD20</f>
        <v>de 0.6 a 0.8</v>
      </c>
      <c r="AE21" s="336" t="str">
        <f>"de "&amp;AE19&amp;" a "&amp;AE20</f>
        <v>de 0.8 a 1</v>
      </c>
      <c r="AF21" s="258"/>
      <c r="AG21" s="258"/>
      <c r="AH21" s="258"/>
    </row>
    <row r="22" spans="2:34" ht="240" customHeight="1">
      <c r="B22" s="541" t="str">
        <f>+'Introducción de datos'!B135</f>
        <v xml:space="preserve">MDR TB-other1: Número y porcentaje de pacientes sospechosos de tuberculosis resistente a los fármacos (RR-TB y / o MDR-TB) que se sometieron a pruebas de sensibilidad </v>
      </c>
      <c r="C22" s="541"/>
      <c r="D22" s="541"/>
      <c r="E22" s="334">
        <f>'Introducción de datos'!J135</f>
        <v>0.9</v>
      </c>
      <c r="F22" s="415">
        <f>'Introducción de datos'!J136</f>
        <v>0.97219999999999995</v>
      </c>
      <c r="G22" s="542">
        <f>+IF(ISERROR(F22/E22),0,F22/E22)</f>
        <v>1.0802222222222222</v>
      </c>
      <c r="H22" s="542"/>
      <c r="I22" s="542"/>
      <c r="J22" s="542"/>
      <c r="K22" s="542"/>
      <c r="L22" s="543" t="s">
        <v>360</v>
      </c>
      <c r="M22" s="543"/>
      <c r="N22" s="543"/>
      <c r="O22" s="543"/>
      <c r="P22" s="543"/>
      <c r="Q22" s="543"/>
      <c r="R22" s="335"/>
      <c r="S22" s="332" t="e">
        <f t="shared" ref="S22:V23" si="0">IF($K20&gt;S$19,IF($K20&lt;=S$20,$K20,NA()),NA())</f>
        <v>#N/A</v>
      </c>
      <c r="T22" s="332" t="e">
        <f t="shared" si="0"/>
        <v>#N/A</v>
      </c>
      <c r="U22" s="332" t="e">
        <f t="shared" si="0"/>
        <v>#N/A</v>
      </c>
      <c r="V22" s="332" t="e">
        <f t="shared" si="0"/>
        <v>#N/A</v>
      </c>
      <c r="W22" s="332" t="e">
        <f>IF($K20&gt;W$19,IF($K20&lt;=W$20,1,NA()),NA())</f>
        <v>#N/A</v>
      </c>
      <c r="X22" s="258"/>
      <c r="Y22" s="339" t="e">
        <f>#N/A</f>
        <v>#N/A</v>
      </c>
      <c r="Z22" s="332" t="e">
        <f>+IF(Y22="A1",1,IF(Y22="A2",0.8,IF(Y22="B1",0.6,IF(Y22="B2",0.4,0.2))))</f>
        <v>#N/A</v>
      </c>
      <c r="AA22" s="332" t="e">
        <f t="shared" ref="AA22:AE23" si="1">IF($Z22&gt;AA$19,IF($Z22&lt;=AA$20,$Z22,NA()),NA())</f>
        <v>#N/A</v>
      </c>
      <c r="AB22" s="332" t="e">
        <f t="shared" si="1"/>
        <v>#N/A</v>
      </c>
      <c r="AC22" s="332" t="e">
        <f t="shared" si="1"/>
        <v>#N/A</v>
      </c>
      <c r="AD22" s="332" t="e">
        <f t="shared" si="1"/>
        <v>#N/A</v>
      </c>
      <c r="AE22" s="332" t="e">
        <f t="shared" si="1"/>
        <v>#N/A</v>
      </c>
      <c r="AF22" s="258"/>
      <c r="AG22" s="258"/>
      <c r="AH22" s="258"/>
    </row>
    <row r="23" spans="2:34" ht="276.75" customHeight="1">
      <c r="B23" s="541" t="str">
        <f>+'Introducción de datos'!B137</f>
        <v>MDR TB-other2: Número y porcentaje de casos de TB resistentes a los medicamentos (TB-RR y / o MDR-TB) confirmados durante el último año calendario que están en tratamiento de segunda línea</v>
      </c>
      <c r="C23" s="541"/>
      <c r="D23" s="541"/>
      <c r="E23" s="414">
        <f>'Introducción de datos'!J137</f>
        <v>7</v>
      </c>
      <c r="F23" s="414">
        <f>'Introducción de datos'!J138</f>
        <v>7</v>
      </c>
      <c r="G23" s="542">
        <f>+IF(ISERROR(F23/E23),0,F23/E23)</f>
        <v>1</v>
      </c>
      <c r="H23" s="542"/>
      <c r="I23" s="542"/>
      <c r="J23" s="542"/>
      <c r="K23" s="542"/>
      <c r="L23" s="543" t="s">
        <v>361</v>
      </c>
      <c r="M23" s="543"/>
      <c r="N23" s="543"/>
      <c r="O23" s="543"/>
      <c r="P23" s="543"/>
      <c r="Q23" s="543"/>
      <c r="R23" s="335"/>
      <c r="S23" s="332" t="e">
        <f t="shared" si="0"/>
        <v>#N/A</v>
      </c>
      <c r="T23" s="332" t="e">
        <f t="shared" si="0"/>
        <v>#N/A</v>
      </c>
      <c r="U23" s="332" t="e">
        <f t="shared" si="0"/>
        <v>#N/A</v>
      </c>
      <c r="V23" s="332" t="e">
        <f t="shared" si="0"/>
        <v>#N/A</v>
      </c>
      <c r="W23" s="332" t="e">
        <f>IF($K21&gt;W$19,IF($K21&lt;=W$20,1,1),NA())</f>
        <v>#N/A</v>
      </c>
      <c r="X23" s="258"/>
      <c r="Y23" s="339" t="e">
        <f>#N/A</f>
        <v>#N/A</v>
      </c>
      <c r="Z23" s="332" t="e">
        <f>+IF(Y23="A1",1,IF(Y23="A2",0.8,IF(Y23="B1",0.6,IF(Y23="B2",0.4,0.2))))</f>
        <v>#N/A</v>
      </c>
      <c r="AA23" s="332" t="e">
        <f t="shared" si="1"/>
        <v>#N/A</v>
      </c>
      <c r="AB23" s="332" t="e">
        <f t="shared" si="1"/>
        <v>#N/A</v>
      </c>
      <c r="AC23" s="332" t="e">
        <f t="shared" si="1"/>
        <v>#N/A</v>
      </c>
      <c r="AD23" s="332" t="e">
        <f t="shared" si="1"/>
        <v>#N/A</v>
      </c>
      <c r="AE23" s="332" t="e">
        <f t="shared" si="1"/>
        <v>#N/A</v>
      </c>
      <c r="AF23" s="258"/>
      <c r="AG23" s="258"/>
      <c r="AH23" s="258"/>
    </row>
    <row r="24" spans="2:34" ht="14.25" customHeight="1"/>
  </sheetData>
  <sheetProtection selectLockedCells="1" selectUnlockedCells="1"/>
  <mergeCells count="31">
    <mergeCell ref="C4:D4"/>
    <mergeCell ref="E4:L4"/>
    <mergeCell ref="D5:N5"/>
    <mergeCell ref="F6:K6"/>
    <mergeCell ref="B2:Q2"/>
    <mergeCell ref="C3:D3"/>
    <mergeCell ref="E3:K3"/>
    <mergeCell ref="O3:P3"/>
    <mergeCell ref="B8:E8"/>
    <mergeCell ref="F8:K8"/>
    <mergeCell ref="L8:Q8"/>
    <mergeCell ref="C9:E9"/>
    <mergeCell ref="G9:K9"/>
    <mergeCell ref="M9:Q9"/>
    <mergeCell ref="L19:Q19"/>
    <mergeCell ref="B20:D20"/>
    <mergeCell ref="G20:K20"/>
    <mergeCell ref="L20:Q20"/>
    <mergeCell ref="E18:K18"/>
    <mergeCell ref="B19:D19"/>
    <mergeCell ref="G19:H19"/>
    <mergeCell ref="I19:J19"/>
    <mergeCell ref="B23:D23"/>
    <mergeCell ref="G23:K23"/>
    <mergeCell ref="L23:Q23"/>
    <mergeCell ref="B21:D21"/>
    <mergeCell ref="G21:K21"/>
    <mergeCell ref="L21:Q21"/>
    <mergeCell ref="B22:D22"/>
    <mergeCell ref="G22:K22"/>
    <mergeCell ref="L22:Q22"/>
  </mergeCells>
  <phoneticPr fontId="67" type="noConversion"/>
  <conditionalFormatting sqref="C4:D4">
    <cfRule type="cellIs" dxfId="12" priority="1" stopIfTrue="1" operator="equal">
      <formula>"C"</formula>
    </cfRule>
    <cfRule type="cellIs" dxfId="11" priority="2" stopIfTrue="1" operator="equal">
      <formula>"B2"</formula>
    </cfRule>
    <cfRule type="cellIs" dxfId="10" priority="3" stopIfTrue="1" operator="equal">
      <formula>"B1"</formula>
    </cfRule>
  </conditionalFormatting>
  <conditionalFormatting sqref="G20:G23">
    <cfRule type="cellIs" dxfId="9" priority="4" stopIfTrue="1" operator="between">
      <formula>0</formula>
      <formula>0.599</formula>
    </cfRule>
    <cfRule type="cellIs" dxfId="8" priority="5" stopIfTrue="1" operator="between">
      <formula>0.6</formula>
      <formula>0.899</formula>
    </cfRule>
    <cfRule type="cellIs" dxfId="7" priority="6" stopIfTrue="1" operator="greaterThanOrEqual">
      <formula>0.9</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r:id="rId1"/>
  <headerFooter alignWithMargins="0">
    <oddFooter>&amp;L&amp;F&amp;C&amp;A&amp;R&amp;D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41"/>
  <sheetViews>
    <sheetView showGridLines="0" topLeftCell="C7" zoomScale="80" zoomScaleNormal="80" workbookViewId="0">
      <selection activeCell="D12" sqref="D12:G12"/>
    </sheetView>
  </sheetViews>
  <sheetFormatPr baseColWidth="10" defaultRowHeight="11.25"/>
  <cols>
    <col min="1" max="1" width="1.140625" style="340" customWidth="1"/>
    <col min="2" max="2" width="19.42578125" style="340" customWidth="1"/>
    <col min="3" max="3" width="1.140625" style="340" customWidth="1"/>
    <col min="4" max="4" width="17.140625" style="340" customWidth="1"/>
    <col min="5" max="5" width="17.42578125" style="340" customWidth="1"/>
    <col min="6" max="6" width="9.5703125" style="340" customWidth="1"/>
    <col min="7" max="7" width="13" style="340" customWidth="1"/>
    <col min="8" max="8" width="4.42578125" style="340" customWidth="1"/>
    <col min="9" max="9" width="15.85546875" style="340" customWidth="1"/>
    <col min="10" max="10" width="3.42578125" style="340" customWidth="1"/>
    <col min="11" max="11" width="7.42578125" style="341" customWidth="1"/>
    <col min="12" max="12" width="22" style="340" customWidth="1"/>
    <col min="13" max="13" width="12" style="340" customWidth="1"/>
    <col min="14" max="14" width="5.42578125" style="340" customWidth="1"/>
    <col min="15" max="15" width="2.42578125" style="340" customWidth="1"/>
    <col min="16" max="16384" width="11.42578125" style="340"/>
  </cols>
  <sheetData>
    <row r="1" spans="1:256" ht="38.25" customHeight="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75" customHeight="1">
      <c r="A2"/>
      <c r="B2" s="540" t="str">
        <f>+"Cuadro de mando:  "&amp;"  "&amp;+'Introducción de datos'!C4&amp;" - "&amp;'Introducción de datos'!G6</f>
        <v>Cuadro de mando:    El Salvador - TB</v>
      </c>
      <c r="C2" s="540"/>
      <c r="D2" s="540"/>
      <c r="E2" s="540"/>
      <c r="F2" s="540"/>
      <c r="G2" s="540"/>
      <c r="H2" s="540"/>
      <c r="I2" s="540"/>
      <c r="J2" s="540"/>
      <c r="K2" s="540"/>
      <c r="L2" s="540"/>
      <c r="M2" s="540"/>
      <c r="N2" s="540"/>
      <c r="O2" s="34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c r="B3" s="281">
        <f>+'Introducción de datos'!G8</f>
        <v>0</v>
      </c>
      <c r="C3" s="531">
        <f>+'Introducción de datos'!I8</f>
        <v>0</v>
      </c>
      <c r="D3" s="531"/>
      <c r="E3" s="441"/>
      <c r="F3" s="441"/>
      <c r="G3" s="441"/>
      <c r="H3" s="441"/>
      <c r="I3" s="441"/>
      <c r="J3" s="441"/>
      <c r="K3" s="441"/>
      <c r="L3" s="281" t="str">
        <f>+'Introducción de datos'!B16</f>
        <v>Periodo:</v>
      </c>
      <c r="M3" s="282" t="str">
        <f>+'Introducción de datos'!C16</f>
        <v>P3</v>
      </c>
      <c r="N3" s="282"/>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281" t="str">
        <f>+'Introducción de datos'!B12</f>
        <v>Ultima calificación:</v>
      </c>
      <c r="C4" s="555" t="str">
        <f>+'Introducción de datos'!C12</f>
        <v>A1</v>
      </c>
      <c r="D4" s="555"/>
      <c r="E4" s="528" t="str">
        <f>+'Introducción de datos'!C8</f>
        <v xml:space="preserve">Ministerio de Salud </v>
      </c>
      <c r="F4" s="528"/>
      <c r="G4" s="528"/>
      <c r="H4" s="528"/>
      <c r="I4" s="528"/>
      <c r="J4" s="528"/>
      <c r="K4" s="528"/>
      <c r="L4" s="281" t="str">
        <f>+'Introducción de datos'!D16</f>
        <v>Desde:</v>
      </c>
      <c r="M4" s="283">
        <f>+'Introducción de datos'!E16</f>
        <v>43101</v>
      </c>
      <c r="N4" s="283"/>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c r="B5" s="281"/>
      <c r="C5" s="281"/>
      <c r="D5" s="284"/>
      <c r="E5" s="528" t="str">
        <f>+'Introducción de datos'!G4</f>
        <v>Financiamiento al PENM TB 2016 - 2020</v>
      </c>
      <c r="F5" s="528"/>
      <c r="G5" s="528"/>
      <c r="H5" s="528"/>
      <c r="I5" s="528"/>
      <c r="J5" s="528"/>
      <c r="K5" s="528"/>
      <c r="L5" s="281" t="str">
        <f>+'Introducción de datos'!F16</f>
        <v>Hasta:</v>
      </c>
      <c r="M5" s="283">
        <f>+'Introducción de datos'!G16</f>
        <v>43465</v>
      </c>
      <c r="N5" s="28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c r="B6" s="67"/>
      <c r="C6" s="281"/>
      <c r="D6" s="284"/>
      <c r="E6" s="581" t="s">
        <v>227</v>
      </c>
      <c r="F6" s="581"/>
      <c r="G6" s="581"/>
      <c r="H6" s="581"/>
      <c r="I6" s="581"/>
      <c r="J6" s="581"/>
      <c r="K6" s="581"/>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4.5" customHeight="1">
      <c r="B7" s="343"/>
      <c r="C7" s="343"/>
      <c r="D7" s="343"/>
      <c r="E7" s="343"/>
      <c r="F7" s="343"/>
      <c r="G7" s="343"/>
      <c r="H7" s="343"/>
      <c r="I7" s="343"/>
      <c r="J7" s="343"/>
      <c r="K7" s="343"/>
      <c r="L7" s="344"/>
      <c r="M7" s="344"/>
      <c r="N7" s="345"/>
    </row>
    <row r="8" spans="1:256" ht="21" customHeight="1">
      <c r="B8" s="563" t="s">
        <v>230</v>
      </c>
      <c r="C8" s="563"/>
      <c r="D8" s="563"/>
      <c r="E8" s="563"/>
      <c r="F8" s="563"/>
      <c r="G8" s="563"/>
      <c r="H8" s="563"/>
      <c r="I8" s="563"/>
      <c r="J8" s="563"/>
      <c r="K8" s="563"/>
      <c r="L8" s="563"/>
      <c r="M8" s="563"/>
      <c r="N8" s="563"/>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75" customHeight="1">
      <c r="B9" s="343"/>
      <c r="C9" s="343"/>
      <c r="D9" s="343"/>
      <c r="E9" s="343"/>
      <c r="F9" s="343"/>
      <c r="G9" s="343"/>
      <c r="H9" s="343"/>
      <c r="I9" s="343"/>
      <c r="J9" s="343"/>
      <c r="K9" s="343"/>
      <c r="L9" s="344"/>
      <c r="M9" s="344"/>
      <c r="N9" s="345"/>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46" customFormat="1" ht="25.5" customHeight="1">
      <c r="B10" s="582" t="s">
        <v>231</v>
      </c>
      <c r="C10" s="582"/>
      <c r="D10" s="583" t="s">
        <v>226</v>
      </c>
      <c r="E10" s="583"/>
      <c r="F10" s="583"/>
      <c r="G10" s="583"/>
      <c r="H10" s="347"/>
      <c r="I10" s="583" t="s">
        <v>227</v>
      </c>
      <c r="J10" s="583"/>
      <c r="K10" s="583"/>
      <c r="L10" s="583"/>
      <c r="M10" s="583"/>
      <c r="N10" s="583"/>
    </row>
    <row r="11" spans="1:256" ht="28.5" customHeight="1">
      <c r="A11" s="346"/>
      <c r="B11" s="348" t="s">
        <v>232</v>
      </c>
      <c r="C11" s="349"/>
      <c r="D11" s="575" t="str">
        <f>IF(ISBLANK(Financiamiento!C9),"",(Financiamiento!C9))</f>
        <v>El  Fondo Mundial desembolso al MINSAL el 100 % del presupuesto autorizado para los  año 2016, 2017 y 2018.</v>
      </c>
      <c r="E11" s="575"/>
      <c r="F11" s="575"/>
      <c r="G11" s="575"/>
      <c r="H11" s="350"/>
      <c r="I11" s="579"/>
      <c r="J11" s="579"/>
      <c r="K11" s="579"/>
      <c r="L11" s="579"/>
      <c r="M11" s="579"/>
      <c r="N11" s="579"/>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75" customHeight="1">
      <c r="A12" s="346"/>
      <c r="B12" s="351" t="s">
        <v>233</v>
      </c>
      <c r="C12" s="352"/>
      <c r="D12" s="575" t="str">
        <f>IF(ISBLANK(Financiamiento!C23),"",(Financiamiento!C23))</f>
        <v>La diferencia entre el presupuesto y los gastos se debe a que existen compromisos con proveedores que seran pagados durante el año 2019.</v>
      </c>
      <c r="E12" s="575"/>
      <c r="F12" s="575"/>
      <c r="G12" s="575"/>
      <c r="H12" s="350"/>
      <c r="I12" s="580"/>
      <c r="J12" s="580"/>
      <c r="K12" s="580"/>
      <c r="L12" s="580"/>
      <c r="M12" s="580"/>
      <c r="N12" s="580"/>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6.25" customHeight="1">
      <c r="A13" s="346"/>
      <c r="B13" s="351" t="s">
        <v>234</v>
      </c>
      <c r="C13" s="352"/>
      <c r="D13" s="575" t="str">
        <f>IF(ISBLANK(Financiamiento!I9),"",(Financiamiento!I9))</f>
        <v>Del 100%  que el FM desembolso  a diciembre 2018, se gasto el 82.75%, y un compromisos del 7.26% y un 9.99% de economia</v>
      </c>
      <c r="E13" s="575"/>
      <c r="F13" s="575"/>
      <c r="G13" s="575"/>
      <c r="H13" s="350"/>
      <c r="I13" s="576"/>
      <c r="J13" s="576"/>
      <c r="K13" s="576"/>
      <c r="L13" s="576"/>
      <c r="M13" s="576"/>
      <c r="N13" s="576"/>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8.5" customHeight="1">
      <c r="A14" s="346"/>
      <c r="B14" s="353" t="s">
        <v>235</v>
      </c>
      <c r="C14" s="354"/>
      <c r="D14" s="577" t="str">
        <f>IF(ISBLANK(Financiamiento!I23),"",(Financiamiento!I23))</f>
        <v xml:space="preserve">Se ha cumplido con los informes presentados de forma oportuna, asi como el FM a enviado los desembolsos de forma anticipado. </v>
      </c>
      <c r="E14" s="577"/>
      <c r="F14" s="577"/>
      <c r="G14" s="577"/>
      <c r="H14" s="350"/>
      <c r="I14" s="578"/>
      <c r="J14" s="578"/>
      <c r="K14" s="578"/>
      <c r="L14" s="578"/>
      <c r="M14" s="578"/>
      <c r="N14" s="578"/>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5" customHeight="1">
      <c r="A15" s="346"/>
      <c r="B15" s="355"/>
      <c r="C15" s="356"/>
      <c r="D15" s="357"/>
      <c r="E15" s="357"/>
      <c r="F15" s="357"/>
      <c r="G15" s="357"/>
      <c r="H15" s="350"/>
      <c r="I15" s="358"/>
      <c r="J15" s="358"/>
      <c r="K15" s="358"/>
      <c r="L15" s="358"/>
      <c r="M15" s="358"/>
      <c r="N15" s="358"/>
      <c r="O15" s="346"/>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1" customHeight="1">
      <c r="B16" s="563" t="s">
        <v>236</v>
      </c>
      <c r="C16" s="563"/>
      <c r="D16" s="563"/>
      <c r="E16" s="563"/>
      <c r="F16" s="563"/>
      <c r="G16" s="563"/>
      <c r="H16" s="563"/>
      <c r="I16" s="563"/>
      <c r="J16" s="563"/>
      <c r="K16" s="563"/>
      <c r="L16" s="563"/>
      <c r="M16" s="563"/>
      <c r="N16" s="563"/>
    </row>
    <row r="17" spans="1:256" s="346" customFormat="1" ht="3.75" customHeight="1">
      <c r="B17" s="359"/>
      <c r="C17" s="360"/>
      <c r="D17" s="361"/>
      <c r="E17" s="362"/>
      <c r="F17" s="363"/>
      <c r="G17" s="363"/>
      <c r="H17" s="364"/>
      <c r="I17" s="365"/>
      <c r="J17" s="366"/>
      <c r="K17" s="367"/>
      <c r="L17" s="368"/>
      <c r="M17" s="369"/>
      <c r="N17" s="370"/>
    </row>
    <row r="18" spans="1:256" ht="22.5" customHeight="1">
      <c r="A18" s="346"/>
      <c r="B18" s="572" t="s">
        <v>225</v>
      </c>
      <c r="C18" s="572"/>
      <c r="D18" s="573" t="s">
        <v>226</v>
      </c>
      <c r="E18" s="573"/>
      <c r="F18" s="573"/>
      <c r="G18" s="573"/>
      <c r="H18" s="347"/>
      <c r="I18" s="574" t="s">
        <v>227</v>
      </c>
      <c r="J18" s="574"/>
      <c r="K18" s="574"/>
      <c r="L18" s="574"/>
      <c r="M18" s="574"/>
      <c r="N18" s="574"/>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1.95" customHeight="1">
      <c r="A19" s="346"/>
      <c r="B19" s="371" t="s">
        <v>228</v>
      </c>
      <c r="C19" s="372"/>
      <c r="D19" s="570" t="str">
        <f>IF(ISBLANK(Gestión!C8),"",(Gestión!C8))</f>
        <v>Condiciones precedentes cumplidas</v>
      </c>
      <c r="E19" s="570"/>
      <c r="F19" s="570"/>
      <c r="G19" s="570"/>
      <c r="H19" s="373"/>
      <c r="I19" s="571"/>
      <c r="J19" s="571"/>
      <c r="K19" s="571"/>
      <c r="L19" s="571"/>
      <c r="M19" s="571"/>
      <c r="N19" s="571"/>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4.75" customHeight="1">
      <c r="B20" s="374" t="s">
        <v>229</v>
      </c>
      <c r="C20" s="375"/>
      <c r="D20" s="566" t="str">
        <f>IF(ISBLANK(Gestión!I8),"",(Gestión!I8))</f>
        <v>Meta cumplida</v>
      </c>
      <c r="E20" s="566" t="e">
        <f>+'Introducción de datos'!D84/'Introducción de datos'!G84</f>
        <v>#DIV/0!</v>
      </c>
      <c r="F20" s="566" t="e">
        <f>+('Introducción de datos'!E84+'Introducción de datos'!F84)/'Introducción de datos'!G84</f>
        <v>#DIV/0!</v>
      </c>
      <c r="G20" s="566"/>
      <c r="H20" s="373"/>
      <c r="I20" s="567"/>
      <c r="J20" s="567"/>
      <c r="K20" s="567"/>
      <c r="L20" s="567"/>
      <c r="M20" s="567"/>
      <c r="N20" s="567"/>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9.25" customHeight="1">
      <c r="B21" s="376" t="s">
        <v>237</v>
      </c>
      <c r="C21" s="375"/>
      <c r="D21" s="566" t="str">
        <f>IF(ISBLANK(Gestión!C16),"",(Gestión!C16))</f>
        <v>No hay sub receptores</v>
      </c>
      <c r="E21" s="566"/>
      <c r="F21" s="566"/>
      <c r="G21" s="566"/>
      <c r="H21" s="373"/>
      <c r="I21" s="567"/>
      <c r="J21" s="567"/>
      <c r="K21" s="567"/>
      <c r="L21" s="567"/>
      <c r="M21" s="567"/>
      <c r="N21" s="567"/>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6.25" customHeight="1">
      <c r="B22" s="376" t="s">
        <v>238</v>
      </c>
      <c r="C22" s="375"/>
      <c r="D22" s="566" t="str">
        <f>IF(ISBLANK(Gestión!I16),"",(Gestión!I16))</f>
        <v>No hay sub receptores</v>
      </c>
      <c r="E22" s="566"/>
      <c r="F22" s="566"/>
      <c r="G22" s="566"/>
      <c r="H22" s="373"/>
      <c r="I22" s="567"/>
      <c r="J22" s="567"/>
      <c r="K22" s="567"/>
      <c r="L22" s="567"/>
      <c r="M22" s="567"/>
      <c r="N22" s="567"/>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4.75" customHeight="1">
      <c r="B23" s="376" t="s">
        <v>239</v>
      </c>
      <c r="C23" s="375"/>
      <c r="D23" s="566" t="str">
        <f>IF(ISBLANK(Gestión!C27),"",(Gestión!C27))</f>
        <v>Adquisición a traves del Fondo Estrategico OPS.</v>
      </c>
      <c r="E23" s="566"/>
      <c r="F23" s="566"/>
      <c r="G23" s="566"/>
      <c r="H23" s="373"/>
      <c r="I23" s="567"/>
      <c r="J23" s="567"/>
      <c r="K23" s="567"/>
      <c r="L23" s="567"/>
      <c r="M23" s="567"/>
      <c r="N23" s="567"/>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7" customHeight="1">
      <c r="B24" s="377" t="s">
        <v>240</v>
      </c>
      <c r="C24" s="378"/>
      <c r="D24" s="568" t="str">
        <f>IF(ISBLANK(Gestión!I27),"",(Gestión!I27))</f>
        <v>Los productos enlistados son medicamentos antituberculosis de segunda linea,es importante hacer mención que estos son adquiridos con financiamiento del Estado como compromiso de contrapartida.
Los medicamentos que se denotan como desabastecidos ha sido porque se han utilizado otros generico familiar ejemplo de ello la Ciprofloxacina por Levofloxacina y la Gentamicina por Amikacina, medicamnetos que son adquiridos por financiamiento del estado, el paciente no se ha encontrado sin su medicación.
Otros productos son medicamentos para tratamiento de reacciones adversas a farmacos antituberculosis (RAFA) los cuales estan en tramite de compra y de ingreso a bodega en proximas fechas.</v>
      </c>
      <c r="E24" s="568"/>
      <c r="F24" s="568"/>
      <c r="G24" s="568"/>
      <c r="H24" s="373"/>
      <c r="I24" s="569"/>
      <c r="J24" s="569"/>
      <c r="K24" s="569"/>
      <c r="L24" s="569"/>
      <c r="M24" s="569"/>
      <c r="N24" s="569"/>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ustomHeight="1">
      <c r="B25" s="379"/>
      <c r="C25" s="380"/>
      <c r="D25" s="381"/>
      <c r="E25" s="382"/>
      <c r="F25" s="383"/>
      <c r="G25" s="383"/>
      <c r="H25" s="347"/>
      <c r="I25" s="382"/>
      <c r="J25" s="384"/>
      <c r="K25" s="367"/>
      <c r="L25" s="368"/>
      <c r="M25" s="369"/>
      <c r="N25" s="370"/>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1" customHeight="1">
      <c r="B26" s="563" t="s">
        <v>241</v>
      </c>
      <c r="C26" s="563"/>
      <c r="D26" s="563"/>
      <c r="E26" s="563"/>
      <c r="F26" s="563"/>
      <c r="G26" s="563"/>
      <c r="H26" s="563"/>
      <c r="I26" s="563"/>
      <c r="J26" s="563"/>
      <c r="K26" s="563"/>
      <c r="L26" s="563"/>
      <c r="M26" s="563"/>
      <c r="N26" s="563"/>
    </row>
    <row r="27" spans="1:256" ht="3.75" customHeight="1">
      <c r="B27" s="379"/>
      <c r="C27" s="380"/>
      <c r="D27" s="381"/>
      <c r="E27" s="382"/>
      <c r="F27" s="383"/>
      <c r="G27" s="383"/>
      <c r="H27" s="347"/>
      <c r="I27" s="382"/>
      <c r="J27" s="384"/>
      <c r="K27" s="367"/>
      <c r="L27" s="368"/>
      <c r="M27" s="369"/>
      <c r="N27" s="370"/>
    </row>
    <row r="28" spans="1:256" ht="21.75" customHeight="1">
      <c r="B28" s="564" t="s">
        <v>242</v>
      </c>
      <c r="C28" s="564"/>
      <c r="D28" s="565" t="s">
        <v>226</v>
      </c>
      <c r="E28" s="565"/>
      <c r="F28" s="565"/>
      <c r="G28" s="565"/>
      <c r="H28" s="347"/>
      <c r="I28" s="565" t="s">
        <v>227</v>
      </c>
      <c r="J28" s="565"/>
      <c r="K28" s="565"/>
      <c r="L28" s="565"/>
      <c r="M28" s="565"/>
      <c r="N28" s="565"/>
    </row>
    <row r="29" spans="1:256" ht="29.25" customHeight="1">
      <c r="B29" s="385" t="s">
        <v>243</v>
      </c>
      <c r="C29" s="386"/>
      <c r="D29" s="561" t="str">
        <f>IF(ISBLANK(Programatico!C9),"",(Programatico!C9))</f>
        <v>El PNTYER reportó para el periodo un total de 3,615 casos de tuberculosis todas las formas de (incluye casos nuevos y recaídas) a nivel nacional, con una tasa de 54.4 por 100,000 habitantes para una población estimada del 2018 de 6,643,359</v>
      </c>
      <c r="E29" s="561"/>
      <c r="F29" s="561"/>
      <c r="G29" s="561"/>
      <c r="H29" s="373"/>
      <c r="I29" s="562"/>
      <c r="J29" s="562"/>
      <c r="K29" s="562"/>
      <c r="L29" s="562"/>
      <c r="M29" s="562"/>
      <c r="N29" s="562"/>
    </row>
    <row r="30" spans="1:256" ht="21.95" customHeight="1">
      <c r="B30" s="387" t="s">
        <v>244</v>
      </c>
      <c r="C30" s="388"/>
      <c r="D30" s="560" t="str">
        <f>IF(ISBLANK(Programatico!G9),"",(Programatico!G9))</f>
        <v>En la cohorte de resultados de tratamiento de casos nuevos bacteriológicamente confirmados durante el año 2017 se obtuvo un éxito de tratamiento del 91.05% de todos aquellos casos que se curaron y completaron tratamiento.</v>
      </c>
      <c r="E30" s="560"/>
      <c r="F30" s="560"/>
      <c r="G30" s="560"/>
      <c r="H30" s="373"/>
      <c r="I30" s="559"/>
      <c r="J30" s="559"/>
      <c r="K30" s="559"/>
      <c r="L30" s="559"/>
      <c r="M30" s="559"/>
      <c r="N30" s="559"/>
    </row>
    <row r="31" spans="1:256" ht="21.95" customHeight="1">
      <c r="B31" s="387" t="s">
        <v>245</v>
      </c>
      <c r="C31" s="388"/>
      <c r="D31" s="560" t="str">
        <f>IF(ISBLANK(Programatico!M9),"",(Programatico!M9))</f>
        <v>Del total de pacientes sospechosos de TB-RR y TB-MDR que ascienden a 539 (recaídas, fracasos, pérdidas en el seguimiento, no negativizan al segundo mes de tratamiento, etc). Se les realizó PSD a un total de 524 de pacientes sospechosos lo que corresponde a un 97.22%.</v>
      </c>
      <c r="E31" s="560"/>
      <c r="F31" s="560"/>
      <c r="G31" s="560"/>
      <c r="H31" s="373"/>
      <c r="I31" s="559"/>
      <c r="J31" s="559"/>
      <c r="K31" s="559"/>
      <c r="L31" s="559"/>
      <c r="M31" s="559"/>
      <c r="N31" s="559"/>
    </row>
    <row r="32" spans="1:256" ht="21.95" customHeight="1">
      <c r="B32" s="389" t="s">
        <v>80</v>
      </c>
      <c r="C32" s="388"/>
      <c r="D32" s="557" t="str">
        <f>IF(ISBLANK(Programatico!L20),"",(Programatico!L20))</f>
        <v>*  Meta lograda y superando la proyección. El PNTYER reporta para el período de Enero a Diciembre 2018 un total de 3,615 casos de tuberculosis de todas las formas registrados en la PCT - 5 a nivel nacional (incluye casos nuevos y recaídas); con una tasa de 54.4  por 100,000 habitantes para una población estimada para el año 2018 de 6,643,359. Del total de casos de TB de todas las formas, Centros Penales reporta para el periodo 2,006 casos, el ISSS reporta 442 casos y MINSAL 1,167 casos.
* La incidencia aumento en la meta proyectada para el año, debido a la mayor inversión en pruebas moleculares, aumento de recursos humanos en el interior de CP y a la deteccion mas precoz de los casos; es importante agregar que el fortalecmiento a las  estrategias de utilización de los métodos de diagnosticos actualizados a población de alto riesgo (Pacientes con Enfermedades Crónicas como Diabetes, Hipertensión, Insuficiencia Renal, entre otros); además de la colaboración de las APP (Centros Penales y Seguridad Social) han sido de importancia para superar la meta proyectada.
* Este incremento es el resultado de la mayor participación del sector salud, el fortalecimiento de las estrategias, incorporación de nuevos métodos diagnósticos,  así como el apoyo del Fondo Mundial que ha incrementado  la capacidad instalada en el primer nivel de atención con el equipamiento de microscopios para la Red de laboratorios del MINSAL para facilitar el diagnóstico de tuberculosis, con acceso a cultivo,  microscopia y pruebas moleculares a población de alto riesgo, principalmente en áreas y municipios que concentran población de mayor riesgo y vulnerabilidad.
* Fuente : PUDR_TB2018_El Salvador_remitido a FM 19 Marzo 2019.</v>
      </c>
      <c r="E32" s="557"/>
      <c r="F32" s="557"/>
      <c r="G32" s="557"/>
      <c r="H32" s="373"/>
      <c r="I32" s="559"/>
      <c r="J32" s="559"/>
      <c r="K32" s="559"/>
      <c r="L32" s="559"/>
      <c r="M32" s="559"/>
      <c r="N32" s="559"/>
    </row>
    <row r="33" spans="2:14" ht="27" customHeight="1">
      <c r="B33" s="389" t="s">
        <v>63</v>
      </c>
      <c r="C33" s="388"/>
      <c r="D33" s="557" t="str">
        <f>IF(ISBLANK(Programatico!L21),"",(Programatico!L21))</f>
        <v>* En la cohorte de resultados de tratamiento de casos nuevos bacteriológicamente confirmados durante el año 2017 se obtuvo un éxito de tratamiento del 91.04% de todos aquellos casos que se curaron y completaron tratamiento.
* Meta alcanzada y superada; El éxito de este indicador es debido a que existe acceso y cobertura para el tratamiento oportuno en los diferentes establecimientos de salud, que a pesar del desabastecimiento a nivel mundial de Rifampicina, el país no dejo de brindar el tratamiento a los pacientes con TB (el país realizo gestión de prestamo de medicamentos a paises amigos como República Dominicana, Honduras entre otros quienes facilitaron los insumos); de igual manera  por compromiso intersectorial en el interior de CP no se dejo de brindar TAES.
* Es de hacer mención del alto compromiso del personal de salud operativo de SIBASI, de las Regiones del MINSAL, así como del personal del ISSS y Centros Penales, los cuales brindan el seguimiento y administración estricto de los tratamientos antifimicos, siguiendo los lineamientos y normativas nacionales de tratamiento, así como el seguimiento y monitoreo al buen llenado de los instrumentos de recolección de datos. Es de importancia mencionar que existe compromiso gerencial de las autoridades del MINSAL para continuar priorizando el trabajo en prevenciòn y control de la TB.
* Fuente : PUDR_TB2018_El Salvador_remitido a FM 19 Marzo 2019.</v>
      </c>
      <c r="E33" s="557"/>
      <c r="F33" s="557"/>
      <c r="G33" s="557"/>
      <c r="H33" s="373"/>
      <c r="I33" s="559"/>
      <c r="J33" s="559"/>
      <c r="K33" s="559"/>
      <c r="L33" s="559"/>
      <c r="M33" s="559"/>
      <c r="N33" s="559"/>
    </row>
    <row r="34" spans="2:14" ht="21.95" customHeight="1">
      <c r="B34" s="389" t="s">
        <v>81</v>
      </c>
      <c r="C34" s="388"/>
      <c r="D34" s="557" t="str">
        <f>IF(ISBLANK(Programatico!L22),"",(Programatico!L22))</f>
        <v>*Meta cumplida. 
* Del total de pacientes sospechosos de TB-RR y TB-MDR que ascienden a 539 (recaídas, fracasos, pérdidas en el seguimiento, no negativizan al segundo mes de tratamiento). Se les realizó PSD a un total de 524 de pacientes sospechosos lo que corresponde a un 97.21 %. al relacionar la meta propuesta contra lo realizado en el periodo podemos observar que el numero de casos detectados fue mayor, así que la proporcion de pacientes sospechosos de tuberculosis resistente a los fármacos (RR-TB y / o MDR-TB) que se sometieron a pruebas de sensibilidad farmacologica es del 108% (97.21 / 90).
* Este exito se debe a la supervision continua por parte del PNTYER al laboratorio nacional de referencia de donde es tomada la base de datos nacional, en base a las recomendaciones realizadas por el comite de luz verde (GLC); de igual manera se ha mantenido la farmacovigilancia activa para detectar precozmente los casos resistentes en poblacion sospechosa y de riesgo
* Fuente : PUDR_TB2018_El Salvador_remitido a FM 19 Marzo 2019.</v>
      </c>
      <c r="E34" s="557"/>
      <c r="F34" s="557"/>
      <c r="G34" s="557"/>
      <c r="H34" s="373"/>
      <c r="I34" s="559"/>
      <c r="J34" s="559"/>
      <c r="K34" s="559"/>
      <c r="L34" s="559"/>
      <c r="M34" s="559"/>
      <c r="N34" s="559"/>
    </row>
    <row r="35" spans="2:14" ht="21.95" customHeight="1">
      <c r="B35" s="389" t="s">
        <v>82</v>
      </c>
      <c r="C35" s="390"/>
      <c r="D35" s="557" t="str">
        <f>IF(ISBLANK(Programatico!L23),"",(Programatico!L23))</f>
        <v xml:space="preserve">* Meta cumplida.
* Para el año 2018, se tuvo un total de 7 casos de TB - RR y TB - MDR confirmados, registrados, referidos e ingresados a la clinica nacional TB - MDR del centro nacional de referencia (Hospital Saldaña)  y que están en tratamiento de segunda línea, haciendo un porcentaje del 100% ((7/7)*100).
* Es importante mencionar que los pacientes reportados son unicamente aquellos que están registrados en la base de datos de la fuente primaria del Hospital Nacional de Referencia (Hospital Saldaña). La cual es la unica fuente de datos nacional a reportar para TB - RR y TB - MDR. Con el incremento del acceso a pruebas moleculares, se han aumentado significativamente el uso de estas en poblaciones sospechosas de farmacoresistencia, lo que llevo a una deteccion de 47 casos RR y 2 TB-MDR tamizados por el método de las proporciones, a los cuales en la clinica de resistencia del Hospital Saldaña se les hizo evaluacion clinica, radiologica y bacteriologica y cumpliendo el protocolo se instauro el  tratamiento de segunda linea a 7 y al resto tratamiento para TB sensibles y seguimiento bacteriologico.
* Fuente : PUDR_TB2018_El Salvador_remitido a FM 19 Marzo 2019.
</v>
      </c>
      <c r="E35" s="557"/>
      <c r="F35" s="557"/>
      <c r="G35" s="557"/>
      <c r="H35" s="373"/>
      <c r="I35" s="559"/>
      <c r="J35" s="559"/>
      <c r="K35" s="559"/>
      <c r="L35" s="559"/>
      <c r="M35" s="559"/>
      <c r="N35" s="559"/>
    </row>
    <row r="36" spans="2:14" ht="21.95" customHeight="1">
      <c r="B36" s="389" t="s">
        <v>83</v>
      </c>
      <c r="C36" s="390"/>
      <c r="D36" s="557" t="e">
        <f>#N/A</f>
        <v>#N/A</v>
      </c>
      <c r="E36" s="557"/>
      <c r="F36" s="557"/>
      <c r="G36" s="557"/>
      <c r="H36" s="373"/>
      <c r="I36" s="559"/>
      <c r="J36" s="559"/>
      <c r="K36" s="559"/>
      <c r="L36" s="559"/>
      <c r="M36" s="559"/>
      <c r="N36" s="559"/>
    </row>
    <row r="37" spans="2:14" ht="21.95" customHeight="1">
      <c r="B37" s="389" t="s">
        <v>84</v>
      </c>
      <c r="C37" s="390"/>
      <c r="D37" s="557" t="e">
        <f>#N/A</f>
        <v>#N/A</v>
      </c>
      <c r="E37" s="557"/>
      <c r="F37" s="557"/>
      <c r="G37" s="557"/>
      <c r="H37" s="373"/>
      <c r="I37" s="559"/>
      <c r="J37" s="559"/>
      <c r="K37" s="559"/>
      <c r="L37" s="559"/>
      <c r="M37" s="559"/>
      <c r="N37" s="559"/>
    </row>
    <row r="38" spans="2:14" ht="21.95" customHeight="1">
      <c r="B38" s="389" t="s">
        <v>85</v>
      </c>
      <c r="C38" s="390"/>
      <c r="D38" s="557" t="e">
        <f>#N/A</f>
        <v>#N/A</v>
      </c>
      <c r="E38" s="557"/>
      <c r="F38" s="557"/>
      <c r="G38" s="557"/>
      <c r="H38" s="373"/>
      <c r="I38" s="559"/>
      <c r="J38" s="559"/>
      <c r="K38" s="559"/>
      <c r="L38" s="559"/>
      <c r="M38" s="559"/>
      <c r="N38" s="559"/>
    </row>
    <row r="39" spans="2:14" ht="21.95" customHeight="1">
      <c r="B39" s="389" t="s">
        <v>86</v>
      </c>
      <c r="C39" s="390"/>
      <c r="D39" s="557" t="e">
        <f>#N/A</f>
        <v>#N/A</v>
      </c>
      <c r="E39" s="557"/>
      <c r="F39" s="557"/>
      <c r="G39" s="557"/>
      <c r="H39" s="373"/>
      <c r="I39" s="559"/>
      <c r="J39" s="559"/>
      <c r="K39" s="559"/>
      <c r="L39" s="559"/>
      <c r="M39" s="559"/>
      <c r="N39" s="559"/>
    </row>
    <row r="40" spans="2:14" ht="21.95" customHeight="1">
      <c r="B40" s="389" t="s">
        <v>87</v>
      </c>
      <c r="C40" s="390"/>
      <c r="D40" s="557" t="e">
        <f>#N/A</f>
        <v>#N/A</v>
      </c>
      <c r="E40" s="557"/>
      <c r="F40" s="557"/>
      <c r="G40" s="557"/>
      <c r="H40" s="373"/>
      <c r="I40" s="559"/>
      <c r="J40" s="559"/>
      <c r="K40" s="559"/>
      <c r="L40" s="559"/>
      <c r="M40" s="559"/>
      <c r="N40" s="559"/>
    </row>
    <row r="41" spans="2:14" ht="21.95" customHeight="1">
      <c r="B41" s="389" t="s">
        <v>88</v>
      </c>
      <c r="C41" s="391"/>
      <c r="D41" s="557" t="e">
        <f>#N/A</f>
        <v>#N/A</v>
      </c>
      <c r="E41" s="557"/>
      <c r="F41" s="557"/>
      <c r="G41" s="557"/>
      <c r="H41" s="373"/>
      <c r="I41" s="558"/>
      <c r="J41" s="558"/>
      <c r="K41" s="558"/>
      <c r="L41" s="558"/>
      <c r="M41" s="558"/>
      <c r="N41" s="558"/>
    </row>
  </sheetData>
  <sheetProtection password="CFC9" sheet="1"/>
  <mergeCells count="65">
    <mergeCell ref="B2:N2"/>
    <mergeCell ref="C3:D3"/>
    <mergeCell ref="E3:K3"/>
    <mergeCell ref="C4:D4"/>
    <mergeCell ref="E4:K4"/>
    <mergeCell ref="E5:K5"/>
    <mergeCell ref="E6:K6"/>
    <mergeCell ref="B8:N8"/>
    <mergeCell ref="B10:C10"/>
    <mergeCell ref="D10:G10"/>
    <mergeCell ref="I10:N10"/>
    <mergeCell ref="D13:G13"/>
    <mergeCell ref="I13:N13"/>
    <mergeCell ref="D14:G14"/>
    <mergeCell ref="I14:N14"/>
    <mergeCell ref="D11:G11"/>
    <mergeCell ref="I11:N11"/>
    <mergeCell ref="D12:G12"/>
    <mergeCell ref="I12:N12"/>
    <mergeCell ref="D19:G19"/>
    <mergeCell ref="I19:N19"/>
    <mergeCell ref="D20:G20"/>
    <mergeCell ref="I20:N20"/>
    <mergeCell ref="B16:N16"/>
    <mergeCell ref="B18:C18"/>
    <mergeCell ref="D18:G18"/>
    <mergeCell ref="I18:N18"/>
    <mergeCell ref="D23:G23"/>
    <mergeCell ref="I23:N23"/>
    <mergeCell ref="D24:G24"/>
    <mergeCell ref="I24:N24"/>
    <mergeCell ref="D21:G21"/>
    <mergeCell ref="I21:N21"/>
    <mergeCell ref="D22:G22"/>
    <mergeCell ref="I22:N22"/>
    <mergeCell ref="D29:G29"/>
    <mergeCell ref="I29:N29"/>
    <mergeCell ref="D30:G30"/>
    <mergeCell ref="I30:N30"/>
    <mergeCell ref="B26:N26"/>
    <mergeCell ref="B28:C28"/>
    <mergeCell ref="D28:G28"/>
    <mergeCell ref="I28:N28"/>
    <mergeCell ref="D33:G33"/>
    <mergeCell ref="I33:N33"/>
    <mergeCell ref="D34:G34"/>
    <mergeCell ref="I34:N34"/>
    <mergeCell ref="D31:G31"/>
    <mergeCell ref="I31:N31"/>
    <mergeCell ref="D32:G32"/>
    <mergeCell ref="I32:N32"/>
    <mergeCell ref="D37:G37"/>
    <mergeCell ref="I37:N37"/>
    <mergeCell ref="D38:G38"/>
    <mergeCell ref="I38:N38"/>
    <mergeCell ref="D35:G35"/>
    <mergeCell ref="I35:N35"/>
    <mergeCell ref="D36:G36"/>
    <mergeCell ref="I36:N36"/>
    <mergeCell ref="D41:G41"/>
    <mergeCell ref="I41:N41"/>
    <mergeCell ref="D39:G39"/>
    <mergeCell ref="I39:N39"/>
    <mergeCell ref="D40:G40"/>
    <mergeCell ref="I40:N40"/>
  </mergeCells>
  <phoneticPr fontId="67" type="noConversion"/>
  <conditionalFormatting sqref="C4:D4">
    <cfRule type="cellIs" dxfId="6" priority="1" stopIfTrue="1" operator="equal">
      <formula>"C"</formula>
    </cfRule>
    <cfRule type="cellIs" dxfId="5" priority="2" stopIfTrue="1" operator="equal">
      <formula>"B2"</formula>
    </cfRule>
    <cfRule type="cellIs" dxfId="4" priority="3" stopIfTrue="1" operator="equal">
      <formula>"B1"</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Template/>
  <TotalTime>574</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31</vt:i4>
      </vt:variant>
    </vt:vector>
  </HeadingPairs>
  <TitlesOfParts>
    <vt:vector size="42" baseType="lpstr">
      <vt:lpstr>Menú</vt:lpstr>
      <vt:lpstr>Lista de indicadores</vt:lpstr>
      <vt:lpstr>Introducción de datos</vt:lpstr>
      <vt:lpstr>Hoja1</vt:lpstr>
      <vt:lpstr>Información de la subvención</vt:lpstr>
      <vt:lpstr>Financiamiento</vt:lpstr>
      <vt:lpstr>Gestión</vt:lpstr>
      <vt:lpstr>Programatico</vt:lpstr>
      <vt:lpstr>Recomendaciones</vt:lpstr>
      <vt:lpstr>Acciones</vt:lpstr>
      <vt:lpstr>Setup</vt:lpstr>
      <vt:lpstr>Acciones!__xlnm.Print_Area</vt:lpstr>
      <vt:lpstr>Financiamiento!__xlnm.Print_Area</vt:lpstr>
      <vt:lpstr>Gestión!__xlnm.Print_Area</vt:lpstr>
      <vt:lpstr>'Información de la subvención'!__xlnm.Print_Area</vt:lpstr>
      <vt:lpstr>'Introducción de datos'!__xlnm.Print_Area</vt:lpstr>
      <vt:lpstr>Programatico!__xlnm.Print_Area</vt:lpstr>
      <vt:lpstr>Acciones!Área_de_impresión</vt:lpstr>
      <vt:lpstr>Financiamiento!Área_de_impresión</vt:lpstr>
      <vt:lpstr>Gestión!Área_de_impresión</vt:lpstr>
      <vt:lpstr>'Información de la subvención'!Área_de_impresión</vt:lpstr>
      <vt:lpstr>'Introducción de datos'!Área_de_impresión</vt:lpstr>
      <vt:lpstr>Programatico!Área_de_impresión</vt:lpstr>
      <vt:lpstr>Ciudades</vt:lpstr>
      <vt:lpstr>Component</vt:lpstr>
      <vt:lpstr>Countries</vt:lpstr>
      <vt:lpstr>Currency</vt:lpstr>
      <vt:lpstr>LFA</vt:lpstr>
      <vt:lpstr>Medicaments</vt:lpstr>
      <vt:lpstr>PERIOD</vt:lpstr>
      <vt:lpstr>Phase</vt:lpstr>
      <vt:lpstr>PrintA</vt:lpstr>
      <vt:lpstr>PrintDataF</vt:lpstr>
      <vt:lpstr>PrintDataM</vt:lpstr>
      <vt:lpstr>PrintF</vt:lpstr>
      <vt:lpstr>PrintGD</vt:lpstr>
      <vt:lpstr>Acciones!PrintM</vt:lpstr>
      <vt:lpstr>PrintM</vt:lpstr>
      <vt:lpstr>PrintP</vt:lpstr>
      <vt:lpstr>PrintR</vt:lpstr>
      <vt:lpstr>Rating</vt:lpstr>
      <vt:lpst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gt;</dc:description>
  <cp:lastModifiedBy>gflores</cp:lastModifiedBy>
  <cp:revision>1</cp:revision>
  <cp:lastPrinted>2011-01-31T19:36:40Z</cp:lastPrinted>
  <dcterms:created xsi:type="dcterms:W3CDTF">2008-11-20T22:06:13Z</dcterms:created>
  <dcterms:modified xsi:type="dcterms:W3CDTF">2019-04-24T21:53:49Z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
    <vt:lpwstr>Document</vt:lpwstr>
  </property>
  <property fmtid="{D5CDD505-2E9C-101B-9397-08002B2CF9AE}" pid="4" name="ContentTypeId">
    <vt:lpwstr>0x0101004BF1F6075714FF459EA7921B9223C8F9</vt:lpwstr>
  </property>
  <property fmtid="{D5CDD505-2E9C-101B-9397-08002B2CF9AE}" pid="5" name="DocSecurity">
    <vt:i4>0</vt:i4>
  </property>
  <property fmtid="{D5CDD505-2E9C-101B-9397-08002B2CF9AE}" pid="6" name="EktCmsPath">
    <vt:lpwstr>&amp;</vt:lpwstr>
  </property>
  <property fmtid="{D5CDD505-2E9C-101B-9397-08002B2CF9AE}" pid="7" name="EktCmsSize">
    <vt:i4>856576</vt:i4>
  </property>
  <property fmtid="{D5CDD505-2E9C-101B-9397-08002B2CF9AE}" pid="8" name="EktContentLanguage">
    <vt:i4>1033</vt:i4>
  </property>
  <property fmtid="{D5CDD505-2E9C-101B-9397-08002B2CF9AE}" pid="9" name="EktContentSubType">
    <vt:i4>0</vt:i4>
  </property>
  <property fmtid="{D5CDD505-2E9C-101B-9397-08002B2CF9AE}" pid="10" name="EktContentType">
    <vt:i4>101</vt:i4>
  </property>
  <property fmtid="{D5CDD505-2E9C-101B-9397-08002B2CF9AE}" pid="11" name="EktDateCreated">
    <vt:filetime>2011-06-15T14:46:35Z</vt:filetime>
  </property>
  <property fmtid="{D5CDD505-2E9C-101B-9397-08002B2CF9AE}" pid="12" name="EktDateModified">
    <vt:filetime>2011-06-15T14:46:36Z</vt:filetime>
  </property>
  <property fmtid="{D5CDD505-2E9C-101B-9397-08002B2CF9AE}" pid="13" name="EktEDescription">
    <vt:lpwstr>Summary </vt:lpwstr>
  </property>
  <property fmtid="{D5CDD505-2E9C-101B-9397-08002B2CF9AE}" pid="14" name="EktExpiryType">
    <vt:i4>1</vt:i4>
  </property>
  <property fmtid="{D5CDD505-2E9C-101B-9397-08002B2CF9AE}" pid="15" name="EktFile_Size">
    <vt:lpwstr>819 KB</vt:lpwstr>
  </property>
  <property fmtid="{D5CDD505-2E9C-101B-9397-08002B2CF9AE}" pid="16" name="EktFile_Type">
    <vt:lpwstr>XLS</vt:lpwstr>
  </property>
  <property fmtid="{D5CDD505-2E9C-101B-9397-08002B2CF9AE}" pid="17" name="EktQuickLink">
    <vt:lpwstr>DownloadAsset.aspx?id=10409</vt:lpwstr>
  </property>
  <property fmtid="{D5CDD505-2E9C-101B-9397-08002B2CF9AE}" pid="18" name="EktSearchable">
    <vt:i4>1</vt:i4>
  </property>
  <property fmtid="{D5CDD505-2E9C-101B-9397-08002B2CF9AE}" pid="19" name="EktTaxCategory">
    <vt:lpwstr> #eksep# \Navigation\documents\ccm #eksep# </vt:lpwstr>
  </property>
  <property fmtid="{D5CDD505-2E9C-101B-9397-08002B2CF9AE}" pid="20" name="HyperlinksChanged">
    <vt:bool>false</vt:bool>
  </property>
  <property fmtid="{D5CDD505-2E9C-101B-9397-08002B2CF9AE}" pid="21" name="LinksUpToDate">
    <vt:bool>false</vt:bool>
  </property>
  <property fmtid="{D5CDD505-2E9C-101B-9397-08002B2CF9AE}" pid="22" name="Root_Map">
    <vt:lpwstr>C:\Documents and Settings\rfplain\Desktop\Root_Map.xsd</vt:lpwstr>
  </property>
  <property fmtid="{D5CDD505-2E9C-101B-9397-08002B2CF9AE}" pid="23" name="ScaleCrop">
    <vt:bool>false</vt:bool>
  </property>
  <property fmtid="{D5CDD505-2E9C-101B-9397-08002B2CF9AE}" pid="24" name="ShareDoc">
    <vt:bool>false</vt:bool>
  </property>
  <property fmtid="{D5CDD505-2E9C-101B-9397-08002B2CF9AE}" pid="25" name="ekttaxonomyenabled">
    <vt:i4>1</vt:i4>
  </property>
</Properties>
</file>