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40" tabRatio="820" firstSheet="3" activeTab="5"/>
  </bookViews>
  <sheets>
    <sheet name="Menú" sheetId="1" r:id="rId1"/>
    <sheet name="Lista de indicadores" sheetId="2" r:id="rId2"/>
    <sheet name="Información de la subvención" sheetId="3" r:id="rId3"/>
    <sheet name="Introducción de datos" sheetId="4" r:id="rId4"/>
    <sheet name="Financiamiento" sheetId="5" r:id="rId5"/>
    <sheet name="Gestión" sheetId="6" r:id="rId6"/>
    <sheet name="Programatico" sheetId="7" r:id="rId7"/>
    <sheet name="Recomendaciones" sheetId="8" r:id="rId8"/>
    <sheet name="Acciones" sheetId="9" r:id="rId9"/>
    <sheet name="Setup" sheetId="10" state="hidden" r:id="rId10"/>
    <sheet name="Hojas de trabajo" sheetId="11" r:id="rId11"/>
  </sheets>
  <externalReferences>
    <externalReference r:id="rId14"/>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'Financiamiento'!$A$2:$L$32</definedName>
    <definedName name="_xlnm.Print_Area" localSheetId="5">'Gestión'!$A$1:$L$36</definedName>
    <definedName name="_xlnm.Print_Area" localSheetId="2">'Información de la subvención'!$A$1:$K$15</definedName>
    <definedName name="_xlnm.Print_Area" localSheetId="3">'Introducción de datos'!$A$1:$Q$174</definedName>
    <definedName name="_xlnm.Print_Area" localSheetId="6">'Programatico'!$A$1:$Q$26</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datos'!$B$25:$J$67</definedName>
    <definedName name="PrintDataM">'Introducción de datos'!$B$69:$H$122</definedName>
    <definedName name="PrintF">'Financiamiento'!$A$2:$K$32</definedName>
    <definedName name="PrintGD">'Información de la subvención'!$A$2:$J$13</definedName>
    <definedName name="PrintM" localSheetId="8">'Acciones'!$A$2:$L$6</definedName>
    <definedName name="PrintM">'Gestión'!$A$2:$L$38</definedName>
    <definedName name="PrintP">'Programatico'!$A$2:$P$26</definedName>
    <definedName name="PrintR">'Recomendaciones'!$A$2:$N$41</definedName>
    <definedName name="Rating">'Setup'!$G$9:$G$14</definedName>
    <definedName name="Round">'Setup'!$D$9:$D$21</definedName>
  </definedNames>
  <calcPr fullCalcOnLoad="1"/>
</workbook>
</file>

<file path=xl/comments4.xml><?xml version="1.0" encoding="utf-8"?>
<comments xmlns="http://schemas.openxmlformats.org/spreadsheetml/2006/main">
  <authors>
    <author/>
    <author>Francisco Jos? Lemus</author>
  </authors>
  <commentList>
    <comment ref="B74" authorId="0">
      <text>
        <r>
          <rPr>
            <b/>
            <sz val="8"/>
            <color indexed="32"/>
            <rFont val="Tahoma"/>
            <family val="2"/>
          </rPr>
          <t xml:space="preserve">Si los datos no están disponibles, no introduzca ceros; deje las celdas de la tabla en blanco. </t>
        </r>
      </text>
    </comment>
    <comment ref="B75" authorId="0">
      <text>
        <r>
          <rPr>
            <b/>
            <sz val="8"/>
            <color indexed="32"/>
            <rFont val="Tahoma"/>
            <family val="2"/>
          </rPr>
          <t>Si los datos no están disponibles, no introduzca ceros; deje las celdas de esta tabla en blanco.</t>
        </r>
      </text>
    </comment>
    <comment ref="E99" authorId="1">
      <text>
        <r>
          <rPr>
            <b/>
            <sz val="9"/>
            <rFont val="Tahoma"/>
            <family val="2"/>
          </rPr>
          <t>Francisco José Lemus:</t>
        </r>
        <r>
          <rPr>
            <sz val="9"/>
            <rFont val="Tahoma"/>
            <family val="2"/>
          </rPr>
          <t xml:space="preserve">
compromiso que se pagara en este período + compromisos de PNUD
</t>
        </r>
      </text>
    </comment>
    <comment ref="E103" authorId="1">
      <text>
        <r>
          <rPr>
            <b/>
            <sz val="9"/>
            <rFont val="Tahoma"/>
            <family val="2"/>
          </rPr>
          <t>Francisco José Lemus:</t>
        </r>
        <r>
          <rPr>
            <sz val="9"/>
            <rFont val="Tahoma"/>
            <family val="2"/>
          </rPr>
          <t xml:space="preserve">
</t>
        </r>
      </text>
    </comment>
    <comment ref="E100" authorId="1">
      <text>
        <r>
          <rPr>
            <b/>
            <sz val="9"/>
            <rFont val="Tahoma"/>
            <family val="2"/>
          </rPr>
          <t>Francisco José Lemus:</t>
        </r>
        <r>
          <rPr>
            <sz val="9"/>
            <rFont val="Tahoma"/>
            <family val="2"/>
          </rPr>
          <t xml:space="preserve">
gastos de RP y gastos de PNUD</t>
        </r>
      </text>
    </comment>
  </commentList>
</comments>
</file>

<file path=xl/sharedStrings.xml><?xml version="1.0" encoding="utf-8"?>
<sst xmlns="http://schemas.openxmlformats.org/spreadsheetml/2006/main" count="588" uniqueCount="400">
  <si>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</si>
  <si>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</si>
  <si>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</si>
  <si>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</si>
  <si>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</si>
  <si>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</si>
  <si>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</si>
  <si>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</si>
  <si>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</si>
  <si>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</si>
  <si>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</si>
  <si>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</si>
  <si>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</si>
  <si>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</si>
  <si>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</si>
  <si>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</si>
  <si>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P1</t>
  </si>
  <si>
    <t>P2</t>
  </si>
  <si>
    <t>P3</t>
  </si>
  <si>
    <t>P4</t>
  </si>
  <si>
    <t>P5</t>
  </si>
  <si>
    <t>P6</t>
  </si>
  <si>
    <t>P7</t>
  </si>
  <si>
    <t>P8</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</si>
  <si>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</si>
  <si>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</si>
  <si>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</si>
  <si>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</si>
  <si>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</si>
  <si>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</si>
  <si>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</si>
  <si>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</si>
  <si>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</si>
  <si>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</si>
  <si>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</si>
  <si>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</si>
  <si>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</si>
  <si>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</si>
  <si>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</si>
  <si>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</si>
  <si>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</si>
  <si>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</si>
  <si>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</si>
  <si>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</si>
  <si>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</si>
  <si>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</si>
  <si>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</si>
  <si>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</si>
  <si>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CA (Crown Agents)</t>
  </si>
  <si>
    <t>Antigua y Barbuda</t>
  </si>
  <si>
    <t>MALARIA</t>
  </si>
  <si>
    <t>€</t>
  </si>
  <si>
    <t>Ronda 2</t>
  </si>
  <si>
    <t>A2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</si>
  <si>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</si>
  <si>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</si>
  <si>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</si>
  <si>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</si>
  <si>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</si>
  <si>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</si>
  <si>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</si>
  <si>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</si>
  <si>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</si>
  <si>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</si>
  <si>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</si>
  <si>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</si>
  <si>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</si>
  <si>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</si>
  <si>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</si>
  <si>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</si>
  <si>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</si>
  <si>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</si>
  <si>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</si>
  <si>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</si>
  <si>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</si>
  <si>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</si>
  <si>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</si>
  <si>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</si>
  <si>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</si>
  <si>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</si>
  <si>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</si>
  <si>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</si>
  <si>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</si>
  <si>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</si>
  <si>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PwC (PricewaterhouseCoopers)</t>
  </si>
  <si>
    <t>AZT</t>
  </si>
  <si>
    <t>Bolivia</t>
  </si>
  <si>
    <t>Ronda 10</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</si>
  <si>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</si>
  <si>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</si>
  <si>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</si>
  <si>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</si>
  <si>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</si>
  <si>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</si>
  <si>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</si>
  <si>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</si>
  <si>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</si>
  <si>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</si>
  <si>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</si>
  <si>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</si>
  <si>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</si>
  <si>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</si>
  <si>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</si>
  <si>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</si>
  <si>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</si>
  <si>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</si>
  <si>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</si>
  <si>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</si>
  <si>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</si>
  <si>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</si>
  <si>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</si>
  <si>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</si>
  <si>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</si>
  <si>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</si>
  <si>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</si>
  <si>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</si>
  <si>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</si>
  <si>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</si>
  <si>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</si>
  <si>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</si>
  <si>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</si>
  <si>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</si>
  <si>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</si>
  <si>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</si>
  <si>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</si>
  <si>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</si>
  <si>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</si>
  <si>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</si>
  <si>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</si>
  <si>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</si>
  <si>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</si>
  <si>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</si>
  <si>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</si>
  <si>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</si>
  <si>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</si>
  <si>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</si>
  <si>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</si>
  <si>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</si>
  <si>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</si>
  <si>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</si>
  <si>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</si>
  <si>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</si>
  <si>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</si>
  <si>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</si>
  <si>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</si>
  <si>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</si>
  <si>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</si>
  <si>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</si>
  <si>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</si>
  <si>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</si>
  <si>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</si>
  <si>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</si>
  <si>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</si>
  <si>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</si>
  <si>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</si>
  <si>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</si>
  <si>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</si>
  <si>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</si>
  <si>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</si>
  <si>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</si>
  <si>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</si>
  <si>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</si>
  <si>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</si>
  <si>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</si>
  <si>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</si>
  <si>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</si>
  <si>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</si>
  <si>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</si>
  <si>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</si>
  <si>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</si>
  <si>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</si>
  <si>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</si>
  <si>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</si>
  <si>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</si>
  <si>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</si>
  <si>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</si>
  <si>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</si>
  <si>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TB</t>
  </si>
  <si>
    <t>Financiación total:</t>
  </si>
  <si>
    <t>Receptor Principal:</t>
  </si>
  <si>
    <t>Convocatoria:</t>
  </si>
  <si>
    <t>Ronda 9</t>
  </si>
  <si>
    <t>Fase:</t>
  </si>
  <si>
    <t>Fase 2</t>
  </si>
  <si>
    <t>Fecha de inicio (dd/mm/aa):</t>
  </si>
  <si>
    <t>Agente Local del Fondo:</t>
  </si>
  <si>
    <t xml:space="preserve">STI (Swiss Tropical Institute), </t>
  </si>
  <si>
    <t>Ultima calificación:</t>
  </si>
  <si>
    <t>A1</t>
  </si>
  <si>
    <t>Gerente de Cartera del Fondo:</t>
  </si>
  <si>
    <t>Periodo de referencia del que se informa</t>
  </si>
  <si>
    <t>Periodo:</t>
  </si>
  <si>
    <t>P12</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</si>
  <si>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</si>
  <si>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</si>
  <si>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</si>
  <si>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</si>
  <si>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</si>
  <si>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</si>
  <si>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</si>
  <si>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</si>
  <si>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</si>
  <si>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</si>
  <si>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</si>
  <si>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</si>
  <si>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</si>
  <si>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</si>
  <si>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</si>
  <si>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P9</t>
  </si>
  <si>
    <t>P10</t>
  </si>
  <si>
    <t>P11</t>
  </si>
  <si>
    <t>Presupuesto acumulado</t>
  </si>
  <si>
    <t>Desembolsos  acumulados</t>
  </si>
  <si>
    <t>F2: Presupuesto y gastos reales por objetivo de la subvención</t>
  </si>
  <si>
    <t>Objetivo de la subvención</t>
  </si>
  <si>
    <t>Objetivo 1</t>
  </si>
  <si>
    <t>Objetivo 2</t>
  </si>
  <si>
    <t>Objetivo 3</t>
  </si>
  <si>
    <t>Total</t>
  </si>
  <si>
    <t>F3: Desembolsos y gastos</t>
  </si>
  <si>
    <t>Anterior al periodo de referencia</t>
  </si>
  <si>
    <t>Periodo de referencia actual</t>
  </si>
  <si>
    <t>Desembolsado por el Fondo Mundial</t>
  </si>
  <si>
    <t>Gasto RP + desembolso a SRs</t>
  </si>
  <si>
    <t>Desembolsado a los subreceptores</t>
  </si>
  <si>
    <t>Gastos de los subreceptores</t>
  </si>
  <si>
    <t>F4: Último ciclo de información y desembolso del RP</t>
  </si>
  <si>
    <t>Último desembolso de fondos: Número de días calendario</t>
  </si>
  <si>
    <t>(Días) esperados</t>
  </si>
  <si>
    <t>(Días) reales</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</si>
  <si>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</si>
  <si>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</si>
  <si>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</si>
  <si>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</si>
  <si>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</si>
  <si>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</si>
  <si>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</si>
  <si>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</si>
  <si>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</si>
  <si>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</si>
  <si>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</si>
  <si>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</si>
  <si>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</si>
  <si>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</si>
  <si>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</si>
  <si>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</si>
  <si>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</si>
  <si>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</si>
  <si>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</si>
  <si>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</si>
  <si>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</si>
  <si>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</si>
  <si>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M4: Número de informes completos recibidos a tiempo</t>
  </si>
  <si>
    <t>Esperados</t>
  </si>
  <si>
    <t>Recibidos</t>
  </si>
  <si>
    <t>Pendientes</t>
  </si>
  <si>
    <t>Sub SR al SR</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</si>
  <si>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</si>
  <si>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</si>
  <si>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</si>
  <si>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</si>
  <si>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</si>
  <si>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</si>
  <si>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</si>
  <si>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</si>
  <si>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</si>
  <si>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</si>
  <si>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</si>
  <si>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(8 = 6 - 7)
Diferencia entre existencias actuales y existencias de seguridad</t>
  </si>
  <si>
    <t>PASER</t>
  </si>
  <si>
    <t>Cicloserina 250mg</t>
  </si>
  <si>
    <t>Kanamicina 1gr</t>
  </si>
  <si>
    <t>Etionamida 250mg</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</si>
  <si>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</si>
  <si>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</si>
  <si>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</si>
  <si>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</si>
  <si>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</si>
  <si>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</si>
  <si>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</si>
  <si>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</si>
  <si>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</si>
  <si>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</si>
  <si>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</si>
  <si>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</si>
  <si>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</si>
  <si>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</si>
  <si>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</si>
  <si>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</si>
  <si>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</si>
  <si>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</si>
  <si>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</si>
  <si>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</si>
  <si>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</si>
  <si>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</si>
  <si>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</si>
  <si>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</si>
  <si>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</si>
  <si>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</si>
  <si>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</si>
  <si>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</si>
  <si>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</si>
  <si>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</si>
  <si>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</si>
  <si>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</si>
  <si>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</si>
  <si>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</si>
  <si>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</si>
  <si>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</si>
  <si>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</si>
  <si>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</si>
  <si>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</si>
  <si>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</si>
  <si>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</si>
  <si>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</si>
  <si>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</si>
  <si>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COMENTARIOS CME -MCP</t>
  </si>
  <si>
    <t>SLV-H-PLAN</t>
  </si>
  <si>
    <t>PLAN  INTERNACIONAL</t>
  </si>
  <si>
    <t>INNOVANDO SERVICIOS, REDUCIENDO RIESGOS, RENOVANDO VIDAS EN EL SALVADOR</t>
  </si>
  <si>
    <t>GRUPO JACOBS</t>
  </si>
  <si>
    <t xml:space="preserve">UCP/PLAN </t>
  </si>
  <si>
    <t>SR al RP</t>
  </si>
  <si>
    <t>CONDONES FEMENINOS</t>
  </si>
  <si>
    <t>% Y Número de personas HSH alcanzadas con el paquete básico de prevención de VIH</t>
  </si>
  <si>
    <t>% Y Número de personas TS alcanzadas con el paquete básico de prevención de VIH</t>
  </si>
  <si>
    <t>% Y Número de personas TRANS alcanzadas con el paquete básico de prevención de VIH</t>
  </si>
  <si>
    <t>% Y Número de personas HSH alcanzadas con el paquete complementario de prevención de VIH</t>
  </si>
  <si>
    <t>% Y Número de personas TS alcanzadas con el paquete complementario de prevención de VIH</t>
  </si>
  <si>
    <t>% Y Número de personas TRANS alcanzadas con el paquete complementario de prevención de VIH</t>
  </si>
  <si>
    <t>TOP TEN</t>
  </si>
  <si>
    <t>NO TOP TEN</t>
  </si>
  <si>
    <t>CONDONES FEMENINOS (TS)</t>
  </si>
  <si>
    <t>CUADRO DISTRIBUCION DE CONDONES POR POBLACION</t>
  </si>
  <si>
    <t>DISTRIBUCION POR AÑO</t>
  </si>
  <si>
    <t>CONDONES MACULINOS</t>
  </si>
  <si>
    <t>POBLACION HSH</t>
  </si>
  <si>
    <t>POBLACION TS</t>
  </si>
  <si>
    <t>POBLACION TRANS</t>
  </si>
  <si>
    <t>DISTRIBUCION POR SEMESTRE</t>
  </si>
  <si>
    <t>TOTAL DISTRIBUCION SEMESTRAL</t>
  </si>
  <si>
    <t>TOTAL DISTRIBUCION ANUAL</t>
  </si>
  <si>
    <t>(5)
Existencias actuales en el almacén central.</t>
  </si>
  <si>
    <t>(6 = 5 / 4)
Nivel de existencias expresado en meses de productos de salud para los usuarios actuales</t>
  </si>
  <si>
    <t xml:space="preserve">(7)
Nivel de existencias de seguridad
(expresado en meses) </t>
  </si>
  <si>
    <t>MANTAS DE LATEX</t>
  </si>
  <si>
    <t>No existieron condiciones precedentes</t>
  </si>
  <si>
    <t>Los recursos estan contratados desde el primer semestre</t>
  </si>
  <si>
    <t>Los 10 SR presentaron sus informes de ejecucion técnica y financiera, correspondiente al segundo semestre.</t>
  </si>
  <si>
    <t>10 subreceptores contratados , 6 contratos fueron firmados en el primer semestre y el resto corresponden al segundo semestre.</t>
  </si>
  <si>
    <t>CONDONES MASCULINOS (HSH)</t>
  </si>
  <si>
    <t>CONDONES MASCULINOS (TS)</t>
  </si>
  <si>
    <t>CONDONES MASCULINOS (TRANS)</t>
  </si>
  <si>
    <t>PRUEBAS RAPIDAS*</t>
  </si>
  <si>
    <t>LUBRICANTES/TUBOS HSH</t>
  </si>
  <si>
    <t>LUBRICANTES/TUBOS TS</t>
  </si>
  <si>
    <t>LUBRICANTES/TUBOS TRANS</t>
  </si>
  <si>
    <t>LUBRICANTES/SACHETS HSH</t>
  </si>
  <si>
    <t>LUBRICANTES/SACHETS TS</t>
  </si>
  <si>
    <t>LUBRICANTES/SACHETS TRANS</t>
  </si>
  <si>
    <t>nota: los 11 evalulados vienen del año anterior, se tiene contratos vigentes con 10 SR</t>
  </si>
  <si>
    <t>12,931,489</t>
  </si>
  <si>
    <t>Días tardados en presentar el informe de progreso actualizado y solicitud de desembolso al ALF*</t>
  </si>
  <si>
    <t>NOTA: Se actualizado el presupuesto según el nuevo presupuesto aprobado por el FM con ajustes.</t>
  </si>
  <si>
    <t>Saldo en caja**</t>
  </si>
  <si>
    <t>A solicitud del Fondo Mundial, se presento informe PUDR el 15 de Marzo del 2016 (nueva fecha limite), no se presentarón inconvenientes ni con el envio de desembolsos por el FM al RP, ni en la entrega de desembolsos del RP a los SR.</t>
  </si>
  <si>
    <t>La varianza por objetivos con relación al presupuesto esta compuesta por:
Objetivo #1, 4.71% corresponde a compromisos y recalendarizaciones y 9.93% corresponde a economía.
Objetivo #2, 6.85% corresponde a compromisos y recalendarizaciones y 10.26% corresponde a economía.
Objetivo #3, 8.12% corresponde a compromisos y recalendarizaciones y 8% corresponde a economía.</t>
  </si>
  <si>
    <t>Serena Buccini</t>
  </si>
  <si>
    <t>** El saldo de caja reportado corresponde a la suma de los saldos en Plan y los SR al 30/06/2016</t>
  </si>
  <si>
    <t>* Por instrucciones del FM, para el periodo informado, no se ha presentado informe de avance PU.</t>
  </si>
  <si>
    <t>La variación entre los desembolsos efectuados por el Fondo Mundial y los gastos del RP+ desembolsos a SR, se debe principalmente a que: al cierre del periodo a junio, que el RP no logro realizar en el P4 y al desembolso del colchón presupuestario para el año 2016. 
La variacion entre los desembolsos a SR y los gastos ejecutados por ellos, se debe principalmente a las economías que fueron recalendarizadas para el año 2015 y a la contratación tardía de recursos humanos en algunos SR que no permitieron la ejecucion total del desembolso asignado.</t>
  </si>
  <si>
    <t>Al cierre del P5, el FM ha desembolsado $ 10,089,241.00, Para el P6, se tiene previsto desembolsos por la suma de $ 1,798,489.00 Quedando pendientes con relación al presupuesto, $ 1,043,799.00 lo que representa economias al cierre del P5.</t>
  </si>
  <si>
    <t>* Fuente de Información : Datos de ejecucion al 30 de junio 2016</t>
  </si>
  <si>
    <t>El porcentaje reportado corresponde a las personas HSH que han participado en los componentes del paquete básico, de acuerdo con  el desarrollo de la metodologia de prevencion combinada.</t>
  </si>
  <si>
    <t xml:space="preserve">El porcentaje reportado corresponde a las personas TS que han participado en los componentes del paquete básico, de acuerdo con  el desarrollo de la metodologia de prevencion combinada. </t>
  </si>
  <si>
    <t>El porcentaje reportado corresponde a las personas TRANS que han participado en los componentes del paquete básico, de acuerdo con  el desarrollo de la metodologia de prevencion combinada.</t>
  </si>
  <si>
    <t>la compra de productos se hace toando como referencia el numeo maximo de condocnes por ciclo que se uepde etregar a cada usuario, sin embargo el 9 de diciembre se establecieron minimos y maximos para contar en ciclos cerrados a los usuarios. El promedio establece que no se han entregado maximos a las poblaciones durante el periodo, lo que nos da un un stop mayor a lo establecido por el RP.</t>
  </si>
  <si>
    <t xml:space="preserve">(3)
Número total de ususarios de productos de salud de las 3 poblaciones  atendidas </t>
  </si>
  <si>
    <t>Se esta en proceso de compra de pruebas</t>
  </si>
  <si>
    <t>(1)
Número minimo de productos por usuario  en promedio</t>
  </si>
  <si>
    <t>USANDO LOS PROMEDIOS</t>
  </si>
  <si>
    <t xml:space="preserve">
Número total de productos de salud cosumidos por la poblacion alcanzada en el semestre</t>
  </si>
  <si>
    <t xml:space="preserve">(2)
# de maximo de producto 
(por ciclo) </t>
  </si>
  <si>
    <t xml:space="preserve">(2)
Numero máximo de productos 
(por ciclo cerrado ) </t>
  </si>
  <si>
    <t xml:space="preserve">(3)
Número total de poblacion  atendidas </t>
  </si>
  <si>
    <t>(4)
Número total de productos de salud entregados en el semestre</t>
  </si>
  <si>
    <t>(6 = 5 / 4)
Nivel de existencias de productos, expresado en meses, según numero de población atendida</t>
  </si>
  <si>
    <t>*PRUEBA RAPIDA: se estima que se realizan 911 pruebas mensuales</t>
  </si>
  <si>
    <t xml:space="preserve">Los Productos de salud es un calculo tomando encuenta el maximo aprobado por producto de salud por poblacion clave, en algunos caso se han entregado menos, pero siempre por enciema de la cantidad minima aprobado por el FM.  </t>
  </si>
  <si>
    <t>promedios de entrega por persona atendida.</t>
  </si>
  <si>
    <t>Al cierre del periodo los productos que presentaban riesgo eran las preuba orales, a la fecha esta en proceso la compra.</t>
  </si>
  <si>
    <t>La adquisicion de producto de salud a partir del 2015 ha sido realizada por Plan como RP.</t>
  </si>
  <si>
    <t>El dato incluido en los indicadores de poblaciones claves son numero de ciclos cerrados o de personas alcanzadas?</t>
  </si>
  <si>
    <t>Cada persona puede participar y cerrar 4 ciclos en el año. La existencia en bodega obedece a que no se logro llegar a las metas y hay producto que no fue entregado, serviran para inicio de la propuesta de extensión.</t>
  </si>
  <si>
    <t>El porcentaje reportado corresponde a las personas HSH que han participado en los componentes del paquete básico, de acuerdo con  el desarrollo de la metodologia de prevencion combinada. Hasta junio se han registrado  1,129 de los usuarios que se han intervenido que no cerraron ciclo debido a : a) entrega parcial de insumos ( ya que estos estan condicionados a las intervenciones educativas), b) Personas con CUI aperturados  ya cuentan con una prueba de VIH reciente por lo que no se refiere a la misma, c) Zonas de intervencion  de alta peligrosidad,  a los cuales se les dara seguimiento para el periodo 6, para el cierre de su ciclo de acuerdo a los linieamientos.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tres SR ,  Entreamigos, Fundasida y PASMO. El RP coordinara con  cada SR para poder dar busqueda activa de os usuarios y el cierre completo de sus ciclos de acuerdo a las metas estbalecidas para el cierre de año.</t>
  </si>
  <si>
    <t xml:space="preserve">El porcentaje reportado corresponde a las personas TS que han participado en los componentes del paquete básico, de acuerdo con  el desarrollo de la metodologia de prevencion combinada. Del total de personas abordadas en el periodo se han encontrado un total de 1,770 TSF que no han completado el ciclo debido a : a) entrega parcial de insumos ( ya que estos estan condicionados a las intervenciones educativas), b) Personas con CUI aperturados  ya cuentan con una prueba de VIH reciente por lo que no se refiere a la misma, c) Zonas de intervencion  de alta peligrosidad.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dos SR ,  Orquideas del Mar y PASMO. </t>
  </si>
  <si>
    <t>El porcentaje reportado corresponde a las personas TRANS que han participado en los componentes del paquete básico, de acuerdo con  el desarrollo de la metodologia de prevencion combinada. De total de TRANS intervenidas un total de 346 no han completado el ciclo debido a : a) entrega parcial de insumos ( ya que estos estan condicionados a las intervenciones educativas), b) Personas con CUI aperturados  ya cuentan con una prueba de VIH reciente por lo que no se refiere a la misma, c) Zonas de intervencion  de alta peligrosidad.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dos SR, ASPIDH y Colectivo Alejandria.</t>
  </si>
  <si>
    <t>El  porcentaje corresponde a personas HSH referidos a   servicios complementarios  relacionados con : Asistencia psicologica, asesoria legal, seguimiento y tratamiento a VIH en el caso de  HSH positivos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El RP dara seguimeinto con las organziaciones SR encargadas de esta poblacion para poder impulsar el cumplimeinto de este indicador.</t>
  </si>
  <si>
    <t>El  porcentaje corresponde a personas TS referidas a   servicios complementarios  relacionados con : Asistencia psicologica, asesoria legal, seguimiento y tratamiento a VIH en el caso de  TS positivos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Se realizarán reuniones con los SRs para dar lineamientos de seguridad así como coordinaciones para que en las diversas actividades se cuente con apoyo de otras instituciones para realizarlas conjuntamente y reducir los riesgos relacionados a violencia.</t>
  </si>
  <si>
    <t>El  porcentaje corresponde a personas TRANS referidas a   servicios complementarios  relacionados con : Asistencia psicologica, asesoria legal, seguimiento y tratamiento a VIH en el caso de  TRANS positivas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Se realizarán reuniones con los SRs para dar lineamientos de seguridad así como coordinaciones para que en las diversas actividades se cuente con apoyo de otras instituciones para realizarlas conjuntamente y reducir los riesgos relacionados a violencia.</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</si>
</sst>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_);_(@_)"/>
    <numFmt numFmtId="173" formatCode="_(* #,##0.00_);_(* \(#,##0.00\);_(* \-??_);_(@_)"/>
    <numFmt numFmtId="174" formatCode="_(\$* #,##0.00_);_(\$* \(#,##0.00\);_(\$* \-??_);_(@_)"/>
    <numFmt numFmtId="175" formatCode="d&quot; de &quot;mmm&quot; de &quot;yy"/>
    <numFmt numFmtId="176" formatCode="\Q#,##0_);[Red]&quot;(Q&quot;#,##0\)"/>
    <numFmt numFmtId="177" formatCode="_(* #,##0_);_(* \(#,##0\);_(* \-??_);_(@_)"/>
    <numFmt numFmtId="178" formatCode="#,##0.00;[Red]#,##0.00"/>
    <numFmt numFmtId="179" formatCode="#.##0"/>
    <numFmt numFmtId="180" formatCode="#,##0.00\ _€;[Red]#,##0.00\ _€"/>
    <numFmt numFmtId="181" formatCode="#.##000"/>
    <numFmt numFmtId="182" formatCode="[$$-409]#,##0"/>
    <numFmt numFmtId="183" formatCode="_-* #,##0.00\ _€_-;\-* #,##0.00\ _€_-;_-* \-??\ _€_-;_-@_-"/>
    <numFmt numFmtId="184" formatCode="000%"/>
    <numFmt numFmtId="185" formatCode="#"/>
    <numFmt numFmtId="186" formatCode="0.0"/>
    <numFmt numFmtId="187" formatCode="#.00"/>
    <numFmt numFmtId="188" formatCode="#.##"/>
    <numFmt numFmtId="189" formatCode="dd/mm/yyyy"/>
    <numFmt numFmtId="190" formatCode="[$$-409]#,##0_);\([$$-409]#,##0\)"/>
    <numFmt numFmtId="191" formatCode="d/mmm/yyyy;@"/>
    <numFmt numFmtId="192" formatCode="dd/mm/yy\ hh:mm"/>
    <numFmt numFmtId="193" formatCode="000"/>
    <numFmt numFmtId="194" formatCode="_ * #,##0_ ;_ * \-#,##0_ ;_ * \-_ ;_ @_ "/>
    <numFmt numFmtId="195" formatCode=";;;"/>
    <numFmt numFmtId="196" formatCode=";;;&quot;Financial Variance in %&quot;"/>
    <numFmt numFmtId="197" formatCode="[$-440A]dddd\,\ dd&quot; de &quot;mmmm&quot; de &quot;yyyy"/>
    <numFmt numFmtId="198" formatCode="[$-440A]hh:mm:ss\ AM/PM"/>
    <numFmt numFmtId="199" formatCode="#.##00"/>
    <numFmt numFmtId="200" formatCode="#.#"/>
    <numFmt numFmtId="201" formatCode="_(* #,##0_);_(* \(#,##0\);_(* &quot;-&quot;??_);_(@_)"/>
    <numFmt numFmtId="202" formatCode="0.0%"/>
    <numFmt numFmtId="203" formatCode="0.000"/>
    <numFmt numFmtId="204" formatCode="#.0"/>
    <numFmt numFmtId="205" formatCode="&quot;$&quot;#,##0.000"/>
    <numFmt numFmtId="206" formatCode="&quot;$&quot;#,##0.00"/>
    <numFmt numFmtId="207" formatCode="_(* #,##0.00000_);_(* \(#,##0.00000\);_(* &quot;-&quot;?????_);_(@_)"/>
  </numFmts>
  <fonts count="136">
    <font>
      <sz val="11"/>
      <color indexed="8"/>
      <name val="Calibri"/>
      <family val="2"/>
    </font>
    <font>
      <sz val="10"/>
      <name val="Arial"/>
      <family val="0"/>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sz val="11"/>
      <color indexed="10"/>
      <name val="Calibri"/>
      <family val="2"/>
    </font>
    <font>
      <b/>
      <sz val="18"/>
      <color indexed="62"/>
      <name val="Cambria"/>
      <family val="2"/>
    </font>
    <font>
      <b/>
      <sz val="11"/>
      <color indexed="8"/>
      <name val="Calibri"/>
      <family val="2"/>
    </font>
    <font>
      <b/>
      <sz val="18"/>
      <color indexed="56"/>
      <name val="Cambria"/>
      <family val="2"/>
    </font>
    <font>
      <b/>
      <sz val="13"/>
      <color indexed="56"/>
      <name val="Calibri"/>
      <family val="2"/>
    </font>
    <font>
      <sz val="11"/>
      <color indexed="53"/>
      <name val="Calibri"/>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9"/>
      <color indexed="8"/>
      <name val="Calibri"/>
      <family val="2"/>
    </font>
    <font>
      <sz val="9"/>
      <name val="Calibri"/>
      <family val="2"/>
    </font>
    <font>
      <b/>
      <sz val="8"/>
      <name val="Calibri"/>
      <family val="2"/>
    </font>
    <font>
      <b/>
      <sz val="9"/>
      <name val="Tahoma"/>
      <family val="2"/>
    </font>
    <font>
      <sz val="9"/>
      <color indexed="53"/>
      <name val="Calibri"/>
      <family val="2"/>
    </font>
    <font>
      <b/>
      <i/>
      <sz val="8"/>
      <color indexed="8"/>
      <name val="Calibri"/>
      <family val="2"/>
    </font>
    <font>
      <sz val="12"/>
      <color indexed="8"/>
      <name val="Arial"/>
      <family val="0"/>
    </font>
    <font>
      <sz val="6"/>
      <color indexed="8"/>
      <name val="Arial"/>
      <family val="0"/>
    </font>
    <font>
      <b/>
      <sz val="5.75"/>
      <color indexed="8"/>
      <name val="Arial"/>
      <family val="0"/>
    </font>
    <font>
      <sz val="3.05"/>
      <color indexed="8"/>
      <name val="Arial"/>
      <family val="0"/>
    </font>
    <font>
      <sz val="5"/>
      <color indexed="8"/>
      <name val="Arial"/>
      <family val="0"/>
    </font>
    <font>
      <b/>
      <sz val="10.5"/>
      <color indexed="8"/>
      <name val="Calibri"/>
      <family val="0"/>
    </font>
    <font>
      <sz val="6.5"/>
      <color indexed="8"/>
      <name val="Calibri"/>
      <family val="0"/>
    </font>
    <font>
      <b/>
      <sz val="9"/>
      <color indexed="8"/>
      <name val="Arial"/>
      <family val="0"/>
    </font>
    <font>
      <b/>
      <sz val="8"/>
      <color indexed="8"/>
      <name val="Arial"/>
      <family val="0"/>
    </font>
    <font>
      <sz val="8"/>
      <color indexed="8"/>
      <name val="Arial"/>
      <family val="0"/>
    </font>
    <font>
      <sz val="4.35"/>
      <color indexed="8"/>
      <name val="Arial"/>
      <family val="0"/>
    </font>
    <font>
      <sz val="6.75"/>
      <color indexed="8"/>
      <name val="Arial"/>
      <family val="0"/>
    </font>
    <font>
      <sz val="4.25"/>
      <color indexed="8"/>
      <name val="Arial"/>
      <family val="0"/>
    </font>
    <font>
      <sz val="4.5"/>
      <color indexed="8"/>
      <name val="Arial"/>
      <family val="0"/>
    </font>
    <font>
      <b/>
      <sz val="5.5"/>
      <color indexed="8"/>
      <name val="Arial"/>
      <family val="0"/>
    </font>
    <font>
      <sz val="4.75"/>
      <color indexed="8"/>
      <name val="Arial"/>
      <family val="0"/>
    </font>
    <font>
      <sz val="11"/>
      <color rgb="FFFF0000"/>
      <name val="Calibri"/>
      <family val="2"/>
    </font>
    <font>
      <sz val="9"/>
      <color rgb="FFFF0000"/>
      <name val="Calibri"/>
      <family val="2"/>
    </font>
    <font>
      <b/>
      <i/>
      <sz val="8"/>
      <color theme="1"/>
      <name val="Calibri"/>
      <family val="2"/>
    </font>
  </fonts>
  <fills count="4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61"/>
        <bgColor indexed="64"/>
      </patternFill>
    </fill>
    <fill>
      <patternFill patternType="solid">
        <fgColor indexed="55"/>
        <bgColor indexed="64"/>
      </patternFill>
    </fill>
    <fill>
      <patternFill patternType="solid">
        <fgColor indexed="62"/>
        <bgColor indexed="64"/>
      </patternFill>
    </fill>
    <fill>
      <patternFill patternType="solid">
        <fgColor indexed="28"/>
        <bgColor indexed="64"/>
      </patternFill>
    </fill>
    <fill>
      <patternFill patternType="solid">
        <fgColor indexed="47"/>
        <bgColor indexed="64"/>
      </patternFill>
    </fill>
    <fill>
      <patternFill patternType="solid">
        <fgColor indexed="34"/>
        <bgColor indexed="64"/>
      </patternFill>
    </fill>
    <fill>
      <patternFill patternType="gray0625">
        <fgColor indexed="52"/>
      </patternFill>
    </fill>
    <fill>
      <patternFill patternType="solid">
        <fgColor indexed="43"/>
        <bgColor indexed="64"/>
      </patternFill>
    </fill>
    <fill>
      <patternFill patternType="solid">
        <fgColor indexed="43"/>
        <bgColor indexed="64"/>
      </patternFill>
    </fill>
    <fill>
      <patternFill patternType="solid">
        <fgColor indexed="25"/>
        <bgColor indexed="64"/>
      </patternFill>
    </fill>
    <fill>
      <patternFill patternType="solid">
        <fgColor rgb="FFFFFF00"/>
        <bgColor indexed="64"/>
      </patternFill>
    </fill>
    <fill>
      <patternFill patternType="solid">
        <fgColor theme="8" tint="0.39998000860214233"/>
        <bgColor indexed="64"/>
      </patternFill>
    </fill>
    <fill>
      <patternFill patternType="solid">
        <fgColor indexed="18"/>
        <bgColor indexed="64"/>
      </patternFill>
    </fill>
    <fill>
      <patternFill patternType="solid">
        <fgColor indexed="43"/>
        <bgColor indexed="64"/>
      </patternFill>
    </fill>
    <fill>
      <patternFill patternType="gray0625">
        <fgColor indexed="52"/>
        <bgColor indexed="43"/>
      </patternFill>
    </fill>
    <fill>
      <patternFill patternType="solid">
        <fgColor indexed="13"/>
        <bgColor indexed="64"/>
      </patternFill>
    </fill>
  </fills>
  <borders count="2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thin">
        <color indexed="58"/>
      </left>
      <right style="thin">
        <color indexed="58"/>
      </right>
      <top style="thin">
        <color indexed="58"/>
      </top>
      <bottom style="thin">
        <color indexed="58"/>
      </bottom>
    </border>
    <border>
      <left style="medium">
        <color indexed="32"/>
      </left>
      <right style="thin">
        <color indexed="32"/>
      </right>
      <top>
        <color indexed="63"/>
      </top>
      <bottom style="thin">
        <color indexed="32"/>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medium">
        <color indexed="32"/>
      </top>
      <bottom style="thin">
        <color indexed="32"/>
      </bottom>
    </border>
    <border>
      <left style="medium">
        <color indexed="32"/>
      </left>
      <right style="thin">
        <color indexed="32"/>
      </right>
      <top style="thin">
        <color indexed="32"/>
      </top>
      <bottom style="medium">
        <color indexed="32"/>
      </bottom>
    </border>
    <border>
      <left style="thin">
        <color indexed="32"/>
      </left>
      <right style="medium">
        <color indexed="32"/>
      </right>
      <top style="thin">
        <color indexed="32"/>
      </top>
      <bottom style="medium">
        <color indexed="32"/>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thin">
        <color indexed="16"/>
      </left>
      <right style="thin">
        <color indexed="16"/>
      </right>
      <top style="thin">
        <color indexed="16"/>
      </top>
      <bottom>
        <color indexed="63"/>
      </bottom>
    </border>
    <border>
      <left style="thin">
        <color indexed="60"/>
      </left>
      <right style="thin">
        <color indexed="60"/>
      </right>
      <top style="thin">
        <color indexed="60"/>
      </top>
      <bottom style="medium">
        <color indexed="60"/>
      </bottom>
    </border>
    <border>
      <left>
        <color indexed="63"/>
      </left>
      <right style="medium">
        <color indexed="51"/>
      </right>
      <top>
        <color indexed="63"/>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style="thin"/>
      <top>
        <color indexed="63"/>
      </top>
      <bottom style="thin"/>
    </border>
    <border>
      <left>
        <color indexed="63"/>
      </left>
      <right style="thin">
        <color indexed="58"/>
      </right>
      <top style="thin">
        <color indexed="58"/>
      </top>
      <bottom style="thin">
        <color indexed="58"/>
      </bottom>
    </border>
    <border>
      <left>
        <color indexed="63"/>
      </left>
      <right style="thin">
        <color indexed="58"/>
      </right>
      <top style="thin">
        <color indexed="58"/>
      </top>
      <bottom>
        <color indexed="63"/>
      </bottom>
    </border>
    <border>
      <left style="medium"/>
      <right style="thin">
        <color indexed="32"/>
      </right>
      <top style="medium"/>
      <bottom style="thin">
        <color indexed="32"/>
      </bottom>
    </border>
    <border>
      <left style="thin">
        <color indexed="32"/>
      </left>
      <right style="thin">
        <color indexed="32"/>
      </right>
      <top style="medium"/>
      <bottom>
        <color indexed="63"/>
      </bottom>
    </border>
    <border>
      <left style="thin">
        <color indexed="32"/>
      </left>
      <right style="thin">
        <color indexed="32"/>
      </right>
      <top style="medium"/>
      <bottom style="thin">
        <color indexed="32"/>
      </bottom>
    </border>
    <border>
      <left style="thin">
        <color indexed="32"/>
      </left>
      <right style="medium"/>
      <top style="thin">
        <color indexed="32"/>
      </top>
      <bottom style="thin">
        <color indexed="32"/>
      </bottom>
    </border>
    <border>
      <left style="thin"/>
      <right style="thin"/>
      <top style="thin"/>
      <bottom style="medium"/>
    </border>
    <border>
      <left>
        <color indexed="63"/>
      </left>
      <right style="thin">
        <color indexed="58"/>
      </right>
      <top style="thin">
        <color indexed="58"/>
      </top>
      <bottom style="medium"/>
    </border>
    <border>
      <left style="thin">
        <color indexed="32"/>
      </left>
      <right style="thin">
        <color indexed="32"/>
      </right>
      <top style="thin">
        <color indexed="32"/>
      </top>
      <bottom style="medium">
        <color indexed="32"/>
      </bottom>
    </border>
    <border>
      <left style="medium">
        <color indexed="32"/>
      </left>
      <right style="thin">
        <color indexed="32"/>
      </right>
      <top style="medium">
        <color indexed="32"/>
      </top>
      <bottom>
        <color indexed="63"/>
      </bottom>
    </border>
    <border>
      <left style="thin">
        <color indexed="32"/>
      </left>
      <right>
        <color indexed="63"/>
      </right>
      <top style="medium">
        <color indexed="32"/>
      </top>
      <bottom>
        <color indexed="63"/>
      </bottom>
    </border>
    <border>
      <left style="thin">
        <color indexed="32"/>
      </left>
      <right style="thin">
        <color indexed="32"/>
      </right>
      <top style="medium">
        <color indexed="32"/>
      </top>
      <bottom>
        <color indexed="63"/>
      </bottom>
    </border>
    <border>
      <left>
        <color indexed="63"/>
      </left>
      <right style="medium">
        <color indexed="32"/>
      </right>
      <top style="medium">
        <color indexed="32"/>
      </top>
      <bottom>
        <color indexed="63"/>
      </bottom>
    </border>
    <border>
      <left style="thin">
        <color indexed="32"/>
      </left>
      <right>
        <color indexed="63"/>
      </right>
      <top style="medium"/>
      <bottom style="thin">
        <color indexed="32"/>
      </bottom>
    </border>
    <border>
      <left>
        <color indexed="63"/>
      </left>
      <right style="medium"/>
      <top style="thin">
        <color indexed="32"/>
      </top>
      <bottom style="thin">
        <color indexed="32"/>
      </bottom>
    </border>
    <border>
      <left style="medium">
        <color theme="5"/>
      </left>
      <right style="thin"/>
      <top style="medium">
        <color theme="5"/>
      </top>
      <bottom style="thin"/>
    </border>
    <border>
      <left style="thin"/>
      <right style="thin"/>
      <top style="medium">
        <color theme="5"/>
      </top>
      <bottom style="thin"/>
    </border>
    <border>
      <left style="thin"/>
      <right style="medium">
        <color theme="5"/>
      </right>
      <top style="medium">
        <color theme="5"/>
      </top>
      <bottom style="thin"/>
    </border>
    <border>
      <left style="medium">
        <color theme="5"/>
      </left>
      <right style="thin"/>
      <top style="thin"/>
      <bottom style="thin"/>
    </border>
    <border>
      <left style="medium">
        <color theme="5"/>
      </left>
      <right style="thin"/>
      <top style="thin"/>
      <bottom style="medium">
        <color theme="5"/>
      </bottom>
    </border>
    <border>
      <left style="thin"/>
      <right style="thin"/>
      <top style="thin"/>
      <bottom style="medium">
        <color theme="5"/>
      </bottom>
    </border>
    <border>
      <left>
        <color indexed="63"/>
      </left>
      <right style="thin">
        <color indexed="32"/>
      </right>
      <top>
        <color indexed="63"/>
      </top>
      <bottom>
        <color indexed="63"/>
      </bottom>
    </border>
    <border>
      <left style="thin">
        <color indexed="32"/>
      </left>
      <right style="medium"/>
      <top style="medium"/>
      <bottom style="thin">
        <color indexed="32"/>
      </bottom>
    </border>
    <border>
      <left style="thin"/>
      <right style="medium">
        <color theme="5"/>
      </right>
      <top style="thin"/>
      <bottom style="thin"/>
    </border>
    <border>
      <left style="thin"/>
      <right style="medium">
        <color theme="5"/>
      </right>
      <top style="thin"/>
      <bottom style="medium">
        <color theme="5"/>
      </bottom>
    </border>
    <border>
      <left style="thin">
        <color indexed="58"/>
      </left>
      <right>
        <color indexed="63"/>
      </right>
      <top style="thin">
        <color indexed="58"/>
      </top>
      <bottom style="thin">
        <color indexed="58"/>
      </bottom>
    </border>
    <border>
      <left style="thin">
        <color indexed="32"/>
      </left>
      <right>
        <color indexed="63"/>
      </right>
      <top style="thin">
        <color indexed="32"/>
      </top>
      <bottom style="medium"/>
    </border>
    <border>
      <left style="thin">
        <color indexed="58"/>
      </left>
      <right>
        <color indexed="63"/>
      </right>
      <top style="thin">
        <color indexed="58"/>
      </top>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32"/>
      </left>
      <right style="thin">
        <color indexed="32"/>
      </right>
      <top style="thin">
        <color indexed="32"/>
      </top>
      <bottom>
        <color indexed="63"/>
      </bottom>
    </border>
    <border>
      <left>
        <color indexed="63"/>
      </left>
      <right>
        <color indexed="63"/>
      </right>
      <top style="thin">
        <color indexed="32"/>
      </top>
      <bottom>
        <color indexed="63"/>
      </bottom>
    </border>
    <border>
      <left style="thin"/>
      <right style="medium"/>
      <top style="thin"/>
      <bottom style="thin"/>
    </border>
    <border>
      <left style="thin"/>
      <right style="medium"/>
      <top style="thin"/>
      <bottom style="medium"/>
    </border>
    <border>
      <left>
        <color indexed="63"/>
      </left>
      <right style="thin">
        <color indexed="32"/>
      </right>
      <top style="thin">
        <color indexed="58"/>
      </top>
      <bottom>
        <color indexed="63"/>
      </bottom>
    </border>
    <border>
      <left style="thin">
        <color indexed="32"/>
      </left>
      <right style="thin">
        <color indexed="32"/>
      </right>
      <top style="thin">
        <color indexed="58"/>
      </top>
      <bottom>
        <color indexed="63"/>
      </bottom>
    </border>
    <border>
      <left style="thin">
        <color indexed="32"/>
      </left>
      <right style="thin">
        <color indexed="32"/>
      </right>
      <top>
        <color indexed="63"/>
      </top>
      <bottom>
        <color indexed="63"/>
      </bottom>
    </border>
    <border>
      <left style="medium"/>
      <right>
        <color indexed="63"/>
      </right>
      <top style="thin">
        <color indexed="32"/>
      </top>
      <bottom style="medium">
        <color indexed="32"/>
      </bottom>
    </border>
    <border>
      <left style="medium"/>
      <right>
        <color indexed="63"/>
      </right>
      <top style="thin">
        <color indexed="32"/>
      </top>
      <bottom style="medium"/>
    </border>
    <border>
      <left style="thin">
        <color indexed="32"/>
      </left>
      <right style="medium"/>
      <top style="thin">
        <color indexed="32"/>
      </top>
      <bottom>
        <color indexed="63"/>
      </bottom>
    </border>
    <border>
      <left style="thin">
        <color indexed="32"/>
      </left>
      <right style="medium"/>
      <top>
        <color indexed="63"/>
      </top>
      <bottom>
        <color indexed="63"/>
      </botto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thin">
        <color indexed="32"/>
      </top>
      <bottom style="medium">
        <color indexed="51"/>
      </bottom>
    </border>
    <border>
      <left style="medium">
        <color indexed="51"/>
      </left>
      <right/>
      <top style="thin"/>
      <bottom/>
    </border>
    <border>
      <left>
        <color indexed="63"/>
      </left>
      <right>
        <color indexed="63"/>
      </right>
      <top style="thin"/>
      <bottom>
        <color indexed="63"/>
      </bottom>
    </border>
    <border>
      <left/>
      <right style="medium">
        <color indexed="51"/>
      </right>
      <top style="thin"/>
      <bottom/>
    </border>
    <border>
      <left style="medium">
        <color indexed="51"/>
      </left>
      <right>
        <color indexed="63"/>
      </right>
      <top>
        <color indexed="63"/>
      </top>
      <bottom style="thin"/>
    </border>
    <border>
      <left>
        <color indexed="63"/>
      </left>
      <right>
        <color indexed="63"/>
      </right>
      <top>
        <color indexed="63"/>
      </top>
      <bottom style="thin"/>
    </border>
    <border>
      <left>
        <color indexed="63"/>
      </left>
      <right style="medium">
        <color indexed="51"/>
      </right>
      <top>
        <color indexed="63"/>
      </top>
      <bottom style="thin"/>
    </border>
    <border>
      <left style="medium">
        <color indexed="51"/>
      </left>
      <right style="medium">
        <color indexed="51"/>
      </right>
      <top style="thin"/>
      <bottom/>
    </border>
    <border>
      <left style="medium">
        <color indexed="51"/>
      </left>
      <right style="medium">
        <color indexed="51"/>
      </right>
      <top>
        <color indexed="63"/>
      </top>
      <bottom style="thin"/>
    </border>
    <border>
      <left style="medium">
        <color indexed="51"/>
      </left>
      <right style="thin"/>
      <top style="thin"/>
      <bottom/>
    </border>
    <border>
      <left style="medium">
        <color indexed="51"/>
      </left>
      <right style="thin"/>
      <top>
        <color indexed="63"/>
      </top>
      <bottom style="thin"/>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color indexed="63"/>
      </left>
      <right style="thin">
        <color indexed="32"/>
      </right>
      <top style="thin">
        <color indexed="32"/>
      </top>
      <bottom>
        <color indexed="63"/>
      </bottom>
    </border>
    <border>
      <left>
        <color indexed="63"/>
      </left>
      <right style="thin">
        <color indexed="32"/>
      </right>
      <top>
        <color indexed="63"/>
      </top>
      <bottom style="thin">
        <color indexed="58"/>
      </bottom>
    </border>
    <border>
      <left style="thin">
        <color indexed="32"/>
      </left>
      <right style="thin">
        <color indexed="32"/>
      </right>
      <top>
        <color indexed="63"/>
      </top>
      <bottom style="thin">
        <color indexed="58"/>
      </bottom>
    </border>
    <border>
      <left style="thin">
        <color indexed="32"/>
      </left>
      <right style="medium"/>
      <top>
        <color indexed="63"/>
      </top>
      <bottom style="thin">
        <color indexed="32"/>
      </bottom>
    </border>
    <border>
      <left style="medium">
        <color indexed="48"/>
      </left>
      <right style="thin">
        <color indexed="32"/>
      </right>
      <top style="medium">
        <color indexed="48"/>
      </top>
      <bottom style="thin">
        <color indexed="32"/>
      </bottom>
    </border>
    <border>
      <left style="medium">
        <color indexed="32"/>
      </left>
      <right>
        <color indexed="63"/>
      </right>
      <top style="thin">
        <color indexed="32"/>
      </top>
      <bottom style="medium">
        <color indexed="32"/>
      </bottom>
    </border>
    <border>
      <left>
        <color indexed="63"/>
      </left>
      <right style="medium">
        <color indexed="32"/>
      </right>
      <top style="thin">
        <color indexed="32"/>
      </top>
      <bottom style="medium">
        <color indexed="32"/>
      </bottom>
    </border>
    <border>
      <left style="medium">
        <color indexed="32"/>
      </left>
      <right>
        <color indexed="63"/>
      </right>
      <top style="medium">
        <color indexed="32"/>
      </top>
      <bottom style="medium">
        <color indexed="32"/>
      </bottom>
    </border>
    <border>
      <left>
        <color indexed="63"/>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style="medium">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style="medium">
        <color indexed="32"/>
      </left>
      <right>
        <color indexed="63"/>
      </right>
      <top style="thin">
        <color indexed="32"/>
      </top>
      <bottom style="thin">
        <color indexed="32"/>
      </bottom>
    </border>
    <border>
      <left>
        <color indexed="63"/>
      </left>
      <right style="medium">
        <color indexed="32"/>
      </right>
      <top style="thin">
        <color indexed="32"/>
      </top>
      <bottom style="thin">
        <color indexed="32"/>
      </bottom>
    </border>
    <border>
      <left style="thin">
        <color indexed="32"/>
      </left>
      <right style="medium"/>
      <top>
        <color indexed="63"/>
      </top>
      <bottom style="medium"/>
    </border>
    <border>
      <left style="medium"/>
      <right style="thin">
        <color indexed="32"/>
      </right>
      <top style="medium"/>
      <bottom>
        <color indexed="63"/>
      </bottom>
    </border>
    <border>
      <left style="medium"/>
      <right style="thin">
        <color indexed="32"/>
      </right>
      <top>
        <color indexed="63"/>
      </top>
      <bottom>
        <color indexed="63"/>
      </bottom>
    </border>
    <border>
      <left style="medium"/>
      <right style="thin">
        <color indexed="32"/>
      </right>
      <top>
        <color indexed="63"/>
      </top>
      <bottom style="medium"/>
    </border>
    <border>
      <left style="thin">
        <color indexed="32"/>
      </left>
      <right style="medium"/>
      <top style="medium"/>
      <bottom>
        <color indexed="63"/>
      </bottom>
    </border>
    <border>
      <left style="thin">
        <color indexed="32"/>
      </left>
      <right style="thin">
        <color indexed="32"/>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medium">
        <color indexed="51"/>
      </bottom>
    </border>
    <border>
      <left style="medium">
        <color indexed="51"/>
      </left>
      <right style="medium">
        <color indexed="51"/>
      </right>
      <top style="hair">
        <color indexed="51"/>
      </top>
      <bottom style="hair">
        <color indexed="51"/>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color indexed="63"/>
      </left>
      <right style="medium">
        <color indexed="52"/>
      </right>
      <top>
        <color indexed="63"/>
      </top>
      <bottom>
        <color indexed="63"/>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style="medium">
        <color indexed="32"/>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hair">
        <color indexed="32"/>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hair">
        <color indexed="32"/>
      </top>
      <bottom style="hair">
        <color indexed="32"/>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color indexed="63"/>
      </left>
      <right style="medium">
        <color indexed="32"/>
      </right>
      <top style="hair">
        <color indexed="32"/>
      </top>
      <bottom style="medium">
        <color indexed="32"/>
      </bottom>
    </border>
    <border>
      <left>
        <color indexed="63"/>
      </left>
      <right style="medium">
        <color indexed="32"/>
      </right>
      <top style="hair">
        <color indexed="32"/>
      </top>
      <bottom style="hair">
        <color indexed="32"/>
      </bottom>
    </border>
    <border>
      <left style="hair">
        <color indexed="32"/>
      </left>
      <right style="medium">
        <color indexed="32"/>
      </right>
      <top style="medium">
        <color indexed="57"/>
      </top>
      <bottom style="hair">
        <color indexed="32"/>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style="thin">
        <color indexed="32"/>
      </left>
      <right>
        <color indexed="63"/>
      </right>
      <top style="thin">
        <color indexed="32"/>
      </top>
      <bottom>
        <color indexed="63"/>
      </bottom>
    </border>
    <border>
      <left style="thin">
        <color indexed="32"/>
      </left>
      <right>
        <color indexed="63"/>
      </right>
      <top>
        <color indexed="63"/>
      </top>
      <bottom style="medium"/>
    </border>
    <border>
      <left style="medium"/>
      <right>
        <color indexed="63"/>
      </right>
      <top>
        <color indexed="63"/>
      </top>
      <bottom>
        <color indexed="63"/>
      </bottom>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5" fillId="2" borderId="1" applyNumberFormat="0" applyAlignment="0" applyProtection="0"/>
    <xf numFmtId="0" fontId="5" fillId="10" borderId="1" applyNumberFormat="0" applyAlignment="0" applyProtection="0"/>
    <xf numFmtId="0" fontId="6" fillId="25" borderId="2" applyNumberFormat="0" applyAlignment="0" applyProtection="0"/>
    <xf numFmtId="0" fontId="7" fillId="0" borderId="3" applyNumberFormat="0" applyFill="0" applyAlignment="0" applyProtection="0"/>
    <xf numFmtId="0" fontId="11" fillId="0" borderId="4" applyNumberFormat="0" applyFill="0" applyAlignment="0" applyProtection="0"/>
    <xf numFmtId="0" fontId="13" fillId="0" borderId="0" applyNumberFormat="0" applyFill="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9" fillId="3" borderId="1" applyNumberFormat="0" applyAlignment="0" applyProtection="0"/>
    <xf numFmtId="172" fontId="0" fillId="0" borderId="0" applyFill="0" applyBorder="0" applyAlignment="0" applyProtection="0"/>
    <xf numFmtId="0" fontId="10"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3" fillId="7" borderId="0" applyNumberFormat="0" applyBorder="0" applyAlignment="0" applyProtection="0"/>
    <xf numFmtId="173" fontId="0" fillId="0" borderId="0" applyFill="0" applyBorder="0" applyAlignment="0" applyProtection="0"/>
    <xf numFmtId="169" fontId="1" fillId="0" borderId="0" applyFill="0" applyBorder="0" applyAlignment="0" applyProtection="0"/>
    <xf numFmtId="173"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14" fillId="12" borderId="0" applyNumberFormat="0" applyBorder="0" applyAlignment="0" applyProtection="0"/>
    <xf numFmtId="173"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1" fillId="0" borderId="0">
      <alignment/>
      <protection/>
    </xf>
    <xf numFmtId="0" fontId="0" fillId="4" borderId="7" applyNumberFormat="0" applyAlignment="0" applyProtection="0"/>
    <xf numFmtId="0" fontId="15" fillId="2" borderId="8" applyNumberFormat="0" applyAlignment="0" applyProtection="0"/>
    <xf numFmtId="9"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15" fillId="10" borderId="8" applyNumberFormat="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8"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18" fillId="0" borderId="10" applyNumberFormat="0" applyFill="0" applyAlignment="0" applyProtection="0"/>
  </cellStyleXfs>
  <cellXfs count="804">
    <xf numFmtId="0" fontId="0" fillId="0" borderId="0" xfId="0" applyAlignment="1">
      <alignment/>
    </xf>
    <xf numFmtId="173" fontId="23" fillId="0" borderId="0" xfId="92" applyFont="1" applyFill="1" applyAlignment="1">
      <alignment vertical="center"/>
      <protection/>
    </xf>
    <xf numFmtId="0" fontId="25" fillId="0" borderId="0" xfId="0" applyFont="1" applyAlignment="1">
      <alignment/>
    </xf>
    <xf numFmtId="173" fontId="25" fillId="0" borderId="0" xfId="0" applyNumberFormat="1" applyFont="1" applyAlignment="1">
      <alignment/>
    </xf>
    <xf numFmtId="173" fontId="25"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73" fontId="22" fillId="0" borderId="0" xfId="91" applyFont="1" applyFill="1" applyAlignment="1" applyProtection="1">
      <alignment horizontal="center" vertical="center"/>
      <protection/>
    </xf>
    <xf numFmtId="173" fontId="23" fillId="0" borderId="0" xfId="91" applyFont="1" applyFill="1" applyAlignment="1" applyProtection="1">
      <alignment vertical="center"/>
      <protection/>
    </xf>
    <xf numFmtId="0" fontId="21" fillId="0" borderId="0" xfId="0" applyFont="1" applyAlignment="1">
      <alignment/>
    </xf>
    <xf numFmtId="0" fontId="0" fillId="0" borderId="0" xfId="0" applyBorder="1" applyAlignment="1">
      <alignment/>
    </xf>
    <xf numFmtId="0" fontId="21" fillId="0" borderId="0" xfId="0" applyFont="1" applyBorder="1" applyAlignment="1">
      <alignment/>
    </xf>
    <xf numFmtId="0" fontId="0" fillId="0" borderId="0" xfId="0" applyBorder="1" applyAlignment="1">
      <alignment horizontal="center"/>
    </xf>
    <xf numFmtId="0" fontId="37" fillId="0" borderId="0" xfId="0" applyFont="1" applyFill="1" applyAlignment="1">
      <alignment/>
    </xf>
    <xf numFmtId="0" fontId="0" fillId="0" borderId="0" xfId="0" applyFont="1" applyAlignment="1">
      <alignment/>
    </xf>
    <xf numFmtId="0" fontId="29" fillId="12" borderId="11" xfId="0" applyFont="1" applyFill="1" applyBorder="1" applyAlignment="1">
      <alignment horizontal="justify" vertical="center" wrapText="1"/>
    </xf>
    <xf numFmtId="0" fontId="33" fillId="12" borderId="12" xfId="0" applyFont="1" applyFill="1" applyBorder="1" applyAlignment="1">
      <alignment horizontal="justify" vertical="center" wrapText="1"/>
    </xf>
    <xf numFmtId="0" fontId="33" fillId="12" borderId="13" xfId="0" applyFont="1" applyFill="1" applyBorder="1" applyAlignment="1">
      <alignment horizontal="justify" vertical="center" wrapText="1"/>
    </xf>
    <xf numFmtId="0" fontId="29" fillId="12" borderId="11" xfId="0" applyFont="1" applyFill="1" applyBorder="1" applyAlignment="1">
      <alignment horizontal="left" vertical="center" wrapText="1"/>
    </xf>
    <xf numFmtId="0" fontId="29" fillId="12" borderId="12" xfId="0" applyFont="1" applyFill="1" applyBorder="1" applyAlignment="1">
      <alignment horizontal="left" vertical="center" wrapText="1"/>
    </xf>
    <xf numFmtId="0" fontId="29" fillId="12" borderId="13" xfId="0" applyFont="1" applyFill="1" applyBorder="1" applyAlignment="1">
      <alignment horizontal="left" vertical="center" wrapText="1"/>
    </xf>
    <xf numFmtId="0" fontId="29" fillId="0" borderId="11" xfId="0" applyFont="1" applyBorder="1" applyAlignment="1" applyProtection="1">
      <alignment horizontal="left" vertical="center" wrapText="1"/>
      <protection locked="0"/>
    </xf>
    <xf numFmtId="0" fontId="29" fillId="0" borderId="12"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1" xfId="0" applyFont="1" applyBorder="1" applyAlignment="1" applyProtection="1">
      <alignment horizontal="justify" vertical="center" wrapText="1"/>
      <protection locked="0"/>
    </xf>
    <xf numFmtId="0" fontId="33" fillId="0" borderId="12" xfId="0" applyFont="1" applyBorder="1" applyAlignment="1" applyProtection="1">
      <alignment horizontal="justify" vertical="center" wrapText="1"/>
      <protection locked="0"/>
    </xf>
    <xf numFmtId="0" fontId="33" fillId="0" borderId="13" xfId="0" applyFont="1" applyBorder="1" applyAlignment="1" applyProtection="1">
      <alignment horizontal="justify" vertical="center" wrapText="1"/>
      <protection locked="0"/>
    </xf>
    <xf numFmtId="0" fontId="32" fillId="0" borderId="11" xfId="0" applyFont="1" applyBorder="1" applyAlignment="1">
      <alignment vertical="center" wrapText="1"/>
    </xf>
    <xf numFmtId="0" fontId="32" fillId="0" borderId="12" xfId="0" applyFont="1" applyBorder="1" applyAlignment="1">
      <alignment vertical="center" wrapText="1"/>
    </xf>
    <xf numFmtId="0" fontId="29" fillId="0" borderId="12" xfId="0" applyFont="1" applyBorder="1" applyAlignment="1">
      <alignment horizontal="justify" vertical="center" wrapText="1"/>
    </xf>
    <xf numFmtId="0" fontId="33" fillId="0" borderId="12" xfId="0" applyFont="1" applyBorder="1" applyAlignment="1">
      <alignment horizontal="justify" vertical="center" wrapText="1"/>
    </xf>
    <xf numFmtId="0" fontId="29" fillId="0" borderId="13" xfId="0" applyFont="1" applyBorder="1" applyAlignment="1">
      <alignment horizontal="justify" vertical="center" wrapText="1"/>
    </xf>
    <xf numFmtId="0" fontId="29" fillId="0" borderId="11" xfId="0" applyFont="1" applyBorder="1" applyAlignment="1">
      <alignment horizontal="justify" vertical="center" wrapText="1"/>
    </xf>
    <xf numFmtId="173" fontId="42" fillId="0" borderId="0" xfId="83" applyFont="1" applyFill="1" applyAlignment="1" applyProtection="1">
      <alignment vertical="center"/>
      <protection/>
    </xf>
    <xf numFmtId="173" fontId="43" fillId="0" borderId="0" xfId="0" applyNumberFormat="1" applyFont="1" applyAlignment="1" applyProtection="1">
      <alignment horizontal="right"/>
      <protection/>
    </xf>
    <xf numFmtId="173" fontId="0" fillId="0" borderId="14" xfId="0" applyNumberFormat="1" applyFont="1" applyBorder="1" applyAlignment="1" applyProtection="1">
      <alignment horizontal="center"/>
      <protection locked="0"/>
    </xf>
    <xf numFmtId="173" fontId="43" fillId="0" borderId="0" xfId="0" applyNumberFormat="1" applyFont="1" applyBorder="1" applyAlignment="1" applyProtection="1">
      <alignment horizontal="right"/>
      <protection/>
    </xf>
    <xf numFmtId="0" fontId="43" fillId="0" borderId="0" xfId="0" applyFont="1" applyAlignment="1" applyProtection="1">
      <alignment horizontal="right"/>
      <protection/>
    </xf>
    <xf numFmtId="0" fontId="43" fillId="0" borderId="0" xfId="0" applyFont="1" applyAlignment="1" applyProtection="1">
      <alignment/>
      <protection/>
    </xf>
    <xf numFmtId="49" fontId="43" fillId="0" borderId="0" xfId="0" applyNumberFormat="1" applyFont="1" applyAlignment="1" applyProtection="1">
      <alignment horizontal="right"/>
      <protection/>
    </xf>
    <xf numFmtId="0" fontId="43" fillId="0" borderId="0" xfId="0" applyFont="1" applyBorder="1" applyAlignment="1" applyProtection="1">
      <alignment/>
      <protection/>
    </xf>
    <xf numFmtId="175" fontId="0" fillId="0" borderId="0" xfId="0" applyNumberFormat="1" applyAlignment="1" applyProtection="1">
      <alignment/>
      <protection/>
    </xf>
    <xf numFmtId="175" fontId="0" fillId="0" borderId="14" xfId="119" applyNumberFormat="1" applyFont="1" applyFill="1" applyBorder="1" applyAlignment="1" applyProtection="1">
      <alignment horizontal="center"/>
      <protection locked="0"/>
    </xf>
    <xf numFmtId="173" fontId="43" fillId="0" borderId="15" xfId="0" applyNumberFormat="1" applyFont="1" applyBorder="1" applyAlignment="1" applyProtection="1">
      <alignment horizontal="right"/>
      <protection/>
    </xf>
    <xf numFmtId="0" fontId="0" fillId="0" borderId="0" xfId="0" applyBorder="1" applyAlignment="1" applyProtection="1">
      <alignment/>
      <protection/>
    </xf>
    <xf numFmtId="173" fontId="43" fillId="0" borderId="0" xfId="0" applyNumberFormat="1" applyFont="1" applyAlignment="1" applyProtection="1">
      <alignment/>
      <protection/>
    </xf>
    <xf numFmtId="0" fontId="0" fillId="0" borderId="0" xfId="0" applyAlignment="1" applyProtection="1">
      <alignment/>
      <protection/>
    </xf>
    <xf numFmtId="0" fontId="0" fillId="3" borderId="14" xfId="0" applyFill="1" applyBorder="1" applyAlignment="1" applyProtection="1">
      <alignment/>
      <protection/>
    </xf>
    <xf numFmtId="0" fontId="0" fillId="13" borderId="14" xfId="0" applyFill="1" applyBorder="1" applyAlignment="1" applyProtection="1">
      <alignment/>
      <protection/>
    </xf>
    <xf numFmtId="0" fontId="0" fillId="0" borderId="0" xfId="0" applyFill="1" applyBorder="1" applyAlignment="1">
      <alignment/>
    </xf>
    <xf numFmtId="173" fontId="45" fillId="0" borderId="16" xfId="125" applyNumberFormat="1" applyFont="1" applyFill="1" applyBorder="1" applyAlignment="1" applyProtection="1">
      <alignment/>
      <protection/>
    </xf>
    <xf numFmtId="173" fontId="0" fillId="0" borderId="16" xfId="125" applyNumberFormat="1" applyFill="1" applyBorder="1" applyAlignment="1" applyProtection="1">
      <alignment vertical="center"/>
      <protection/>
    </xf>
    <xf numFmtId="173" fontId="46" fillId="0" borderId="16" xfId="125" applyNumberFormat="1" applyFont="1" applyFill="1" applyBorder="1" applyAlignment="1" applyProtection="1">
      <alignment horizontal="left" vertical="center"/>
      <protection/>
    </xf>
    <xf numFmtId="173" fontId="0" fillId="3" borderId="17" xfId="125" applyNumberFormat="1" applyFill="1" applyBorder="1" applyAlignment="1" applyProtection="1">
      <alignment vertical="center"/>
      <protection/>
    </xf>
    <xf numFmtId="173" fontId="47" fillId="0" borderId="0" xfId="125" applyNumberFormat="1" applyFont="1" applyFill="1" applyBorder="1" applyAlignment="1" applyProtection="1">
      <alignment vertical="center"/>
      <protection locked="0"/>
    </xf>
    <xf numFmtId="173" fontId="27" fillId="0" borderId="14" xfId="0" applyNumberFormat="1" applyFont="1" applyBorder="1" applyAlignment="1" applyProtection="1">
      <alignment horizontal="center"/>
      <protection locked="0"/>
    </xf>
    <xf numFmtId="173" fontId="0" fillId="0" borderId="0" xfId="125" applyNumberFormat="1" applyFill="1" applyBorder="1" applyAlignment="1" applyProtection="1">
      <alignment vertical="center"/>
      <protection/>
    </xf>
    <xf numFmtId="173" fontId="0" fillId="0" borderId="0" xfId="125" applyNumberFormat="1" applyFont="1" applyFill="1" applyBorder="1" applyAlignment="1" applyProtection="1">
      <alignment vertical="center"/>
      <protection/>
    </xf>
    <xf numFmtId="173" fontId="0" fillId="0" borderId="0" xfId="125" applyNumberFormat="1" applyFill="1" applyBorder="1" applyAlignment="1" applyProtection="1">
      <alignment vertical="center"/>
      <protection locked="0"/>
    </xf>
    <xf numFmtId="173" fontId="45" fillId="0" borderId="0" xfId="125" applyNumberFormat="1" applyFont="1" applyFill="1" applyBorder="1" applyAlignment="1" applyProtection="1">
      <alignment/>
      <protection/>
    </xf>
    <xf numFmtId="176" fontId="2" fillId="2" borderId="0" xfId="0" applyNumberFormat="1" applyFont="1" applyFill="1" applyAlignment="1">
      <alignment/>
    </xf>
    <xf numFmtId="177" fontId="2" fillId="2" borderId="0" xfId="0" applyNumberFormat="1" applyFont="1" applyFill="1" applyAlignment="1">
      <alignment/>
    </xf>
    <xf numFmtId="0" fontId="2" fillId="2" borderId="0" xfId="0" applyFont="1" applyFill="1" applyAlignment="1">
      <alignment/>
    </xf>
    <xf numFmtId="173" fontId="48" fillId="0" borderId="18" xfId="0" applyNumberFormat="1" applyFont="1" applyBorder="1" applyAlignment="1" applyProtection="1">
      <alignment horizontal="left"/>
      <protection/>
    </xf>
    <xf numFmtId="176" fontId="48" fillId="10" borderId="19" xfId="0" applyNumberFormat="1" applyFont="1" applyFill="1" applyBorder="1" applyAlignment="1" applyProtection="1">
      <alignment horizontal="center"/>
      <protection locked="0"/>
    </xf>
    <xf numFmtId="175" fontId="40" fillId="0" borderId="20" xfId="0" applyNumberFormat="1" applyFont="1" applyBorder="1" applyAlignment="1" applyProtection="1">
      <alignment horizontal="left"/>
      <protection/>
    </xf>
    <xf numFmtId="179" fontId="40" fillId="3" borderId="19" xfId="0" applyNumberFormat="1" applyFont="1" applyFill="1" applyBorder="1" applyAlignment="1" applyProtection="1">
      <alignment/>
      <protection locked="0"/>
    </xf>
    <xf numFmtId="0" fontId="40" fillId="0" borderId="18" xfId="0" applyFont="1" applyBorder="1" applyAlignment="1" applyProtection="1">
      <alignment horizontal="left"/>
      <protection/>
    </xf>
    <xf numFmtId="175" fontId="40" fillId="0" borderId="21" xfId="0" applyNumberFormat="1" applyFont="1" applyBorder="1" applyAlignment="1" applyProtection="1">
      <alignment horizontal="left"/>
      <protection/>
    </xf>
    <xf numFmtId="179" fontId="40" fillId="0" borderId="14" xfId="0" applyNumberFormat="1" applyFont="1" applyFill="1" applyBorder="1" applyAlignment="1" applyProtection="1">
      <alignment/>
      <protection/>
    </xf>
    <xf numFmtId="175" fontId="40" fillId="0" borderId="22" xfId="0" applyNumberFormat="1" applyFont="1" applyBorder="1" applyAlignment="1" applyProtection="1">
      <alignment horizontal="left"/>
      <protection/>
    </xf>
    <xf numFmtId="179" fontId="40" fillId="0" borderId="23" xfId="0" applyNumberFormat="1" applyFont="1" applyFill="1" applyBorder="1" applyAlignment="1" applyProtection="1">
      <alignment/>
      <protection/>
    </xf>
    <xf numFmtId="9" fontId="2" fillId="0" borderId="0" xfId="103" applyFont="1" applyFill="1" applyBorder="1" applyAlignment="1" applyProtection="1">
      <alignment/>
      <protection/>
    </xf>
    <xf numFmtId="176" fontId="2" fillId="2" borderId="0" xfId="0" applyNumberFormat="1" applyFont="1" applyFill="1" applyAlignment="1" applyProtection="1">
      <alignment/>
      <protection/>
    </xf>
    <xf numFmtId="49" fontId="0" fillId="0" borderId="0" xfId="0" applyNumberFormat="1" applyAlignment="1" applyProtection="1">
      <alignment/>
      <protection/>
    </xf>
    <xf numFmtId="177" fontId="0" fillId="0" borderId="0" xfId="0" applyNumberFormat="1" applyAlignment="1" applyProtection="1">
      <alignment/>
      <protection/>
    </xf>
    <xf numFmtId="176" fontId="48" fillId="0" borderId="0" xfId="0" applyNumberFormat="1" applyFont="1" applyFill="1" applyBorder="1" applyAlignment="1">
      <alignment horizontal="center"/>
    </xf>
    <xf numFmtId="173" fontId="40" fillId="0" borderId="0" xfId="0" applyNumberFormat="1" applyFont="1" applyFill="1" applyBorder="1" applyAlignment="1">
      <alignment/>
    </xf>
    <xf numFmtId="173" fontId="49" fillId="0" borderId="24" xfId="0" applyNumberFormat="1" applyFont="1" applyFill="1" applyBorder="1" applyAlignment="1" applyProtection="1">
      <alignment vertical="center" wrapText="1"/>
      <protection/>
    </xf>
    <xf numFmtId="0" fontId="49" fillId="0" borderId="25" xfId="0" applyNumberFormat="1" applyFont="1" applyFill="1" applyBorder="1" applyAlignment="1" applyProtection="1">
      <alignment horizontal="center" vertical="center" wrapText="1"/>
      <protection/>
    </xf>
    <xf numFmtId="0" fontId="49" fillId="0" borderId="26" xfId="0" applyNumberFormat="1" applyFont="1" applyFill="1" applyBorder="1" applyAlignment="1" applyProtection="1">
      <alignment horizontal="center" vertical="center" wrapText="1"/>
      <protection/>
    </xf>
    <xf numFmtId="0" fontId="43" fillId="0" borderId="0" xfId="0" applyFont="1" applyFill="1" applyBorder="1" applyAlignment="1" applyProtection="1">
      <alignment horizontal="center"/>
      <protection/>
    </xf>
    <xf numFmtId="0" fontId="14"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center"/>
      <protection/>
    </xf>
    <xf numFmtId="0" fontId="50" fillId="0" borderId="0" xfId="0" applyFont="1" applyFill="1" applyBorder="1" applyAlignment="1">
      <alignment horizontal="center"/>
    </xf>
    <xf numFmtId="173" fontId="50" fillId="0" borderId="27" xfId="0" applyNumberFormat="1" applyFont="1" applyFill="1" applyBorder="1" applyAlignment="1" applyProtection="1">
      <alignment wrapText="1"/>
      <protection locked="0"/>
    </xf>
    <xf numFmtId="180" fontId="0" fillId="3" borderId="28" xfId="77" applyNumberFormat="1" applyFont="1" applyFill="1" applyBorder="1" applyAlignment="1" applyProtection="1">
      <alignment/>
      <protection locked="0"/>
    </xf>
    <xf numFmtId="180" fontId="0" fillId="3" borderId="29" xfId="77" applyNumberFormat="1" applyFont="1" applyFill="1" applyBorder="1" applyAlignment="1" applyProtection="1">
      <alignment/>
      <protection locked="0"/>
    </xf>
    <xf numFmtId="181" fontId="0" fillId="0" borderId="0" xfId="0" applyNumberFormat="1" applyFill="1" applyBorder="1" applyAlignment="1" applyProtection="1">
      <alignment/>
      <protection locked="0"/>
    </xf>
    <xf numFmtId="181"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73" fontId="50" fillId="0" borderId="27"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82"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1" fontId="0" fillId="3" borderId="28" xfId="77" applyNumberFormat="1" applyFont="1" applyFill="1" applyBorder="1" applyAlignment="1" applyProtection="1">
      <alignment/>
      <protection locked="0"/>
    </xf>
    <xf numFmtId="181" fontId="0" fillId="3" borderId="29" xfId="77" applyNumberFormat="1" applyFont="1" applyFill="1" applyBorder="1" applyAlignment="1" applyProtection="1">
      <alignment/>
      <protection locked="0"/>
    </xf>
    <xf numFmtId="179" fontId="0" fillId="0" borderId="0" xfId="0" applyNumberFormat="1" applyFill="1" applyBorder="1" applyAlignment="1" applyProtection="1">
      <alignment/>
      <protection locked="0"/>
    </xf>
    <xf numFmtId="49" fontId="50" fillId="0" borderId="27" xfId="0" applyNumberFormat="1" applyFont="1" applyFill="1" applyBorder="1" applyAlignment="1" applyProtection="1">
      <alignment/>
      <protection locked="0"/>
    </xf>
    <xf numFmtId="0" fontId="50" fillId="0" borderId="27" xfId="0" applyFont="1" applyFill="1" applyBorder="1" applyAlignment="1" applyProtection="1">
      <alignment wrapText="1"/>
      <protection locked="0"/>
    </xf>
    <xf numFmtId="173" fontId="0" fillId="0" borderId="30" xfId="0" applyNumberFormat="1" applyFont="1" applyBorder="1" applyAlignment="1" applyProtection="1">
      <alignment/>
      <protection/>
    </xf>
    <xf numFmtId="181" fontId="0" fillId="0" borderId="31" xfId="0" applyNumberFormat="1" applyBorder="1" applyAlignment="1" applyProtection="1">
      <alignment/>
      <protection/>
    </xf>
    <xf numFmtId="179" fontId="0" fillId="0" borderId="0" xfId="0" applyNumberFormat="1" applyFill="1" applyAlignment="1" applyProtection="1">
      <alignment/>
      <protection/>
    </xf>
    <xf numFmtId="179" fontId="0" fillId="0" borderId="0" xfId="0" applyNumberFormat="1" applyAlignment="1" applyProtection="1">
      <alignment/>
      <protection/>
    </xf>
    <xf numFmtId="179" fontId="2" fillId="2" borderId="0" xfId="0" applyNumberFormat="1" applyFont="1" applyFill="1" applyAlignment="1" applyProtection="1">
      <alignment/>
      <protection/>
    </xf>
    <xf numFmtId="179" fontId="14" fillId="0" borderId="0" xfId="0" applyNumberFormat="1" applyFont="1" applyAlignment="1" applyProtection="1">
      <alignment horizontal="right"/>
      <protection/>
    </xf>
    <xf numFmtId="0" fontId="52" fillId="0" borderId="0" xfId="0" applyFont="1" applyFill="1" applyBorder="1" applyAlignment="1" applyProtection="1">
      <alignment horizontal="center" vertical="center"/>
      <protection/>
    </xf>
    <xf numFmtId="175" fontId="53" fillId="0" borderId="0" xfId="0" applyNumberFormat="1" applyFont="1" applyFill="1" applyBorder="1" applyAlignment="1" applyProtection="1">
      <alignment horizontal="center" vertical="center" wrapText="1"/>
      <protection/>
    </xf>
    <xf numFmtId="175" fontId="53" fillId="0"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protection/>
    </xf>
    <xf numFmtId="0" fontId="14" fillId="0" borderId="0" xfId="0" applyFont="1" applyFill="1" applyBorder="1" applyAlignment="1" applyProtection="1">
      <alignment/>
      <protection locked="0"/>
    </xf>
    <xf numFmtId="177" fontId="2" fillId="0" borderId="0" xfId="0" applyNumberFormat="1" applyFont="1" applyFill="1" applyBorder="1" applyAlignment="1" applyProtection="1">
      <alignment/>
      <protection/>
    </xf>
    <xf numFmtId="177" fontId="14" fillId="0" borderId="0" xfId="77" applyNumberFormat="1" applyFont="1" applyFill="1" applyBorder="1" applyAlignment="1" applyProtection="1">
      <alignment/>
      <protection locked="0"/>
    </xf>
    <xf numFmtId="184" fontId="14" fillId="0" borderId="0" xfId="103" applyNumberFormat="1" applyFont="1" applyFill="1" applyBorder="1" applyAlignment="1" applyProtection="1">
      <alignment horizontal="center"/>
      <protection/>
    </xf>
    <xf numFmtId="175" fontId="14" fillId="0" borderId="0" xfId="0" applyNumberFormat="1" applyFont="1" applyFill="1" applyBorder="1" applyAlignment="1" applyProtection="1">
      <alignment horizontal="center"/>
      <protection/>
    </xf>
    <xf numFmtId="184" fontId="14" fillId="0" borderId="0" xfId="103" applyNumberFormat="1" applyFont="1" applyFill="1" applyBorder="1" applyAlignment="1" applyProtection="1">
      <alignment horizontal="center"/>
      <protection locked="0"/>
    </xf>
    <xf numFmtId="0" fontId="55" fillId="0" borderId="0" xfId="0" applyFont="1" applyFill="1" applyBorder="1" applyAlignment="1" applyProtection="1">
      <alignment horizontal="left"/>
      <protection locked="0"/>
    </xf>
    <xf numFmtId="0" fontId="14" fillId="0" borderId="0" xfId="0" applyFont="1" applyFill="1" applyBorder="1" applyAlignment="1" applyProtection="1">
      <alignment/>
      <protection/>
    </xf>
    <xf numFmtId="175" fontId="50" fillId="0" borderId="32" xfId="0" applyNumberFormat="1" applyFont="1" applyFill="1" applyBorder="1" applyAlignment="1" applyProtection="1">
      <alignment/>
      <protection/>
    </xf>
    <xf numFmtId="173" fontId="50" fillId="0" borderId="14" xfId="0" applyNumberFormat="1" applyFont="1" applyFill="1" applyBorder="1" applyAlignment="1" applyProtection="1">
      <alignment horizontal="center"/>
      <protection/>
    </xf>
    <xf numFmtId="173" fontId="50" fillId="0" borderId="33" xfId="0" applyNumberFormat="1" applyFont="1" applyFill="1" applyBorder="1" applyAlignment="1" applyProtection="1">
      <alignment horizontal="center"/>
      <protection/>
    </xf>
    <xf numFmtId="173" fontId="50" fillId="0" borderId="32" xfId="0" applyNumberFormat="1" applyFont="1" applyFill="1" applyBorder="1" applyAlignment="1" applyProtection="1">
      <alignment/>
      <protection/>
    </xf>
    <xf numFmtId="1" fontId="0" fillId="3" borderId="14" xfId="0" applyNumberFormat="1" applyFill="1" applyBorder="1" applyAlignment="1" applyProtection="1">
      <alignment horizontal="center"/>
      <protection locked="0"/>
    </xf>
    <xf numFmtId="1" fontId="0" fillId="3" borderId="33" xfId="0" applyNumberFormat="1" applyFill="1" applyBorder="1" applyAlignment="1" applyProtection="1">
      <alignment horizontal="center"/>
      <protection locked="0"/>
    </xf>
    <xf numFmtId="173" fontId="50" fillId="0" borderId="34" xfId="0" applyNumberFormat="1" applyFont="1" applyFill="1" applyBorder="1" applyAlignment="1" applyProtection="1">
      <alignment/>
      <protection/>
    </xf>
    <xf numFmtId="173" fontId="50" fillId="0" borderId="35" xfId="0" applyNumberFormat="1" applyFont="1" applyFill="1" applyBorder="1" applyAlignment="1" applyProtection="1">
      <alignment/>
      <protection/>
    </xf>
    <xf numFmtId="1" fontId="0" fillId="3" borderId="23" xfId="0" applyNumberFormat="1" applyFill="1" applyBorder="1" applyAlignment="1" applyProtection="1">
      <alignment horizontal="center"/>
      <protection locked="0"/>
    </xf>
    <xf numFmtId="1" fontId="0" fillId="3" borderId="36" xfId="0" applyNumberFormat="1" applyFill="1" applyBorder="1" applyAlignment="1" applyProtection="1">
      <alignment horizontal="center"/>
      <protection locked="0"/>
    </xf>
    <xf numFmtId="0" fontId="0" fillId="0" borderId="37" xfId="0" applyBorder="1" applyAlignment="1" applyProtection="1">
      <alignment/>
      <protection/>
    </xf>
    <xf numFmtId="173" fontId="56" fillId="0" borderId="37" xfId="125" applyNumberFormat="1" applyFont="1" applyFill="1" applyBorder="1" applyAlignment="1" applyProtection="1">
      <alignment/>
      <protection/>
    </xf>
    <xf numFmtId="173" fontId="47" fillId="0" borderId="37" xfId="125" applyNumberFormat="1" applyFont="1" applyFill="1" applyBorder="1" applyAlignment="1" applyProtection="1">
      <alignment vertical="center"/>
      <protection/>
    </xf>
    <xf numFmtId="173" fontId="57" fillId="0" borderId="37" xfId="125" applyNumberFormat="1" applyFont="1" applyFill="1" applyBorder="1" applyAlignment="1" applyProtection="1">
      <alignment vertical="center"/>
      <protection/>
    </xf>
    <xf numFmtId="173" fontId="47" fillId="0" borderId="37" xfId="125" applyNumberFormat="1" applyFont="1" applyFill="1" applyBorder="1" applyAlignment="1" applyProtection="1">
      <alignment horizontal="center" vertical="center"/>
      <protection/>
    </xf>
    <xf numFmtId="173" fontId="47" fillId="13" borderId="38" xfId="125" applyNumberFormat="1" applyFont="1" applyFill="1" applyBorder="1" applyAlignment="1" applyProtection="1">
      <alignment horizontal="center" vertical="center"/>
      <protection/>
    </xf>
    <xf numFmtId="173" fontId="47" fillId="0" borderId="39" xfId="125" applyNumberFormat="1" applyFont="1" applyFill="1" applyBorder="1" applyAlignment="1" applyProtection="1">
      <alignment vertical="center"/>
      <protection/>
    </xf>
    <xf numFmtId="173" fontId="47" fillId="0" borderId="0" xfId="125" applyNumberFormat="1" applyFont="1" applyFill="1" applyBorder="1" applyAlignment="1" applyProtection="1">
      <alignment horizontal="center" vertical="center"/>
      <protection locked="0"/>
    </xf>
    <xf numFmtId="173" fontId="56" fillId="0" borderId="0" xfId="125" applyNumberFormat="1" applyFont="1" applyFill="1" applyBorder="1" applyAlignment="1" applyProtection="1">
      <alignment/>
      <protection/>
    </xf>
    <xf numFmtId="173" fontId="47" fillId="0" borderId="0" xfId="125" applyNumberFormat="1" applyFont="1" applyFill="1" applyBorder="1" applyAlignment="1" applyProtection="1">
      <alignment vertical="center"/>
      <protection/>
    </xf>
    <xf numFmtId="173" fontId="58" fillId="0" borderId="0" xfId="125" applyNumberFormat="1" applyFont="1" applyFill="1" applyBorder="1" applyAlignment="1" applyProtection="1">
      <alignment vertical="center"/>
      <protection/>
    </xf>
    <xf numFmtId="0" fontId="0" fillId="0" borderId="0" xfId="0" applyBorder="1" applyAlignment="1" applyProtection="1">
      <alignment/>
      <protection/>
    </xf>
    <xf numFmtId="0" fontId="18" fillId="0" borderId="0" xfId="0" applyFont="1" applyBorder="1" applyAlignment="1" applyProtection="1">
      <alignment horizontal="center"/>
      <protection/>
    </xf>
    <xf numFmtId="173" fontId="18" fillId="0" borderId="40" xfId="0" applyNumberFormat="1" applyFont="1" applyBorder="1" applyAlignment="1" applyProtection="1">
      <alignment horizontal="center"/>
      <protection/>
    </xf>
    <xf numFmtId="173" fontId="18" fillId="0" borderId="40" xfId="0" applyNumberFormat="1" applyFont="1" applyBorder="1" applyAlignment="1" applyProtection="1">
      <alignment horizontal="center" wrapText="1"/>
      <protection/>
    </xf>
    <xf numFmtId="173" fontId="18" fillId="0" borderId="41" xfId="0" applyNumberFormat="1" applyFont="1" applyBorder="1" applyAlignment="1" applyProtection="1">
      <alignment horizontal="center"/>
      <protection/>
    </xf>
    <xf numFmtId="0" fontId="0" fillId="0" borderId="0" xfId="0" applyFont="1" applyFill="1" applyBorder="1" applyAlignment="1" applyProtection="1">
      <alignment horizontal="center"/>
      <protection/>
    </xf>
    <xf numFmtId="0" fontId="47" fillId="0" borderId="0" xfId="0" applyFont="1" applyFill="1" applyBorder="1" applyAlignment="1" applyProtection="1">
      <alignment horizontal="center" vertical="center"/>
      <protection/>
    </xf>
    <xf numFmtId="173" fontId="0" fillId="0" borderId="42" xfId="0" applyNumberFormat="1" applyFont="1" applyBorder="1" applyAlignment="1" applyProtection="1">
      <alignment horizontal="left"/>
      <protection/>
    </xf>
    <xf numFmtId="1" fontId="54" fillId="13" borderId="14" xfId="0" applyNumberFormat="1" applyFont="1" applyFill="1" applyBorder="1" applyAlignment="1" applyProtection="1">
      <alignment horizontal="center"/>
      <protection locked="0"/>
    </xf>
    <xf numFmtId="1" fontId="54" fillId="2" borderId="43"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73" fontId="0" fillId="0" borderId="44" xfId="0" applyNumberFormat="1" applyFont="1" applyBorder="1" applyAlignment="1" applyProtection="1">
      <alignment horizontal="left"/>
      <protection/>
    </xf>
    <xf numFmtId="1" fontId="54" fillId="13" borderId="45" xfId="0" applyNumberFormat="1" applyFont="1" applyFill="1" applyBorder="1" applyAlignment="1" applyProtection="1">
      <alignment horizontal="center"/>
      <protection locked="0"/>
    </xf>
    <xf numFmtId="1" fontId="54" fillId="2" borderId="46" xfId="0" applyNumberFormat="1" applyFont="1" applyFill="1" applyBorder="1" applyAlignment="1" applyProtection="1">
      <alignment horizontal="center"/>
      <protection/>
    </xf>
    <xf numFmtId="0" fontId="0" fillId="0" borderId="47" xfId="0" applyBorder="1" applyAlignment="1" applyProtection="1">
      <alignment/>
      <protection/>
    </xf>
    <xf numFmtId="173" fontId="0" fillId="0" borderId="40" xfId="0" applyNumberFormat="1" applyFont="1" applyBorder="1" applyAlignment="1" applyProtection="1">
      <alignment horizontal="center"/>
      <protection/>
    </xf>
    <xf numFmtId="173" fontId="0" fillId="0" borderId="41" xfId="0" applyNumberFormat="1" applyFont="1" applyBorder="1" applyAlignment="1" applyProtection="1">
      <alignment horizontal="center"/>
      <protection/>
    </xf>
    <xf numFmtId="0" fontId="0" fillId="13" borderId="45" xfId="0" applyNumberFormat="1" applyFill="1" applyBorder="1" applyAlignment="1" applyProtection="1">
      <alignment horizontal="center"/>
      <protection locked="0"/>
    </xf>
    <xf numFmtId="0" fontId="0" fillId="0" borderId="46" xfId="0" applyNumberFormat="1" applyFill="1" applyBorder="1" applyAlignment="1" applyProtection="1">
      <alignment horizontal="center"/>
      <protection/>
    </xf>
    <xf numFmtId="0" fontId="43" fillId="0" borderId="0" xfId="0" applyFont="1" applyFill="1" applyBorder="1" applyAlignment="1" applyProtection="1">
      <alignment horizontal="right"/>
      <protection/>
    </xf>
    <xf numFmtId="175" fontId="0" fillId="0" borderId="0" xfId="0" applyNumberFormat="1" applyFont="1" applyFill="1" applyBorder="1" applyAlignment="1" applyProtection="1">
      <alignment horizontal="left"/>
      <protection/>
    </xf>
    <xf numFmtId="173" fontId="0" fillId="0" borderId="41" xfId="0" applyNumberFormat="1" applyFont="1" applyBorder="1" applyAlignment="1" applyProtection="1">
      <alignment horizontal="center" wrapText="1"/>
      <protection/>
    </xf>
    <xf numFmtId="0" fontId="0" fillId="13" borderId="46" xfId="0" applyNumberFormat="1" applyFill="1" applyBorder="1" applyAlignment="1" applyProtection="1">
      <alignment horizontal="center"/>
      <protection locked="0"/>
    </xf>
    <xf numFmtId="175" fontId="0" fillId="0" borderId="0" xfId="0" applyNumberFormat="1" applyFill="1" applyBorder="1" applyAlignment="1" applyProtection="1">
      <alignment horizontal="center"/>
      <protection locked="0"/>
    </xf>
    <xf numFmtId="173" fontId="48" fillId="0" borderId="40" xfId="0" applyNumberFormat="1" applyFont="1" applyBorder="1" applyAlignment="1" applyProtection="1">
      <alignment horizontal="center"/>
      <protection/>
    </xf>
    <xf numFmtId="173" fontId="48" fillId="0" borderId="41" xfId="0" applyNumberFormat="1" applyFont="1" applyBorder="1" applyAlignment="1" applyProtection="1">
      <alignment horizontal="center"/>
      <protection/>
    </xf>
    <xf numFmtId="1" fontId="0" fillId="13" borderId="14" xfId="0" applyNumberFormat="1" applyFill="1" applyBorder="1" applyAlignment="1" applyProtection="1">
      <alignment horizontal="center"/>
      <protection locked="0"/>
    </xf>
    <xf numFmtId="1" fontId="0" fillId="0" borderId="43" xfId="0" applyNumberFormat="1" applyFill="1" applyBorder="1" applyAlignment="1" applyProtection="1">
      <alignment horizontal="center"/>
      <protection/>
    </xf>
    <xf numFmtId="1" fontId="0" fillId="13" borderId="45" xfId="0" applyNumberFormat="1" applyFill="1" applyBorder="1" applyAlignment="1" applyProtection="1">
      <alignment horizontal="center"/>
      <protection locked="0"/>
    </xf>
    <xf numFmtId="0" fontId="0" fillId="0" borderId="48" xfId="0" applyBorder="1" applyAlignment="1" applyProtection="1">
      <alignment/>
      <protection/>
    </xf>
    <xf numFmtId="176" fontId="48" fillId="10" borderId="49" xfId="0" applyNumberFormat="1" applyFont="1" applyFill="1" applyBorder="1" applyAlignment="1" applyProtection="1">
      <alignment horizontal="center"/>
      <protection locked="0"/>
    </xf>
    <xf numFmtId="176" fontId="48" fillId="10" borderId="50" xfId="0" applyNumberFormat="1" applyFont="1" applyFill="1" applyBorder="1" applyAlignment="1" applyProtection="1">
      <alignment horizontal="center"/>
      <protection locked="0"/>
    </xf>
    <xf numFmtId="176" fontId="0" fillId="0" borderId="51" xfId="0" applyNumberFormat="1" applyFont="1" applyFill="1" applyBorder="1" applyAlignment="1" applyProtection="1">
      <alignment horizontal="left"/>
      <protection/>
    </xf>
    <xf numFmtId="179" fontId="0" fillId="13" borderId="52" xfId="0" applyNumberFormat="1" applyFill="1" applyBorder="1" applyAlignment="1" applyProtection="1">
      <alignment horizontal="right" wrapText="1"/>
      <protection/>
    </xf>
    <xf numFmtId="179" fontId="0" fillId="13" borderId="14" xfId="0" applyNumberFormat="1" applyFill="1" applyBorder="1" applyAlignment="1" applyProtection="1">
      <alignment horizontal="right" wrapText="1"/>
      <protection locked="0"/>
    </xf>
    <xf numFmtId="176" fontId="0" fillId="0" borderId="53" xfId="0" applyNumberFormat="1" applyFont="1" applyBorder="1" applyAlignment="1" applyProtection="1">
      <alignment horizontal="left"/>
      <protection/>
    </xf>
    <xf numFmtId="179" fontId="0" fillId="0" borderId="52" xfId="0" applyNumberFormat="1" applyBorder="1" applyAlignment="1" applyProtection="1">
      <alignment horizontal="right" wrapText="1"/>
      <protection/>
    </xf>
    <xf numFmtId="179" fontId="0" fillId="0" borderId="14" xfId="0" applyNumberFormat="1" applyBorder="1" applyAlignment="1" applyProtection="1">
      <alignment horizontal="right" wrapText="1"/>
      <protection/>
    </xf>
    <xf numFmtId="176" fontId="0" fillId="0" borderId="34" xfId="0" applyNumberFormat="1" applyFont="1" applyBorder="1" applyAlignment="1" applyProtection="1">
      <alignment horizontal="left" wrapText="1"/>
      <protection/>
    </xf>
    <xf numFmtId="179" fontId="0" fillId="0" borderId="52" xfId="77"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173" fontId="0" fillId="0" borderId="0" xfId="77" applyFont="1" applyFill="1" applyBorder="1" applyAlignment="1" applyProtection="1">
      <alignment/>
      <protection/>
    </xf>
    <xf numFmtId="173" fontId="0" fillId="0" borderId="0" xfId="0" applyNumberFormat="1" applyFill="1" applyBorder="1" applyAlignment="1" applyProtection="1">
      <alignment/>
      <protection/>
    </xf>
    <xf numFmtId="176" fontId="0" fillId="0" borderId="0" xfId="0" applyNumberFormat="1" applyFont="1" applyBorder="1" applyAlignment="1" applyProtection="1">
      <alignment/>
      <protection/>
    </xf>
    <xf numFmtId="0" fontId="0" fillId="0" borderId="0" xfId="0" applyNumberFormat="1" applyFill="1" applyBorder="1" applyAlignment="1" applyProtection="1">
      <alignment/>
      <protection/>
    </xf>
    <xf numFmtId="173" fontId="59" fillId="0" borderId="54" xfId="125" applyNumberFormat="1" applyFont="1" applyFill="1" applyBorder="1" applyAlignment="1" applyProtection="1">
      <alignment/>
      <protection/>
    </xf>
    <xf numFmtId="173" fontId="60" fillId="0" borderId="54" xfId="125" applyNumberFormat="1" applyFont="1" applyFill="1" applyBorder="1" applyAlignment="1" applyProtection="1">
      <alignment/>
      <protection/>
    </xf>
    <xf numFmtId="173" fontId="47" fillId="0" borderId="54" xfId="125" applyNumberFormat="1" applyFont="1" applyFill="1" applyBorder="1" applyAlignment="1" applyProtection="1">
      <alignment vertical="center"/>
      <protection/>
    </xf>
    <xf numFmtId="173" fontId="61" fillId="0" borderId="54" xfId="125" applyNumberFormat="1" applyFont="1" applyFill="1" applyBorder="1" applyAlignment="1" applyProtection="1">
      <alignment vertical="center"/>
      <protection/>
    </xf>
    <xf numFmtId="173" fontId="5" fillId="0" borderId="54" xfId="125" applyNumberFormat="1" applyFont="1" applyFill="1" applyBorder="1" applyAlignment="1" applyProtection="1">
      <alignment vertical="center"/>
      <protection/>
    </xf>
    <xf numFmtId="0" fontId="0" fillId="0" borderId="54" xfId="0" applyFill="1" applyBorder="1" applyAlignment="1" applyProtection="1">
      <alignment/>
      <protection/>
    </xf>
    <xf numFmtId="173" fontId="60" fillId="0" borderId="54" xfId="125" applyNumberFormat="1" applyFont="1" applyFill="1" applyBorder="1" applyAlignment="1" applyProtection="1">
      <alignment vertical="center"/>
      <protection/>
    </xf>
    <xf numFmtId="0" fontId="0" fillId="0" borderId="54" xfId="0" applyBorder="1" applyAlignment="1" applyProtection="1">
      <alignment/>
      <protection/>
    </xf>
    <xf numFmtId="0" fontId="0" fillId="0" borderId="54" xfId="0" applyBorder="1" applyAlignment="1">
      <alignment/>
    </xf>
    <xf numFmtId="173" fontId="62" fillId="0" borderId="55" xfId="0" applyNumberFormat="1" applyFont="1" applyFill="1" applyBorder="1" applyAlignment="1" applyProtection="1">
      <alignment horizontal="center" vertical="center"/>
      <protection/>
    </xf>
    <xf numFmtId="173" fontId="62" fillId="0" borderId="56" xfId="0" applyNumberFormat="1" applyFont="1" applyFill="1" applyBorder="1" applyAlignment="1" applyProtection="1">
      <alignment horizontal="center" vertical="center" wrapText="1"/>
      <protection/>
    </xf>
    <xf numFmtId="0" fontId="1" fillId="0" borderId="57" xfId="0" applyFont="1" applyFill="1" applyBorder="1" applyAlignment="1" applyProtection="1">
      <alignment horizontal="center"/>
      <protection/>
    </xf>
    <xf numFmtId="176" fontId="18" fillId="10" borderId="58" xfId="0" applyNumberFormat="1" applyFont="1" applyFill="1" applyBorder="1" applyAlignment="1" applyProtection="1">
      <alignment horizontal="center"/>
      <protection locked="0"/>
    </xf>
    <xf numFmtId="173" fontId="62" fillId="0" borderId="59" xfId="0" applyNumberFormat="1" applyFont="1" applyFill="1" applyBorder="1" applyAlignment="1" applyProtection="1">
      <alignment horizontal="center" vertical="center"/>
      <protection/>
    </xf>
    <xf numFmtId="0" fontId="62" fillId="0" borderId="60" xfId="0" applyFont="1" applyFill="1" applyBorder="1" applyAlignment="1" applyProtection="1">
      <alignment horizontal="center" vertical="center"/>
      <protection/>
    </xf>
    <xf numFmtId="173" fontId="62" fillId="0" borderId="61" xfId="0" applyNumberFormat="1" applyFont="1" applyFill="1" applyBorder="1" applyAlignment="1" applyProtection="1">
      <alignment horizontal="center" vertical="center"/>
      <protection/>
    </xf>
    <xf numFmtId="173" fontId="62" fillId="0" borderId="62" xfId="0" applyNumberFormat="1" applyFont="1" applyFill="1" applyBorder="1" applyAlignment="1" applyProtection="1">
      <alignment horizontal="center" vertical="center" wrapText="1"/>
      <protection/>
    </xf>
    <xf numFmtId="0" fontId="1" fillId="0" borderId="63" xfId="0" applyFont="1" applyFill="1" applyBorder="1" applyAlignment="1" applyProtection="1">
      <alignment horizontal="center"/>
      <protection/>
    </xf>
    <xf numFmtId="179" fontId="1" fillId="12" borderId="52" xfId="0" applyNumberFormat="1" applyFont="1" applyFill="1" applyBorder="1" applyAlignment="1" applyProtection="1">
      <alignment horizontal="center" vertical="center" wrapText="1"/>
      <protection/>
    </xf>
    <xf numFmtId="186" fontId="1" fillId="12" borderId="52" xfId="0" applyNumberFormat="1" applyFont="1" applyFill="1" applyBorder="1" applyAlignment="1" applyProtection="1">
      <alignment horizontal="center" vertical="center" wrapText="1"/>
      <protection/>
    </xf>
    <xf numFmtId="0" fontId="38" fillId="0" borderId="0" xfId="0" applyFont="1" applyAlignment="1" applyProtection="1">
      <alignment/>
      <protection/>
    </xf>
    <xf numFmtId="49" fontId="0" fillId="0" borderId="0" xfId="0" applyNumberFormat="1" applyFont="1" applyAlignment="1" applyProtection="1">
      <alignment/>
      <protection/>
    </xf>
    <xf numFmtId="49" fontId="62" fillId="0" borderId="55" xfId="0" applyNumberFormat="1" applyFont="1" applyFill="1" applyBorder="1" applyAlignment="1" applyProtection="1">
      <alignment horizontal="center" vertical="center"/>
      <protection/>
    </xf>
    <xf numFmtId="49" fontId="62" fillId="0" borderId="56" xfId="0" applyNumberFormat="1" applyFont="1" applyFill="1" applyBorder="1" applyAlignment="1" applyProtection="1">
      <alignment horizontal="center" vertical="center" wrapText="1"/>
      <protection/>
    </xf>
    <xf numFmtId="49" fontId="1" fillId="2" borderId="64" xfId="0" applyNumberFormat="1" applyFont="1" applyFill="1" applyBorder="1" applyAlignment="1" applyProtection="1">
      <alignment/>
      <protection/>
    </xf>
    <xf numFmtId="179" fontId="1" fillId="0" borderId="52" xfId="0" applyNumberFormat="1" applyFont="1" applyFill="1" applyBorder="1" applyAlignment="1" applyProtection="1">
      <alignment vertical="center"/>
      <protection/>
    </xf>
    <xf numFmtId="179" fontId="1" fillId="0" borderId="14" xfId="0" applyNumberFormat="1" applyFont="1" applyFill="1" applyBorder="1" applyAlignment="1" applyProtection="1">
      <alignment vertical="center"/>
      <protection/>
    </xf>
    <xf numFmtId="49" fontId="1" fillId="2" borderId="11" xfId="0" applyNumberFormat="1" applyFont="1" applyFill="1" applyBorder="1" applyAlignment="1" applyProtection="1">
      <alignment/>
      <protection/>
    </xf>
    <xf numFmtId="49" fontId="1" fillId="27" borderId="14" xfId="0" applyNumberFormat="1" applyFont="1" applyFill="1" applyBorder="1" applyAlignment="1" applyProtection="1">
      <alignment/>
      <protection/>
    </xf>
    <xf numFmtId="179" fontId="1" fillId="27" borderId="14" xfId="0" applyNumberFormat="1" applyFont="1" applyFill="1" applyBorder="1" applyAlignment="1" applyProtection="1">
      <alignment vertical="center"/>
      <protection/>
    </xf>
    <xf numFmtId="49" fontId="1" fillId="2" borderId="65" xfId="0" applyNumberFormat="1" applyFont="1" applyFill="1" applyBorder="1" applyAlignment="1" applyProtection="1">
      <alignment/>
      <protection/>
    </xf>
    <xf numFmtId="179" fontId="1" fillId="0" borderId="66" xfId="0" applyNumberFormat="1" applyFont="1" applyFill="1" applyBorder="1" applyAlignment="1" applyProtection="1">
      <alignment vertical="center"/>
      <protection/>
    </xf>
    <xf numFmtId="173" fontId="64" fillId="0" borderId="0" xfId="83" applyFont="1" applyFill="1" applyAlignment="1" applyProtection="1">
      <alignment vertical="center"/>
      <protection/>
    </xf>
    <xf numFmtId="0" fontId="54" fillId="0" borderId="0" xfId="0" applyFont="1" applyAlignment="1" applyProtection="1">
      <alignment/>
      <protection/>
    </xf>
    <xf numFmtId="173" fontId="65" fillId="0" borderId="0" xfId="95" applyFont="1" applyFill="1" applyAlignment="1" applyProtection="1">
      <alignment horizontal="right" vertical="center"/>
      <protection/>
    </xf>
    <xf numFmtId="0" fontId="2" fillId="0" borderId="0" xfId="0" applyFont="1" applyFill="1" applyBorder="1" applyAlignment="1" applyProtection="1">
      <alignment horizontal="center"/>
      <protection/>
    </xf>
    <xf numFmtId="0" fontId="66" fillId="0" borderId="0" xfId="0" applyFont="1" applyFill="1" applyBorder="1" applyAlignment="1" applyProtection="1">
      <alignment horizontal="left"/>
      <protection/>
    </xf>
    <xf numFmtId="0" fontId="67" fillId="0" borderId="0" xfId="0" applyFont="1" applyFill="1" applyAlignment="1" applyProtection="1">
      <alignment/>
      <protection/>
    </xf>
    <xf numFmtId="0" fontId="2" fillId="0" borderId="0" xfId="0" applyFont="1" applyAlignment="1" applyProtection="1">
      <alignment/>
      <protection/>
    </xf>
    <xf numFmtId="173" fontId="68" fillId="0" borderId="0" xfId="95" applyFont="1" applyFill="1" applyAlignment="1" applyProtection="1">
      <alignment/>
      <protection/>
    </xf>
    <xf numFmtId="173" fontId="68" fillId="0" borderId="0" xfId="95" applyFont="1" applyFill="1" applyAlignment="1" applyProtection="1">
      <alignment horizontal="center"/>
      <protection/>
    </xf>
    <xf numFmtId="173" fontId="68" fillId="0" borderId="0" xfId="95" applyFont="1" applyFill="1" applyAlignment="1" applyProtection="1">
      <alignment horizontal="right"/>
      <protection/>
    </xf>
    <xf numFmtId="173" fontId="68" fillId="0" borderId="0" xfId="95" applyFont="1" applyFill="1" applyBorder="1" applyAlignment="1" applyProtection="1">
      <alignment horizontal="center"/>
      <protection/>
    </xf>
    <xf numFmtId="173" fontId="0" fillId="0" borderId="0" xfId="94" applyProtection="1">
      <alignment/>
      <protection/>
    </xf>
    <xf numFmtId="0" fontId="2" fillId="0" borderId="0" xfId="0" applyFont="1" applyAlignment="1" applyProtection="1">
      <alignment horizontal="left" indent="1"/>
      <protection/>
    </xf>
    <xf numFmtId="0" fontId="26" fillId="0" borderId="0" xfId="0" applyFont="1" applyAlignment="1" applyProtection="1">
      <alignment horizontal="left" indent="1"/>
      <protection/>
    </xf>
    <xf numFmtId="173" fontId="0" fillId="0" borderId="67" xfId="119" applyNumberFormat="1" applyFont="1" applyFill="1" applyBorder="1" applyAlignment="1" applyProtection="1">
      <alignment horizontal="right"/>
      <protection/>
    </xf>
    <xf numFmtId="189" fontId="38" fillId="13" borderId="67" xfId="119" applyNumberFormat="1" applyFont="1" applyFill="1" applyBorder="1" applyAlignment="1" applyProtection="1">
      <alignment horizontal="center" vertical="center"/>
      <protection/>
    </xf>
    <xf numFmtId="173" fontId="65" fillId="0" borderId="67" xfId="119" applyNumberFormat="1" applyFont="1" applyFill="1" applyBorder="1" applyAlignment="1" applyProtection="1">
      <alignment horizontal="right"/>
      <protection/>
    </xf>
    <xf numFmtId="173" fontId="38" fillId="13" borderId="67" xfId="119" applyNumberFormat="1" applyFont="1" applyFill="1" applyBorder="1" applyAlignment="1" applyProtection="1">
      <alignment horizontal="center" vertical="center"/>
      <protection/>
    </xf>
    <xf numFmtId="175" fontId="38" fillId="13" borderId="67" xfId="119" applyNumberFormat="1" applyFont="1" applyFill="1" applyBorder="1" applyAlignment="1" applyProtection="1">
      <alignment horizontal="center" vertical="center"/>
      <protection/>
    </xf>
    <xf numFmtId="173" fontId="2" fillId="0" borderId="0" xfId="94" applyFont="1" applyProtection="1">
      <alignment/>
      <protection/>
    </xf>
    <xf numFmtId="191" fontId="38" fillId="13" borderId="67" xfId="119" applyNumberFormat="1" applyFont="1" applyFill="1" applyBorder="1" applyAlignment="1" applyProtection="1">
      <alignment horizontal="center"/>
      <protection/>
    </xf>
    <xf numFmtId="179" fontId="38" fillId="13" borderId="67" xfId="119" applyNumberFormat="1" applyFont="1" applyFill="1" applyBorder="1" applyAlignment="1" applyProtection="1">
      <alignment horizontal="center"/>
      <protection/>
    </xf>
    <xf numFmtId="173" fontId="38" fillId="13" borderId="67" xfId="119" applyNumberFormat="1" applyFont="1" applyFill="1" applyBorder="1" applyAlignment="1" applyProtection="1">
      <alignment horizontal="center"/>
      <protection/>
    </xf>
    <xf numFmtId="0" fontId="2" fillId="0" borderId="0" xfId="0" applyFont="1" applyFill="1" applyBorder="1" applyAlignment="1" applyProtection="1">
      <alignment/>
      <protection/>
    </xf>
    <xf numFmtId="175" fontId="38" fillId="13" borderId="67" xfId="119" applyNumberFormat="1" applyFont="1" applyFill="1" applyBorder="1" applyAlignment="1" applyProtection="1">
      <alignment horizontal="center"/>
      <protection/>
    </xf>
    <xf numFmtId="0" fontId="70" fillId="0" borderId="0" xfId="0" applyFont="1" applyFill="1" applyBorder="1" applyAlignment="1" applyProtection="1">
      <alignment/>
      <protection/>
    </xf>
    <xf numFmtId="0" fontId="26" fillId="0" borderId="0" xfId="94" applyNumberFormat="1" applyFont="1" applyBorder="1" applyProtection="1">
      <alignment/>
      <protection/>
    </xf>
    <xf numFmtId="173" fontId="71" fillId="0" borderId="0" xfId="94" applyFont="1" applyProtection="1">
      <alignment/>
      <protection/>
    </xf>
    <xf numFmtId="173" fontId="2" fillId="0" borderId="0" xfId="96" applyFont="1" applyProtection="1">
      <alignment/>
      <protection/>
    </xf>
    <xf numFmtId="173" fontId="71" fillId="0" borderId="0" xfId="96" applyFont="1" applyProtection="1">
      <alignment/>
      <protection/>
    </xf>
    <xf numFmtId="173" fontId="23" fillId="0" borderId="0" xfId="83" applyFont="1" applyFill="1" applyAlignment="1">
      <alignment vertical="center"/>
      <protection/>
    </xf>
    <xf numFmtId="173" fontId="40" fillId="0" borderId="0" xfId="0" applyNumberFormat="1" applyFont="1" applyAlignment="1" applyProtection="1">
      <alignment horizontal="right"/>
      <protection/>
    </xf>
    <xf numFmtId="173" fontId="40" fillId="0" borderId="0" xfId="0" applyNumberFormat="1" applyFont="1" applyBorder="1" applyAlignment="1" applyProtection="1">
      <alignment horizontal="right"/>
      <protection/>
    </xf>
    <xf numFmtId="0" fontId="40" fillId="0" borderId="0" xfId="0" applyNumberFormat="1" applyFont="1" applyAlignment="1" applyProtection="1">
      <alignment horizontal="center"/>
      <protection/>
    </xf>
    <xf numFmtId="0" fontId="70" fillId="0" borderId="0" xfId="0" applyFont="1" applyAlignment="1">
      <alignment/>
    </xf>
    <xf numFmtId="175" fontId="40" fillId="0" borderId="0" xfId="0" applyNumberFormat="1" applyFont="1" applyAlignment="1" applyProtection="1">
      <alignment horizontal="center"/>
      <protection/>
    </xf>
    <xf numFmtId="173" fontId="40" fillId="0" borderId="0" xfId="0" applyNumberFormat="1" applyFont="1" applyAlignment="1" applyProtection="1">
      <alignment/>
      <protection/>
    </xf>
    <xf numFmtId="177" fontId="40" fillId="0" borderId="0" xfId="77" applyNumberFormat="1" applyFont="1" applyFill="1" applyBorder="1" applyAlignment="1" applyProtection="1">
      <alignment horizontal="left"/>
      <protection/>
    </xf>
    <xf numFmtId="173" fontId="40" fillId="0" borderId="0" xfId="0" applyNumberFormat="1" applyFont="1" applyBorder="1" applyAlignment="1" applyProtection="1">
      <alignment/>
      <protection/>
    </xf>
    <xf numFmtId="0" fontId="68" fillId="0" borderId="0" xfId="0" applyFont="1" applyBorder="1" applyAlignment="1" applyProtection="1">
      <alignment horizontal="center"/>
      <protection/>
    </xf>
    <xf numFmtId="0" fontId="68" fillId="0" borderId="0" xfId="0" applyFont="1" applyAlignment="1" applyProtection="1">
      <alignment horizontal="center"/>
      <protection/>
    </xf>
    <xf numFmtId="175" fontId="40" fillId="0" borderId="0" xfId="0" applyNumberFormat="1" applyFont="1" applyAlignment="1" applyProtection="1">
      <alignment horizontal="right"/>
      <protection/>
    </xf>
    <xf numFmtId="175" fontId="40" fillId="0" borderId="0" xfId="0" applyNumberFormat="1" applyFont="1" applyAlignment="1" applyProtection="1">
      <alignment horizontal="left"/>
      <protection/>
    </xf>
    <xf numFmtId="173" fontId="73" fillId="0" borderId="0" xfId="0" applyNumberFormat="1" applyFont="1" applyBorder="1" applyAlignment="1" applyProtection="1">
      <alignment/>
      <protection/>
    </xf>
    <xf numFmtId="0" fontId="74" fillId="0" borderId="0" xfId="0" applyFont="1" applyBorder="1" applyAlignment="1" applyProtection="1">
      <alignment/>
      <protection/>
    </xf>
    <xf numFmtId="0" fontId="2" fillId="0" borderId="0" xfId="0" applyFont="1" applyAlignment="1">
      <alignment/>
    </xf>
    <xf numFmtId="173" fontId="76" fillId="0" borderId="0" xfId="0" applyNumberFormat="1" applyFont="1" applyAlignment="1" applyProtection="1">
      <alignment/>
      <protection/>
    </xf>
    <xf numFmtId="0" fontId="0" fillId="0" borderId="0" xfId="0" applyBorder="1" applyAlignment="1">
      <alignment horizontal="left" wrapText="1"/>
    </xf>
    <xf numFmtId="0" fontId="74" fillId="0" borderId="0" xfId="0" applyFont="1" applyFill="1" applyAlignment="1" applyProtection="1">
      <alignment horizontal="left"/>
      <protection locked="0"/>
    </xf>
    <xf numFmtId="0" fontId="74" fillId="0" borderId="0" xfId="0" applyFont="1" applyFill="1" applyBorder="1" applyAlignment="1" applyProtection="1">
      <alignment horizontal="left"/>
      <protection locked="0"/>
    </xf>
    <xf numFmtId="173" fontId="77" fillId="0" borderId="0" xfId="0" applyNumberFormat="1" applyFont="1" applyBorder="1" applyAlignment="1" applyProtection="1">
      <alignment vertical="center" wrapText="1"/>
      <protection/>
    </xf>
    <xf numFmtId="173" fontId="77" fillId="0" borderId="48" xfId="0" applyNumberFormat="1" applyFont="1" applyFill="1" applyBorder="1" applyAlignment="1" applyProtection="1">
      <alignment horizontal="center" wrapText="1"/>
      <protection/>
    </xf>
    <xf numFmtId="173" fontId="77" fillId="0" borderId="68" xfId="0" applyNumberFormat="1" applyFont="1" applyFill="1" applyBorder="1" applyAlignment="1" applyProtection="1">
      <alignment horizontal="center" wrapText="1"/>
      <protection/>
    </xf>
    <xf numFmtId="0" fontId="77" fillId="0" borderId="0" xfId="0" applyFont="1" applyFill="1" applyBorder="1" applyAlignment="1" applyProtection="1">
      <alignment wrapText="1"/>
      <protection/>
    </xf>
    <xf numFmtId="0" fontId="73" fillId="0" borderId="34" xfId="0" applyFont="1" applyFill="1" applyBorder="1" applyAlignment="1" applyProtection="1">
      <alignment horizontal="center"/>
      <protection/>
    </xf>
    <xf numFmtId="0" fontId="73" fillId="0" borderId="69" xfId="0" applyFont="1" applyFill="1" applyBorder="1" applyAlignment="1" applyProtection="1">
      <alignment horizontal="center"/>
      <protection/>
    </xf>
    <xf numFmtId="0" fontId="48" fillId="3" borderId="70" xfId="0" applyFont="1" applyFill="1" applyBorder="1" applyAlignment="1" applyProtection="1">
      <alignment horizontal="center"/>
      <protection/>
    </xf>
    <xf numFmtId="0" fontId="74" fillId="0" borderId="0" xfId="0" applyFont="1" applyAlignment="1" applyProtection="1">
      <alignment/>
      <protection/>
    </xf>
    <xf numFmtId="173" fontId="0" fillId="0" borderId="0" xfId="0" applyNumberFormat="1" applyAlignment="1">
      <alignment/>
    </xf>
    <xf numFmtId="173" fontId="23" fillId="0" borderId="0" xfId="93" applyFont="1" applyFill="1" applyAlignment="1">
      <alignment vertical="center"/>
      <protection/>
    </xf>
    <xf numFmtId="173" fontId="40" fillId="0" borderId="0" xfId="0" applyNumberFormat="1" applyFont="1" applyAlignment="1">
      <alignment horizontal="right"/>
    </xf>
    <xf numFmtId="173" fontId="40" fillId="0" borderId="0" xfId="0" applyNumberFormat="1" applyFont="1" applyAlignment="1">
      <alignment/>
    </xf>
    <xf numFmtId="173" fontId="76" fillId="0" borderId="0" xfId="0" applyNumberFormat="1" applyFont="1" applyAlignment="1">
      <alignment/>
    </xf>
    <xf numFmtId="0" fontId="74" fillId="0" borderId="0" xfId="0" applyFont="1" applyAlignment="1">
      <alignment/>
    </xf>
    <xf numFmtId="0" fontId="0" fillId="0" borderId="0" xfId="0" applyBorder="1" applyAlignment="1">
      <alignment horizontal="left"/>
    </xf>
    <xf numFmtId="192" fontId="0" fillId="0" borderId="0" xfId="0" applyNumberFormat="1" applyAlignment="1">
      <alignment/>
    </xf>
    <xf numFmtId="0" fontId="18" fillId="0" borderId="0" xfId="0" applyFont="1" applyBorder="1" applyAlignment="1">
      <alignment horizontal="center"/>
    </xf>
    <xf numFmtId="193" fontId="0" fillId="0" borderId="0" xfId="119" applyNumberFormat="1" applyFill="1" applyBorder="1" applyAlignment="1" applyProtection="1">
      <alignment horizontal="center"/>
      <protection locked="0"/>
    </xf>
    <xf numFmtId="193" fontId="0" fillId="0" borderId="0" xfId="0" applyNumberFormat="1" applyFill="1" applyAlignment="1">
      <alignment/>
    </xf>
    <xf numFmtId="175" fontId="0" fillId="0" borderId="0" xfId="0" applyNumberFormat="1" applyFont="1" applyFill="1" applyBorder="1" applyAlignment="1">
      <alignment horizontal="center"/>
    </xf>
    <xf numFmtId="1" fontId="54" fillId="0" borderId="0" xfId="0" applyNumberFormat="1" applyFont="1" applyFill="1" applyBorder="1" applyAlignment="1">
      <alignment horizontal="center"/>
    </xf>
    <xf numFmtId="1" fontId="66" fillId="2"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40" fillId="0" borderId="0" xfId="0" applyFont="1" applyFill="1" applyBorder="1" applyAlignment="1" applyProtection="1">
      <alignment wrapText="1"/>
      <protection/>
    </xf>
    <xf numFmtId="0" fontId="54" fillId="2" borderId="11" xfId="0" applyFont="1" applyFill="1" applyBorder="1" applyAlignment="1" applyProtection="1">
      <alignment/>
      <protection/>
    </xf>
    <xf numFmtId="186" fontId="0" fillId="2" borderId="14" xfId="0" applyNumberFormat="1" applyFill="1" applyBorder="1" applyAlignment="1" applyProtection="1">
      <alignment horizontal="center"/>
      <protection/>
    </xf>
    <xf numFmtId="186" fontId="0" fillId="0" borderId="14" xfId="0" applyNumberFormat="1" applyBorder="1" applyAlignment="1" applyProtection="1">
      <alignment horizontal="center"/>
      <protection/>
    </xf>
    <xf numFmtId="0" fontId="40" fillId="0" borderId="0" xfId="0" applyFont="1" applyAlignment="1" applyProtection="1">
      <alignment horizontal="center"/>
      <protection/>
    </xf>
    <xf numFmtId="173" fontId="40" fillId="0" borderId="0" xfId="0" applyNumberFormat="1" applyFont="1" applyAlignment="1" applyProtection="1">
      <alignment/>
      <protection/>
    </xf>
    <xf numFmtId="175" fontId="40" fillId="0" borderId="0" xfId="0" applyNumberFormat="1" applyFont="1" applyAlignment="1">
      <alignment/>
    </xf>
    <xf numFmtId="0" fontId="16" fillId="0" borderId="0" xfId="0" applyFont="1" applyAlignment="1">
      <alignment/>
    </xf>
    <xf numFmtId="0" fontId="2" fillId="0" borderId="0" xfId="0" applyNumberFormat="1" applyFont="1" applyAlignment="1">
      <alignment/>
    </xf>
    <xf numFmtId="173" fontId="18" fillId="0" borderId="0" xfId="0" applyNumberFormat="1" applyFont="1" applyAlignment="1" applyProtection="1">
      <alignment horizontal="center"/>
      <protection/>
    </xf>
    <xf numFmtId="173" fontId="0" fillId="0" borderId="0" xfId="0" applyNumberFormat="1" applyAlignment="1" applyProtection="1">
      <alignment horizontal="right"/>
      <protection/>
    </xf>
    <xf numFmtId="175" fontId="48" fillId="0" borderId="0" xfId="0" applyNumberFormat="1" applyFont="1" applyAlignment="1" applyProtection="1">
      <alignment horizontal="center"/>
      <protection/>
    </xf>
    <xf numFmtId="0" fontId="74" fillId="0" borderId="14" xfId="0" applyFont="1" applyBorder="1" applyAlignment="1" applyProtection="1">
      <alignment horizontal="center" vertical="center" wrapText="1"/>
      <protection/>
    </xf>
    <xf numFmtId="9" fontId="80" fillId="14" borderId="14" xfId="103" applyFont="1" applyFill="1" applyBorder="1" applyAlignment="1" applyProtection="1">
      <alignment horizontal="center" vertical="center" wrapText="1"/>
      <protection/>
    </xf>
    <xf numFmtId="179" fontId="2" fillId="2" borderId="71" xfId="0" applyNumberFormat="1" applyFont="1" applyFill="1" applyBorder="1" applyAlignment="1">
      <alignment horizontal="right"/>
    </xf>
    <xf numFmtId="179" fontId="2" fillId="2" borderId="71" xfId="77" applyNumberFormat="1" applyFont="1" applyFill="1" applyBorder="1" applyAlignment="1" applyProtection="1">
      <alignment/>
      <protection/>
    </xf>
    <xf numFmtId="9" fontId="2" fillId="2" borderId="71" xfId="103" applyFont="1" applyFill="1" applyBorder="1" applyAlignment="1" applyProtection="1">
      <alignment/>
      <protection/>
    </xf>
    <xf numFmtId="9" fontId="2" fillId="2" borderId="71" xfId="103" applyNumberFormat="1" applyFont="1" applyFill="1" applyBorder="1" applyAlignment="1" applyProtection="1">
      <alignment/>
      <protection/>
    </xf>
    <xf numFmtId="9" fontId="2" fillId="2" borderId="71" xfId="103" applyFont="1" applyFill="1" applyBorder="1" applyAlignment="1" applyProtection="1">
      <alignment horizontal="center"/>
      <protection/>
    </xf>
    <xf numFmtId="179" fontId="2" fillId="0" borderId="0" xfId="0" applyNumberFormat="1" applyFont="1" applyAlignment="1">
      <alignment/>
    </xf>
    <xf numFmtId="179" fontId="2" fillId="2" borderId="71" xfId="0" applyNumberFormat="1" applyFont="1" applyFill="1" applyBorder="1" applyAlignment="1">
      <alignment/>
    </xf>
    <xf numFmtId="173" fontId="2" fillId="0" borderId="0" xfId="0" applyNumberFormat="1" applyFont="1" applyAlignment="1">
      <alignment/>
    </xf>
    <xf numFmtId="0" fontId="50" fillId="0" borderId="0" xfId="0" applyFont="1" applyFill="1" applyBorder="1" applyAlignment="1" applyProtection="1">
      <alignment/>
      <protection/>
    </xf>
    <xf numFmtId="0" fontId="81" fillId="0" borderId="0" xfId="0" applyFont="1" applyAlignment="1">
      <alignment/>
    </xf>
    <xf numFmtId="0" fontId="81" fillId="0" borderId="0" xfId="0" applyFont="1" applyAlignment="1">
      <alignment horizontal="right"/>
    </xf>
    <xf numFmtId="0" fontId="81" fillId="0" borderId="0" xfId="0" applyFont="1" applyAlignment="1" applyProtection="1">
      <alignment/>
      <protection/>
    </xf>
    <xf numFmtId="0" fontId="81" fillId="0" borderId="0" xfId="0" applyFont="1" applyAlignment="1" applyProtection="1">
      <alignment horizontal="right"/>
      <protection/>
    </xf>
    <xf numFmtId="173" fontId="41" fillId="0" borderId="0" xfId="93" applyFont="1" applyFill="1" applyAlignment="1">
      <alignment vertical="center"/>
      <protection/>
    </xf>
    <xf numFmtId="0" fontId="81" fillId="0" borderId="0" xfId="0" applyFont="1" applyBorder="1" applyAlignment="1" applyProtection="1">
      <alignment/>
      <protection/>
    </xf>
    <xf numFmtId="0" fontId="82" fillId="0" borderId="0" xfId="0" applyFont="1" applyBorder="1" applyAlignment="1" applyProtection="1">
      <alignment horizontal="left" vertical="center"/>
      <protection/>
    </xf>
    <xf numFmtId="0" fontId="82" fillId="0" borderId="0" xfId="0" applyFont="1" applyBorder="1" applyAlignment="1" applyProtection="1">
      <alignment horizontal="left"/>
      <protection/>
    </xf>
    <xf numFmtId="195" fontId="82" fillId="0" borderId="0" xfId="0" applyNumberFormat="1" applyFont="1" applyBorder="1" applyAlignment="1" applyProtection="1">
      <alignment horizontal="left"/>
      <protection/>
    </xf>
    <xf numFmtId="0" fontId="81" fillId="0" borderId="0" xfId="0" applyFont="1" applyBorder="1" applyAlignment="1">
      <alignment/>
    </xf>
    <xf numFmtId="0" fontId="84" fillId="0" borderId="0" xfId="0" applyFont="1" applyAlignment="1" applyProtection="1">
      <alignment/>
      <protection/>
    </xf>
    <xf numFmtId="0" fontId="87" fillId="0" borderId="0" xfId="0" applyFont="1" applyFill="1" applyBorder="1" applyAlignment="1" applyProtection="1">
      <alignment horizontal="right"/>
      <protection/>
    </xf>
    <xf numFmtId="0" fontId="84" fillId="0" borderId="0" xfId="0" applyFont="1" applyAlignment="1">
      <alignment/>
    </xf>
    <xf numFmtId="0" fontId="62" fillId="0" borderId="72" xfId="0" applyFont="1" applyFill="1" applyBorder="1" applyAlignment="1" applyProtection="1">
      <alignment horizontal="center" vertical="center" wrapText="1"/>
      <protection/>
    </xf>
    <xf numFmtId="0" fontId="88" fillId="0" borderId="73" xfId="0" applyNumberFormat="1" applyFont="1" applyFill="1" applyBorder="1" applyAlignment="1" applyProtection="1">
      <alignment horizontal="right"/>
      <protection/>
    </xf>
    <xf numFmtId="9" fontId="89" fillId="0" borderId="0" xfId="0" applyNumberFormat="1" applyFont="1" applyFill="1" applyBorder="1" applyAlignment="1" applyProtection="1">
      <alignment/>
      <protection/>
    </xf>
    <xf numFmtId="0" fontId="62" fillId="0" borderId="74" xfId="0" applyFont="1" applyFill="1" applyBorder="1" applyAlignment="1" applyProtection="1">
      <alignment horizontal="center"/>
      <protection/>
    </xf>
    <xf numFmtId="0" fontId="88" fillId="0" borderId="75" xfId="0" applyNumberFormat="1" applyFont="1" applyFill="1" applyBorder="1" applyAlignment="1" applyProtection="1">
      <alignment horizontal="right"/>
      <protection/>
    </xf>
    <xf numFmtId="0" fontId="62" fillId="0" borderId="76" xfId="0" applyFont="1" applyFill="1" applyBorder="1" applyAlignment="1" applyProtection="1">
      <alignment horizontal="center"/>
      <protection/>
    </xf>
    <xf numFmtId="0" fontId="88" fillId="0" borderId="77" xfId="0" applyNumberFormat="1" applyFont="1" applyFill="1" applyBorder="1" applyAlignment="1" applyProtection="1">
      <alignment horizontal="right"/>
      <protection/>
    </xf>
    <xf numFmtId="0" fontId="90" fillId="0" borderId="0" xfId="0" applyFont="1" applyFill="1" applyBorder="1" applyAlignment="1" applyProtection="1">
      <alignment horizontal="center"/>
      <protection/>
    </xf>
    <xf numFmtId="0" fontId="88" fillId="0" borderId="0" xfId="0" applyNumberFormat="1" applyFont="1" applyFill="1" applyBorder="1" applyAlignment="1" applyProtection="1">
      <alignment horizontal="right"/>
      <protection/>
    </xf>
    <xf numFmtId="0" fontId="29" fillId="0" borderId="0" xfId="0" applyFont="1" applyFill="1" applyBorder="1" applyAlignment="1" applyProtection="1">
      <alignment horizontal="center" vertical="center"/>
      <protection/>
    </xf>
    <xf numFmtId="9" fontId="89" fillId="0" borderId="0" xfId="0" applyNumberFormat="1" applyFont="1" applyFill="1" applyBorder="1" applyAlignment="1" applyProtection="1">
      <alignment horizontal="center"/>
      <protection/>
    </xf>
    <xf numFmtId="0" fontId="84" fillId="0" borderId="0" xfId="0" applyFont="1" applyFill="1" applyAlignment="1">
      <alignment/>
    </xf>
    <xf numFmtId="196" fontId="91" fillId="2" borderId="0" xfId="0" applyNumberFormat="1" applyFont="1" applyFill="1" applyBorder="1" applyAlignment="1" applyProtection="1">
      <alignment vertical="center"/>
      <protection/>
    </xf>
    <xf numFmtId="0" fontId="88" fillId="2" borderId="0" xfId="0" applyNumberFormat="1" applyFont="1" applyFill="1" applyBorder="1" applyAlignment="1" applyProtection="1">
      <alignment horizontal="right"/>
      <protection/>
    </xf>
    <xf numFmtId="0" fontId="29" fillId="2" borderId="0" xfId="0" applyFont="1" applyFill="1" applyBorder="1" applyAlignment="1" applyProtection="1">
      <alignment horizontal="center" vertical="center"/>
      <protection/>
    </xf>
    <xf numFmtId="0" fontId="92" fillId="2" borderId="0" xfId="0" applyFont="1" applyFill="1" applyBorder="1" applyAlignment="1" applyProtection="1">
      <alignment horizontal="center" vertical="center"/>
      <protection/>
    </xf>
    <xf numFmtId="186" fontId="91" fillId="2" borderId="0" xfId="103" applyNumberFormat="1" applyFont="1" applyFill="1" applyBorder="1" applyAlignment="1" applyProtection="1">
      <alignment horizontal="right"/>
      <protection/>
    </xf>
    <xf numFmtId="9" fontId="93" fillId="2" borderId="0" xfId="0" applyNumberFormat="1" applyFont="1" applyFill="1" applyBorder="1" applyAlignment="1" applyProtection="1">
      <alignment/>
      <protection/>
    </xf>
    <xf numFmtId="0" fontId="94" fillId="2" borderId="0" xfId="0" applyFont="1" applyFill="1" applyBorder="1" applyAlignment="1" applyProtection="1">
      <alignment horizontal="center" vertical="center"/>
      <protection/>
    </xf>
    <xf numFmtId="9" fontId="93" fillId="2" borderId="0" xfId="0" applyNumberFormat="1" applyFont="1" applyFill="1" applyBorder="1" applyAlignment="1" applyProtection="1">
      <alignment horizontal="left"/>
      <protection/>
    </xf>
    <xf numFmtId="0" fontId="74" fillId="0" borderId="0" xfId="0" applyFont="1" applyBorder="1" applyAlignment="1" applyProtection="1">
      <alignment horizontal="center" vertical="center"/>
      <protection/>
    </xf>
    <xf numFmtId="0" fontId="91" fillId="2" borderId="0" xfId="0" applyFont="1" applyFill="1" applyBorder="1" applyAlignment="1" applyProtection="1">
      <alignment horizontal="left" vertical="center"/>
      <protection/>
    </xf>
    <xf numFmtId="179" fontId="95" fillId="0" borderId="0" xfId="0" applyNumberFormat="1" applyFont="1" applyFill="1" applyBorder="1" applyAlignment="1" applyProtection="1">
      <alignment horizontal="right" vertical="center"/>
      <protection/>
    </xf>
    <xf numFmtId="0" fontId="96" fillId="2" borderId="0" xfId="0" applyFont="1" applyFill="1" applyBorder="1" applyAlignment="1" applyProtection="1">
      <alignment horizontal="left" vertical="center"/>
      <protection/>
    </xf>
    <xf numFmtId="0" fontId="62" fillId="0" borderId="78" xfId="0" applyNumberFormat="1" applyFont="1" applyFill="1" applyBorder="1" applyAlignment="1" applyProtection="1">
      <alignment horizontal="center"/>
      <protection/>
    </xf>
    <xf numFmtId="0" fontId="88" fillId="0" borderId="79" xfId="0" applyNumberFormat="1" applyFont="1" applyFill="1" applyBorder="1" applyAlignment="1" applyProtection="1">
      <alignment horizontal="right"/>
      <protection/>
    </xf>
    <xf numFmtId="9" fontId="93" fillId="0" borderId="0" xfId="0" applyNumberFormat="1" applyFont="1" applyFill="1" applyBorder="1" applyAlignment="1" applyProtection="1">
      <alignment/>
      <protection/>
    </xf>
    <xf numFmtId="0" fontId="62" fillId="0" borderId="80" xfId="0" applyNumberFormat="1" applyFont="1" applyFill="1" applyBorder="1" applyAlignment="1" applyProtection="1">
      <alignment horizontal="center"/>
      <protection/>
    </xf>
    <xf numFmtId="0" fontId="88" fillId="0" borderId="81" xfId="0" applyNumberFormat="1" applyFont="1" applyFill="1" applyBorder="1" applyAlignment="1" applyProtection="1">
      <alignment horizontal="right"/>
      <protection/>
    </xf>
    <xf numFmtId="0" fontId="81" fillId="0" borderId="0" xfId="0" applyNumberFormat="1" applyFont="1" applyBorder="1" applyAlignment="1">
      <alignment/>
    </xf>
    <xf numFmtId="0" fontId="62" fillId="0" borderId="80" xfId="0" applyNumberFormat="1" applyFont="1" applyFill="1" applyBorder="1" applyAlignment="1" applyProtection="1">
      <alignment horizontal="center" vertical="center"/>
      <protection/>
    </xf>
    <xf numFmtId="0" fontId="62" fillId="0" borderId="82" xfId="0" applyNumberFormat="1" applyFont="1" applyFill="1" applyBorder="1" applyAlignment="1" applyProtection="1">
      <alignment horizontal="center" vertical="center"/>
      <protection/>
    </xf>
    <xf numFmtId="0" fontId="88" fillId="0" borderId="83" xfId="0" applyNumberFormat="1" applyFont="1" applyFill="1" applyBorder="1" applyAlignment="1" applyProtection="1">
      <alignment horizontal="right"/>
      <protection/>
    </xf>
    <xf numFmtId="0" fontId="98" fillId="0" borderId="0" xfId="0" applyFont="1" applyFill="1" applyBorder="1" applyAlignment="1" applyProtection="1">
      <alignment/>
      <protection/>
    </xf>
    <xf numFmtId="0" fontId="99" fillId="0" borderId="0" xfId="0" applyFont="1" applyFill="1" applyBorder="1" applyAlignment="1" applyProtection="1">
      <alignment/>
      <protection/>
    </xf>
    <xf numFmtId="0" fontId="100"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right" vertical="center" indent="1"/>
      <protection/>
    </xf>
    <xf numFmtId="0" fontId="102" fillId="0" borderId="0" xfId="0" applyFont="1" applyFill="1" applyBorder="1" applyAlignment="1" applyProtection="1">
      <alignment horizontal="center"/>
      <protection/>
    </xf>
    <xf numFmtId="0" fontId="103" fillId="0" borderId="84" xfId="0" applyNumberFormat="1" applyFont="1" applyFill="1" applyBorder="1" applyAlignment="1" applyProtection="1">
      <alignment horizontal="center" vertical="center"/>
      <protection/>
    </xf>
    <xf numFmtId="0" fontId="74" fillId="0" borderId="85" xfId="0" applyNumberFormat="1" applyFont="1" applyFill="1" applyBorder="1" applyAlignment="1" applyProtection="1">
      <alignment vertical="center"/>
      <protection/>
    </xf>
    <xf numFmtId="0" fontId="103" fillId="0" borderId="86" xfId="0" applyNumberFormat="1" applyFont="1" applyFill="1" applyBorder="1" applyAlignment="1" applyProtection="1">
      <alignment horizontal="center" vertical="center"/>
      <protection/>
    </xf>
    <xf numFmtId="0" fontId="74" fillId="0" borderId="87" xfId="0" applyNumberFormat="1" applyFont="1" applyFill="1" applyBorder="1" applyAlignment="1" applyProtection="1">
      <alignment vertical="center"/>
      <protection/>
    </xf>
    <xf numFmtId="0" fontId="103" fillId="0" borderId="88" xfId="0" applyNumberFormat="1" applyFont="1" applyFill="1" applyBorder="1" applyAlignment="1" applyProtection="1">
      <alignment horizontal="center" vertical="center"/>
      <protection/>
    </xf>
    <xf numFmtId="0" fontId="74" fillId="0" borderId="89" xfId="0" applyNumberFormat="1" applyFont="1" applyFill="1" applyBorder="1" applyAlignment="1" applyProtection="1">
      <alignment vertical="center"/>
      <protection/>
    </xf>
    <xf numFmtId="0" fontId="74" fillId="0" borderId="90" xfId="0" applyNumberFormat="1" applyFont="1" applyFill="1" applyBorder="1" applyAlignment="1" applyProtection="1">
      <alignment vertical="center"/>
      <protection/>
    </xf>
    <xf numFmtId="175" fontId="0" fillId="0" borderId="0" xfId="0" applyNumberFormat="1" applyAlignment="1">
      <alignment/>
    </xf>
    <xf numFmtId="0" fontId="24" fillId="0" borderId="0" xfId="0" applyFont="1" applyAlignment="1">
      <alignment horizontal="center"/>
    </xf>
    <xf numFmtId="0" fontId="83" fillId="10" borderId="91" xfId="0" applyNumberFormat="1" applyFont="1" applyFill="1" applyBorder="1" applyAlignment="1">
      <alignment vertical="center"/>
    </xf>
    <xf numFmtId="0" fontId="83" fillId="10" borderId="91" xfId="0" applyFont="1" applyFill="1" applyBorder="1" applyAlignment="1">
      <alignment vertical="center"/>
    </xf>
    <xf numFmtId="0" fontId="18" fillId="0" borderId="0" xfId="0" applyFont="1" applyAlignment="1">
      <alignment/>
    </xf>
    <xf numFmtId="0" fontId="50" fillId="0" borderId="0" xfId="0" applyFont="1" applyAlignment="1">
      <alignment/>
    </xf>
    <xf numFmtId="0" fontId="104" fillId="0" borderId="0" xfId="100" applyNumberFormat="1" applyFont="1" applyFill="1" applyBorder="1" applyAlignment="1">
      <alignment horizontal="center" vertical="center" wrapText="1"/>
      <protection/>
    </xf>
    <xf numFmtId="0" fontId="104" fillId="8" borderId="92" xfId="100" applyNumberFormat="1" applyFont="1" applyFill="1" applyBorder="1" applyAlignment="1">
      <alignment horizontal="center" vertical="center" wrapText="1"/>
      <protection/>
    </xf>
    <xf numFmtId="0" fontId="106" fillId="0" borderId="0" xfId="0" applyNumberFormat="1" applyFont="1" applyAlignment="1">
      <alignment/>
    </xf>
    <xf numFmtId="0" fontId="106" fillId="0" borderId="0" xfId="0" applyFont="1" applyAlignment="1">
      <alignment/>
    </xf>
    <xf numFmtId="0" fontId="106" fillId="0" borderId="0" xfId="0" applyFont="1" applyAlignment="1">
      <alignment horizontal="center"/>
    </xf>
    <xf numFmtId="0" fontId="107" fillId="0" borderId="0" xfId="0" applyFont="1" applyBorder="1" applyAlignment="1">
      <alignment/>
    </xf>
    <xf numFmtId="0" fontId="108" fillId="10" borderId="91" xfId="0" applyFont="1" applyFill="1" applyBorder="1" applyAlignment="1">
      <alignment vertical="center"/>
    </xf>
    <xf numFmtId="0" fontId="49" fillId="0" borderId="0" xfId="0" applyFont="1" applyAlignment="1">
      <alignment/>
    </xf>
    <xf numFmtId="0" fontId="109" fillId="10" borderId="14" xfId="0" applyFont="1" applyFill="1" applyBorder="1" applyAlignment="1" applyProtection="1">
      <alignment horizontal="center"/>
      <protection/>
    </xf>
    <xf numFmtId="0" fontId="109" fillId="10" borderId="14" xfId="0" applyFont="1" applyFill="1" applyBorder="1" applyAlignment="1">
      <alignment horizontal="center"/>
    </xf>
    <xf numFmtId="0" fontId="0" fillId="0" borderId="14" xfId="0" applyNumberFormat="1" applyFont="1" applyBorder="1" applyAlignment="1">
      <alignment/>
    </xf>
    <xf numFmtId="0" fontId="0" fillId="0" borderId="14" xfId="0" applyNumberFormat="1" applyFont="1" applyBorder="1" applyAlignment="1">
      <alignment horizontal="center"/>
    </xf>
    <xf numFmtId="0" fontId="71" fillId="0" borderId="14" xfId="0" applyFont="1" applyFill="1" applyBorder="1" applyAlignment="1" applyProtection="1">
      <alignment horizontal="center"/>
      <protection/>
    </xf>
    <xf numFmtId="0" fontId="71" fillId="0" borderId="14" xfId="0" applyFont="1" applyBorder="1" applyAlignment="1" applyProtection="1">
      <alignment horizontal="center"/>
      <protection/>
    </xf>
    <xf numFmtId="0" fontId="110" fillId="0" borderId="14" xfId="0" applyFont="1" applyBorder="1" applyAlignment="1" applyProtection="1">
      <alignment horizontal="left" indent="1"/>
      <protection/>
    </xf>
    <xf numFmtId="0" fontId="0" fillId="0" borderId="14" xfId="0" applyFont="1" applyBorder="1" applyAlignment="1">
      <alignment horizontal="center"/>
    </xf>
    <xf numFmtId="0" fontId="71" fillId="0" borderId="0" xfId="0" applyFont="1" applyFill="1" applyBorder="1" applyAlignment="1" applyProtection="1">
      <alignment/>
      <protection/>
    </xf>
    <xf numFmtId="0" fontId="71" fillId="0" borderId="14" xfId="0" applyFont="1" applyFill="1" applyBorder="1" applyAlignment="1" applyProtection="1">
      <alignment/>
      <protection/>
    </xf>
    <xf numFmtId="173" fontId="71" fillId="0" borderId="14" xfId="96" applyFont="1" applyBorder="1" applyProtection="1">
      <alignment/>
      <protection/>
    </xf>
    <xf numFmtId="0" fontId="0" fillId="0" borderId="14" xfId="0" applyFont="1" applyBorder="1" applyAlignment="1">
      <alignment/>
    </xf>
    <xf numFmtId="0" fontId="0" fillId="0" borderId="14" xfId="0" applyBorder="1" applyAlignment="1">
      <alignment/>
    </xf>
    <xf numFmtId="3" fontId="40" fillId="28" borderId="93" xfId="0" applyNumberFormat="1" applyFont="1" applyFill="1" applyBorder="1" applyAlignment="1" applyProtection="1">
      <alignment/>
      <protection locked="0"/>
    </xf>
    <xf numFmtId="3" fontId="40" fillId="28" borderId="19" xfId="0" applyNumberFormat="1" applyFont="1" applyFill="1" applyBorder="1" applyAlignment="1" applyProtection="1">
      <alignment/>
      <protection locked="0"/>
    </xf>
    <xf numFmtId="171" fontId="0" fillId="0" borderId="94" xfId="0" applyNumberFormat="1" applyBorder="1" applyAlignment="1" applyProtection="1">
      <alignment/>
      <protection/>
    </xf>
    <xf numFmtId="171" fontId="40" fillId="0" borderId="14" xfId="0" applyNumberFormat="1" applyFont="1" applyFill="1" applyBorder="1" applyAlignment="1" applyProtection="1">
      <alignment/>
      <protection/>
    </xf>
    <xf numFmtId="0" fontId="0" fillId="13" borderId="52" xfId="0" applyNumberFormat="1" applyFill="1" applyBorder="1" applyAlignment="1" applyProtection="1">
      <alignment horizontal="center" vertical="center"/>
      <protection/>
    </xf>
    <xf numFmtId="1" fontId="0" fillId="0" borderId="14" xfId="0" applyNumberFormat="1" applyFill="1" applyBorder="1" applyAlignment="1" applyProtection="1">
      <alignment horizontal="center" vertical="center"/>
      <protection/>
    </xf>
    <xf numFmtId="176" fontId="18" fillId="10" borderId="0" xfId="0" applyNumberFormat="1" applyFont="1" applyFill="1" applyBorder="1" applyAlignment="1" applyProtection="1">
      <alignment horizontal="center"/>
      <protection locked="0"/>
    </xf>
    <xf numFmtId="176" fontId="18" fillId="10" borderId="95" xfId="0" applyNumberFormat="1" applyFont="1" applyFill="1" applyBorder="1" applyAlignment="1" applyProtection="1">
      <alignment horizontal="center"/>
      <protection locked="0"/>
    </xf>
    <xf numFmtId="179" fontId="1" fillId="12" borderId="96" xfId="0" applyNumberFormat="1" applyFont="1" applyFill="1" applyBorder="1" applyAlignment="1" applyProtection="1">
      <alignment horizontal="center" vertical="center" wrapText="1"/>
      <protection/>
    </xf>
    <xf numFmtId="187" fontId="1" fillId="12" borderId="96" xfId="0" applyNumberFormat="1" applyFont="1" applyFill="1" applyBorder="1" applyAlignment="1" applyProtection="1">
      <alignment horizontal="center" vertical="center" wrapText="1"/>
      <protection/>
    </xf>
    <xf numFmtId="179" fontId="1" fillId="12" borderId="96" xfId="0" applyNumberFormat="1" applyFont="1" applyFill="1" applyBorder="1" applyAlignment="1" applyProtection="1">
      <alignment vertical="center"/>
      <protection locked="0"/>
    </xf>
    <xf numFmtId="179" fontId="1" fillId="29" borderId="96" xfId="0" applyNumberFormat="1" applyFont="1" applyFill="1" applyBorder="1" applyAlignment="1" applyProtection="1">
      <alignment vertical="center"/>
      <protection locked="0"/>
    </xf>
    <xf numFmtId="179" fontId="1" fillId="29" borderId="96" xfId="0" applyNumberFormat="1" applyFont="1" applyFill="1" applyBorder="1" applyAlignment="1" applyProtection="1">
      <alignment horizontal="right" vertical="center"/>
      <protection locked="0"/>
    </xf>
    <xf numFmtId="188" fontId="1" fillId="12" borderId="96" xfId="0" applyNumberFormat="1" applyFont="1" applyFill="1" applyBorder="1" applyAlignment="1" applyProtection="1">
      <alignment horizontal="center" vertical="center" wrapText="1"/>
      <protection/>
    </xf>
    <xf numFmtId="185" fontId="1" fillId="12" borderId="96" xfId="0" applyNumberFormat="1" applyFont="1" applyFill="1" applyBorder="1" applyAlignment="1" applyProtection="1">
      <alignment horizontal="center" vertical="center" wrapText="1"/>
      <protection/>
    </xf>
    <xf numFmtId="49" fontId="1" fillId="0" borderId="96" xfId="0" applyNumberFormat="1" applyFont="1" applyFill="1" applyBorder="1" applyAlignment="1" applyProtection="1">
      <alignment horizontal="left"/>
      <protection/>
    </xf>
    <xf numFmtId="49" fontId="1" fillId="30" borderId="96" xfId="0" applyNumberFormat="1" applyFont="1" applyFill="1" applyBorder="1" applyAlignment="1" applyProtection="1">
      <alignment horizontal="left"/>
      <protection/>
    </xf>
    <xf numFmtId="4" fontId="1" fillId="31" borderId="96" xfId="0" applyNumberFormat="1" applyFont="1" applyFill="1" applyBorder="1" applyAlignment="1" applyProtection="1">
      <alignment horizontal="center" vertical="center" wrapText="1"/>
      <protection/>
    </xf>
    <xf numFmtId="3" fontId="1" fillId="31" borderId="96" xfId="0" applyNumberFormat="1" applyFont="1" applyFill="1" applyBorder="1" applyAlignment="1" applyProtection="1">
      <alignment horizontal="center" vertical="center" wrapText="1"/>
      <protection/>
    </xf>
    <xf numFmtId="3" fontId="1" fillId="32" borderId="96" xfId="0" applyNumberFormat="1" applyFont="1" applyFill="1" applyBorder="1" applyAlignment="1" applyProtection="1">
      <alignment horizontal="center" vertical="center" wrapText="1"/>
      <protection/>
    </xf>
    <xf numFmtId="185" fontId="40" fillId="0" borderId="14" xfId="0" applyNumberFormat="1" applyFont="1" applyBorder="1" applyAlignment="1" applyProtection="1">
      <alignment horizontal="center" vertical="center" wrapText="1"/>
      <protection/>
    </xf>
    <xf numFmtId="173" fontId="73" fillId="12" borderId="0" xfId="0" applyNumberFormat="1" applyFont="1" applyFill="1" applyAlignment="1" applyProtection="1">
      <alignment horizontal="left" vertical="top"/>
      <protection locked="0"/>
    </xf>
    <xf numFmtId="0" fontId="76" fillId="12" borderId="0" xfId="0" applyNumberFormat="1" applyFont="1" applyFill="1" applyAlignment="1" applyProtection="1">
      <alignment horizontal="left" vertical="center"/>
      <protection locked="0"/>
    </xf>
    <xf numFmtId="1" fontId="48" fillId="3" borderId="70" xfId="0" applyNumberFormat="1" applyFont="1" applyFill="1" applyBorder="1" applyAlignment="1" applyProtection="1">
      <alignment horizontal="center"/>
      <protection/>
    </xf>
    <xf numFmtId="204" fontId="40" fillId="0" borderId="14" xfId="0" applyNumberFormat="1" applyFont="1" applyBorder="1" applyAlignment="1" applyProtection="1">
      <alignment horizontal="center" vertical="center" wrapText="1"/>
      <protection/>
    </xf>
    <xf numFmtId="0" fontId="76" fillId="12" borderId="0" xfId="0" applyNumberFormat="1" applyFont="1" applyFill="1" applyBorder="1" applyAlignment="1" applyProtection="1">
      <alignment horizontal="left" vertical="center"/>
      <protection locked="0"/>
    </xf>
    <xf numFmtId="0" fontId="113" fillId="12" borderId="0" xfId="0" applyNumberFormat="1" applyFont="1" applyFill="1" applyBorder="1" applyAlignment="1" applyProtection="1">
      <alignment horizontal="left" vertical="center"/>
      <protection locked="0"/>
    </xf>
    <xf numFmtId="179" fontId="2" fillId="2" borderId="97" xfId="0" applyNumberFormat="1" applyFont="1" applyFill="1" applyBorder="1" applyAlignment="1">
      <alignment horizontal="right"/>
    </xf>
    <xf numFmtId="0" fontId="2" fillId="2" borderId="97" xfId="0" applyFont="1" applyFill="1" applyBorder="1" applyAlignment="1">
      <alignment/>
    </xf>
    <xf numFmtId="0" fontId="112" fillId="0" borderId="96" xfId="0" applyFont="1" applyBorder="1" applyAlignment="1">
      <alignment wrapText="1"/>
    </xf>
    <xf numFmtId="0" fontId="0" fillId="0" borderId="98" xfId="0" applyBorder="1" applyAlignment="1">
      <alignment vertical="center" wrapText="1"/>
    </xf>
    <xf numFmtId="0" fontId="0" fillId="0" borderId="96" xfId="0" applyBorder="1" applyAlignment="1">
      <alignment/>
    </xf>
    <xf numFmtId="0" fontId="0" fillId="0" borderId="96" xfId="0" applyBorder="1" applyAlignment="1">
      <alignment wrapText="1"/>
    </xf>
    <xf numFmtId="0" fontId="0" fillId="0" borderId="96" xfId="0" applyFill="1" applyBorder="1" applyAlignment="1">
      <alignment wrapText="1"/>
    </xf>
    <xf numFmtId="170" fontId="1" fillId="0" borderId="0" xfId="80" applyFill="1" applyBorder="1" applyAlignment="1" applyProtection="1">
      <alignment horizontal="center"/>
      <protection/>
    </xf>
    <xf numFmtId="203" fontId="0" fillId="0" borderId="0" xfId="0" applyNumberFormat="1" applyAlignment="1" applyProtection="1">
      <alignment/>
      <protection/>
    </xf>
    <xf numFmtId="0" fontId="54" fillId="0" borderId="0" xfId="0" applyFont="1" applyFill="1" applyBorder="1" applyAlignment="1" applyProtection="1">
      <alignment horizontal="center" wrapText="1"/>
      <protection/>
    </xf>
    <xf numFmtId="2" fontId="0" fillId="0" borderId="0" xfId="0" applyNumberFormat="1" applyBorder="1" applyAlignment="1" applyProtection="1">
      <alignment/>
      <protection/>
    </xf>
    <xf numFmtId="1" fontId="0" fillId="0" borderId="0" xfId="0" applyNumberFormat="1" applyFill="1" applyBorder="1" applyAlignment="1">
      <alignment/>
    </xf>
    <xf numFmtId="0" fontId="0" fillId="13" borderId="99" xfId="0" applyNumberFormat="1" applyFill="1" applyBorder="1" applyAlignment="1" applyProtection="1">
      <alignment horizontal="center" vertical="center"/>
      <protection/>
    </xf>
    <xf numFmtId="0" fontId="0" fillId="13" borderId="100" xfId="0" applyNumberFormat="1" applyFill="1" applyBorder="1" applyAlignment="1" applyProtection="1">
      <alignment horizontal="center" vertical="center"/>
      <protection/>
    </xf>
    <xf numFmtId="173" fontId="0" fillId="13" borderId="96" xfId="0" applyNumberFormat="1" applyFont="1" applyFill="1" applyBorder="1" applyAlignment="1" applyProtection="1">
      <alignment wrapText="1"/>
      <protection locked="0"/>
    </xf>
    <xf numFmtId="173" fontId="0" fillId="13" borderId="96" xfId="0" applyNumberFormat="1" applyFont="1" applyFill="1" applyBorder="1" applyAlignment="1" applyProtection="1">
      <alignment/>
      <protection locked="0"/>
    </xf>
    <xf numFmtId="49" fontId="0" fillId="13" borderId="96" xfId="0" applyNumberFormat="1" applyFont="1" applyFill="1" applyBorder="1" applyAlignment="1" applyProtection="1">
      <alignment horizontal="left" wrapText="1"/>
      <protection locked="0"/>
    </xf>
    <xf numFmtId="49" fontId="0" fillId="13" borderId="96" xfId="0" applyNumberFormat="1" applyFont="1" applyFill="1" applyBorder="1" applyAlignment="1" applyProtection="1">
      <alignment horizontal="left" wrapText="1"/>
      <protection/>
    </xf>
    <xf numFmtId="173" fontId="0" fillId="0" borderId="101" xfId="0" applyNumberFormat="1" applyFont="1" applyFill="1" applyBorder="1" applyAlignment="1" applyProtection="1">
      <alignment horizontal="left"/>
      <protection/>
    </xf>
    <xf numFmtId="173" fontId="0" fillId="0" borderId="102" xfId="0" applyNumberFormat="1" applyFont="1" applyFill="1" applyBorder="1" applyAlignment="1" applyProtection="1">
      <alignment horizontal="center" wrapText="1"/>
      <protection/>
    </xf>
    <xf numFmtId="173" fontId="40" fillId="0" borderId="103" xfId="0" applyNumberFormat="1" applyFont="1" applyBorder="1" applyAlignment="1">
      <alignment horizontal="center" wrapText="1"/>
    </xf>
    <xf numFmtId="173" fontId="0" fillId="0" borderId="103" xfId="0" applyNumberFormat="1" applyFont="1" applyBorder="1" applyAlignment="1">
      <alignment horizontal="center" wrapText="1"/>
    </xf>
    <xf numFmtId="186" fontId="0" fillId="0" borderId="104" xfId="0" applyNumberFormat="1" applyFill="1" applyBorder="1" applyAlignment="1" applyProtection="1">
      <alignment horizontal="center" vertical="center"/>
      <protection/>
    </xf>
    <xf numFmtId="49" fontId="0" fillId="13" borderId="105" xfId="0" applyNumberFormat="1" applyFont="1" applyFill="1" applyBorder="1" applyAlignment="1" applyProtection="1">
      <alignment horizontal="left" wrapText="1"/>
      <protection/>
    </xf>
    <xf numFmtId="0" fontId="0" fillId="13" borderId="106" xfId="0" applyNumberFormat="1" applyFill="1" applyBorder="1" applyAlignment="1" applyProtection="1">
      <alignment horizontal="center" vertical="center"/>
      <protection/>
    </xf>
    <xf numFmtId="0" fontId="54" fillId="2" borderId="107" xfId="0" applyFont="1" applyFill="1" applyBorder="1" applyAlignment="1" applyProtection="1">
      <alignment/>
      <protection/>
    </xf>
    <xf numFmtId="0" fontId="40" fillId="0" borderId="108" xfId="0" applyFont="1" applyFill="1" applyBorder="1" applyAlignment="1" applyProtection="1">
      <alignment horizontal="center" vertical="center" wrapText="1"/>
      <protection/>
    </xf>
    <xf numFmtId="0" fontId="40" fillId="0" borderId="109" xfId="0" applyFont="1" applyFill="1" applyBorder="1" applyAlignment="1" applyProtection="1">
      <alignment horizontal="center" vertical="center" wrapText="1"/>
      <protection/>
    </xf>
    <xf numFmtId="0" fontId="74" fillId="0" borderId="110" xfId="0" applyFont="1" applyFill="1" applyBorder="1" applyAlignment="1" applyProtection="1">
      <alignment horizontal="center" vertical="center" wrapText="1"/>
      <protection/>
    </xf>
    <xf numFmtId="0" fontId="40" fillId="0" borderId="110" xfId="0" applyNumberFormat="1" applyFont="1" applyFill="1" applyBorder="1" applyAlignment="1" applyProtection="1">
      <alignment horizontal="center" vertical="center" wrapText="1"/>
      <protection/>
    </xf>
    <xf numFmtId="0" fontId="74" fillId="0" borderId="111" xfId="0" applyNumberFormat="1" applyFont="1" applyFill="1" applyBorder="1" applyAlignment="1" applyProtection="1">
      <alignment horizontal="center" vertical="center" wrapText="1"/>
      <protection/>
    </xf>
    <xf numFmtId="0" fontId="54" fillId="2" borderId="112" xfId="0" applyFont="1" applyFill="1" applyBorder="1" applyAlignment="1" applyProtection="1">
      <alignment/>
      <protection/>
    </xf>
    <xf numFmtId="186" fontId="2" fillId="33" borderId="113" xfId="0" applyNumberFormat="1" applyFont="1" applyFill="1" applyBorder="1" applyAlignment="1" applyProtection="1">
      <alignment horizontal="center"/>
      <protection/>
    </xf>
    <xf numFmtId="173" fontId="14" fillId="0" borderId="0" xfId="0" applyNumberFormat="1" applyFont="1" applyFill="1" applyBorder="1" applyAlignment="1" applyProtection="1">
      <alignment/>
      <protection/>
    </xf>
    <xf numFmtId="173" fontId="54" fillId="0" borderId="0" xfId="0" applyNumberFormat="1" applyFont="1" applyFill="1" applyBorder="1" applyAlignment="1" applyProtection="1">
      <alignment/>
      <protection/>
    </xf>
    <xf numFmtId="183" fontId="54" fillId="3" borderId="96" xfId="77" applyNumberFormat="1" applyFont="1" applyFill="1" applyBorder="1" applyAlignment="1" applyProtection="1">
      <alignment/>
      <protection locked="0"/>
    </xf>
    <xf numFmtId="183" fontId="54" fillId="3" borderId="96" xfId="77" applyNumberFormat="1" applyFont="1" applyFill="1" applyBorder="1" applyAlignment="1" applyProtection="1">
      <alignment horizontal="center" vertical="center"/>
      <protection locked="0"/>
    </xf>
    <xf numFmtId="0" fontId="49" fillId="0" borderId="114" xfId="0" applyFont="1" applyBorder="1" applyAlignment="1" applyProtection="1">
      <alignment vertical="distributed" wrapText="1"/>
      <protection/>
    </xf>
    <xf numFmtId="173" fontId="51" fillId="0" borderId="115" xfId="0" applyNumberFormat="1" applyFont="1" applyFill="1" applyBorder="1" applyAlignment="1" applyProtection="1">
      <alignment horizontal="center" vertical="center" wrapText="1"/>
      <protection/>
    </xf>
    <xf numFmtId="175" fontId="51" fillId="0" borderId="116" xfId="0" applyNumberFormat="1" applyFont="1" applyFill="1" applyBorder="1" applyAlignment="1" applyProtection="1">
      <alignment horizontal="center" vertical="center" wrapText="1"/>
      <protection/>
    </xf>
    <xf numFmtId="173" fontId="14" fillId="0" borderId="117" xfId="0" applyNumberFormat="1" applyFont="1" applyBorder="1" applyAlignment="1" applyProtection="1">
      <alignment/>
      <protection/>
    </xf>
    <xf numFmtId="173" fontId="14" fillId="0" borderId="118" xfId="0" applyNumberFormat="1" applyFont="1" applyBorder="1" applyAlignment="1" applyProtection="1">
      <alignment/>
      <protection/>
    </xf>
    <xf numFmtId="183" fontId="54" fillId="3" borderId="119" xfId="77" applyNumberFormat="1" applyFont="1" applyFill="1" applyBorder="1" applyAlignment="1" applyProtection="1">
      <alignment/>
      <protection locked="0"/>
    </xf>
    <xf numFmtId="183" fontId="54" fillId="3" borderId="119" xfId="77" applyNumberFormat="1" applyFont="1" applyFill="1" applyBorder="1" applyAlignment="1" applyProtection="1">
      <alignment horizontal="center" vertical="center"/>
      <protection locked="0"/>
    </xf>
    <xf numFmtId="2" fontId="0" fillId="0" borderId="14" xfId="0" applyNumberFormat="1" applyFill="1" applyBorder="1" applyAlignment="1" applyProtection="1">
      <alignment horizontal="center" vertical="center"/>
      <protection/>
    </xf>
    <xf numFmtId="173" fontId="50" fillId="0" borderId="120" xfId="0" applyNumberFormat="1" applyFont="1" applyFill="1" applyBorder="1" applyAlignment="1" applyProtection="1">
      <alignment/>
      <protection/>
    </xf>
    <xf numFmtId="173" fontId="0" fillId="0" borderId="103" xfId="0" applyNumberFormat="1" applyFont="1" applyBorder="1" applyAlignment="1">
      <alignment horizontal="center" vertical="center" wrapText="1"/>
    </xf>
    <xf numFmtId="173" fontId="0" fillId="0" borderId="121" xfId="0" applyNumberFormat="1" applyFont="1" applyFill="1" applyBorder="1" applyAlignment="1" applyProtection="1">
      <alignment horizontal="center" vertical="center" wrapText="1"/>
      <protection/>
    </xf>
    <xf numFmtId="0" fontId="0" fillId="34" borderId="0" xfId="0" applyFill="1" applyAlignment="1">
      <alignment/>
    </xf>
    <xf numFmtId="0" fontId="0" fillId="35" borderId="52" xfId="0" applyNumberFormat="1" applyFill="1" applyBorder="1" applyAlignment="1" applyProtection="1">
      <alignment horizontal="center" vertical="center"/>
      <protection/>
    </xf>
    <xf numFmtId="177" fontId="54" fillId="0" borderId="0" xfId="0" applyNumberFormat="1" applyFont="1" applyFill="1" applyBorder="1" applyAlignment="1" applyProtection="1">
      <alignment/>
      <protection/>
    </xf>
    <xf numFmtId="43" fontId="40" fillId="0" borderId="0" xfId="0" applyNumberFormat="1" applyFont="1" applyFill="1" applyBorder="1" applyAlignment="1" applyProtection="1">
      <alignment/>
      <protection/>
    </xf>
    <xf numFmtId="187" fontId="14" fillId="0" borderId="122" xfId="77" applyNumberFormat="1" applyFont="1" applyFill="1" applyBorder="1" applyAlignment="1" applyProtection="1">
      <alignment/>
      <protection/>
    </xf>
    <xf numFmtId="187" fontId="14" fillId="0" borderId="123" xfId="77" applyNumberFormat="1" applyFont="1" applyFill="1" applyBorder="1" applyAlignment="1" applyProtection="1">
      <alignment/>
      <protection/>
    </xf>
    <xf numFmtId="3" fontId="133" fillId="13" borderId="52" xfId="0" applyNumberFormat="1" applyFont="1" applyFill="1" applyBorder="1" applyAlignment="1" applyProtection="1">
      <alignment horizontal="center" vertical="center"/>
      <protection/>
    </xf>
    <xf numFmtId="185" fontId="54" fillId="13" borderId="52" xfId="0" applyNumberFormat="1" applyFont="1" applyFill="1" applyBorder="1" applyAlignment="1" applyProtection="1">
      <alignment horizontal="center" vertical="center"/>
      <protection/>
    </xf>
    <xf numFmtId="185" fontId="54" fillId="35" borderId="52" xfId="0" applyNumberFormat="1" applyFont="1" applyFill="1" applyBorder="1" applyAlignment="1" applyProtection="1">
      <alignment horizontal="center" vertical="center"/>
      <protection/>
    </xf>
    <xf numFmtId="49" fontId="54" fillId="2" borderId="107" xfId="0" applyNumberFormat="1" applyFont="1" applyFill="1" applyBorder="1" applyAlignment="1" applyProtection="1">
      <alignment/>
      <protection/>
    </xf>
    <xf numFmtId="1" fontId="0" fillId="13" borderId="99" xfId="0" applyNumberFormat="1" applyFill="1" applyBorder="1" applyAlignment="1" applyProtection="1">
      <alignment horizontal="center" vertical="center"/>
      <protection/>
    </xf>
    <xf numFmtId="3" fontId="54" fillId="13" borderId="52" xfId="0" applyNumberFormat="1" applyFont="1" applyFill="1" applyBorder="1" applyAlignment="1" applyProtection="1">
      <alignment horizontal="center" vertical="center"/>
      <protection/>
    </xf>
    <xf numFmtId="0" fontId="0" fillId="0" borderId="0" xfId="0" applyAlignment="1">
      <alignment horizontal="center" wrapText="1"/>
    </xf>
    <xf numFmtId="185" fontId="54" fillId="13" borderId="124" xfId="0" applyNumberFormat="1" applyFont="1" applyFill="1" applyBorder="1" applyAlignment="1" applyProtection="1">
      <alignment horizontal="center" vertical="center"/>
      <protection/>
    </xf>
    <xf numFmtId="3" fontId="54" fillId="13" borderId="99" xfId="0" applyNumberFormat="1" applyFont="1" applyFill="1" applyBorder="1" applyAlignment="1" applyProtection="1">
      <alignment horizontal="center" vertical="center"/>
      <protection/>
    </xf>
    <xf numFmtId="173" fontId="0" fillId="0" borderId="102" xfId="0" applyNumberFormat="1" applyFont="1" applyBorder="1" applyAlignment="1">
      <alignment horizontal="center" wrapText="1"/>
    </xf>
    <xf numFmtId="0" fontId="0" fillId="0" borderId="96" xfId="0" applyBorder="1" applyAlignment="1">
      <alignment horizontal="center" wrapText="1"/>
    </xf>
    <xf numFmtId="1" fontId="0" fillId="0" borderId="96" xfId="0" applyNumberFormat="1" applyFill="1" applyBorder="1" applyAlignment="1" applyProtection="1">
      <alignment horizontal="center" vertical="center"/>
      <protection/>
    </xf>
    <xf numFmtId="0" fontId="54" fillId="2" borderId="125" xfId="0" applyFont="1" applyFill="1" applyBorder="1" applyAlignment="1" applyProtection="1">
      <alignment/>
      <protection/>
    </xf>
    <xf numFmtId="185" fontId="54" fillId="13" borderId="126" xfId="0" applyNumberFormat="1" applyFont="1" applyFill="1" applyBorder="1" applyAlignment="1" applyProtection="1">
      <alignment horizontal="center" vertical="center"/>
      <protection/>
    </xf>
    <xf numFmtId="0" fontId="0" fillId="0" borderId="105" xfId="0" applyBorder="1" applyAlignment="1">
      <alignment horizontal="center" wrapText="1"/>
    </xf>
    <xf numFmtId="186" fontId="0" fillId="0" borderId="11" xfId="0" applyNumberFormat="1" applyFill="1" applyBorder="1" applyAlignment="1" applyProtection="1">
      <alignment horizontal="center" vertical="center"/>
      <protection/>
    </xf>
    <xf numFmtId="173" fontId="0" fillId="0" borderId="127" xfId="0" applyNumberFormat="1" applyFont="1" applyFill="1" applyBorder="1" applyAlignment="1" applyProtection="1">
      <alignment horizontal="center" vertical="center" wrapText="1"/>
      <protection/>
    </xf>
    <xf numFmtId="2" fontId="0" fillId="0" borderId="128" xfId="0" applyNumberFormat="1" applyBorder="1" applyAlignment="1">
      <alignment horizontal="center"/>
    </xf>
    <xf numFmtId="2" fontId="0" fillId="0" borderId="129" xfId="0" applyNumberFormat="1" applyBorder="1" applyAlignment="1">
      <alignment horizontal="center"/>
    </xf>
    <xf numFmtId="2" fontId="0" fillId="0" borderId="130" xfId="0" applyNumberFormat="1" applyBorder="1" applyAlignment="1">
      <alignment horizontal="center"/>
    </xf>
    <xf numFmtId="173" fontId="22" fillId="36" borderId="0" xfId="92" applyFont="1" applyFill="1" applyBorder="1" applyAlignment="1">
      <alignment horizontal="center" vertical="center"/>
      <protection/>
    </xf>
    <xf numFmtId="173" fontId="24" fillId="0" borderId="0" xfId="0" applyNumberFormat="1" applyFont="1" applyBorder="1" applyAlignment="1">
      <alignment horizontal="center"/>
    </xf>
    <xf numFmtId="0" fontId="38"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39" fillId="2" borderId="14" xfId="0" applyFont="1" applyFill="1" applyBorder="1" applyAlignment="1" applyProtection="1">
      <alignment vertical="center" wrapText="1"/>
      <protection locked="0"/>
    </xf>
    <xf numFmtId="0" fontId="29" fillId="0" borderId="14" xfId="0" applyFont="1" applyBorder="1" applyAlignment="1" applyProtection="1">
      <alignment horizontal="justify" vertical="center" wrapText="1"/>
      <protection locked="0"/>
    </xf>
    <xf numFmtId="0" fontId="29" fillId="0" borderId="14" xfId="0" applyFont="1" applyBorder="1" applyAlignment="1" applyProtection="1">
      <alignment horizontal="left" vertical="center" wrapText="1"/>
      <protection locked="0"/>
    </xf>
    <xf numFmtId="0" fontId="32" fillId="0" borderId="14" xfId="0" applyFont="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29" fillId="0" borderId="14" xfId="0" applyNumberFormat="1" applyFont="1" applyBorder="1" applyAlignment="1" applyProtection="1">
      <alignment horizontal="left" vertical="center" wrapText="1"/>
      <protection locked="0"/>
    </xf>
    <xf numFmtId="0" fontId="33" fillId="12" borderId="14" xfId="0" applyFont="1" applyFill="1" applyBorder="1" applyAlignment="1">
      <alignment vertical="center" wrapText="1"/>
    </xf>
    <xf numFmtId="0" fontId="33" fillId="0" borderId="14" xfId="0" applyFont="1" applyBorder="1" applyAlignment="1" applyProtection="1">
      <alignment vertical="center" wrapText="1"/>
      <protection locked="0"/>
    </xf>
    <xf numFmtId="0" fontId="30" fillId="0" borderId="0" xfId="0" applyNumberFormat="1" applyFont="1" applyBorder="1" applyAlignment="1">
      <alignment horizontal="center"/>
    </xf>
    <xf numFmtId="0" fontId="18" fillId="12" borderId="14"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xf>
    <xf numFmtId="173" fontId="32" fillId="0" borderId="14" xfId="0" applyNumberFormat="1" applyFont="1" applyBorder="1" applyAlignment="1">
      <alignment horizontal="justify" vertical="center" wrapText="1"/>
    </xf>
    <xf numFmtId="0" fontId="36" fillId="0" borderId="63" xfId="0" applyNumberFormat="1" applyFont="1" applyBorder="1" applyAlignment="1">
      <alignment horizontal="justify" vertical="center" wrapText="1"/>
    </xf>
    <xf numFmtId="0" fontId="36" fillId="0" borderId="14" xfId="0" applyNumberFormat="1" applyFont="1" applyBorder="1" applyAlignment="1">
      <alignment horizontal="left" vertical="center" wrapText="1"/>
    </xf>
    <xf numFmtId="0" fontId="36" fillId="0" borderId="14" xfId="0" applyNumberFormat="1" applyFont="1" applyBorder="1" applyAlignment="1">
      <alignment horizontal="justify" vertical="center" wrapText="1"/>
    </xf>
    <xf numFmtId="173" fontId="32" fillId="0" borderId="14" xfId="0" applyNumberFormat="1" applyFont="1" applyBorder="1" applyAlignment="1">
      <alignment horizontal="left" vertical="center" wrapText="1"/>
    </xf>
    <xf numFmtId="0" fontId="29" fillId="0" borderId="131" xfId="0" applyFont="1" applyBorder="1" applyAlignment="1">
      <alignment horizontal="justify" wrapText="1"/>
    </xf>
    <xf numFmtId="0" fontId="29" fillId="0" borderId="14" xfId="0" applyNumberFormat="1" applyFont="1" applyBorder="1" applyAlignment="1">
      <alignment horizontal="left" vertical="center" wrapText="1"/>
    </xf>
    <xf numFmtId="0" fontId="33" fillId="0" borderId="63" xfId="0" applyFont="1" applyBorder="1" applyAlignment="1">
      <alignment horizontal="justify" vertical="center" wrapText="1"/>
    </xf>
    <xf numFmtId="0" fontId="29" fillId="0" borderId="14" xfId="0" applyNumberFormat="1" applyFont="1" applyBorder="1" applyAlignment="1">
      <alignment horizontal="justify" vertical="center" wrapText="1"/>
    </xf>
    <xf numFmtId="0" fontId="29" fillId="0" borderId="14" xfId="0" applyFont="1" applyBorder="1" applyAlignment="1">
      <alignment horizontal="left" vertical="center" wrapText="1"/>
    </xf>
    <xf numFmtId="0" fontId="29" fillId="0" borderId="14" xfId="0" applyFont="1" applyBorder="1" applyAlignment="1">
      <alignment horizontal="justify" vertical="center" wrapText="1"/>
    </xf>
    <xf numFmtId="0" fontId="33" fillId="0" borderId="14" xfId="0" applyFont="1" applyBorder="1" applyAlignment="1">
      <alignment horizontal="justify" vertical="center" wrapText="1"/>
    </xf>
    <xf numFmtId="0" fontId="31" fillId="13" borderId="14" xfId="0" applyNumberFormat="1"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132" xfId="0" applyBorder="1" applyAlignment="1">
      <alignment horizontal="center"/>
    </xf>
    <xf numFmtId="0" fontId="0" fillId="0" borderId="132" xfId="0" applyBorder="1" applyAlignment="1">
      <alignment horizontal="center" wrapText="1"/>
    </xf>
    <xf numFmtId="9" fontId="33" fillId="0" borderId="14" xfId="103" applyFont="1" applyFill="1" applyBorder="1" applyAlignment="1" applyProtection="1">
      <alignment horizontal="justify" vertical="center" wrapText="1"/>
      <protection/>
    </xf>
    <xf numFmtId="9" fontId="29" fillId="0" borderId="14" xfId="0" applyNumberFormat="1" applyFont="1" applyBorder="1" applyAlignment="1">
      <alignment horizontal="left" vertical="center" wrapText="1"/>
    </xf>
    <xf numFmtId="173" fontId="22" fillId="26" borderId="0" xfId="91" applyFont="1" applyFill="1" applyBorder="1" applyAlignment="1" applyProtection="1">
      <alignment horizontal="center" vertical="center"/>
      <protection/>
    </xf>
    <xf numFmtId="0" fontId="31" fillId="3" borderId="14" xfId="0" applyNumberFormat="1" applyFont="1" applyFill="1" applyBorder="1" applyAlignment="1">
      <alignment horizontal="center"/>
    </xf>
    <xf numFmtId="173" fontId="38" fillId="13" borderId="67" xfId="119" applyNumberFormat="1" applyFont="1" applyFill="1" applyBorder="1" applyAlignment="1" applyProtection="1">
      <alignment horizontal="center"/>
      <protection/>
    </xf>
    <xf numFmtId="173" fontId="0" fillId="0" borderId="67" xfId="119" applyNumberFormat="1" applyFont="1" applyFill="1" applyBorder="1" applyAlignment="1" applyProtection="1">
      <alignment horizontal="right"/>
      <protection/>
    </xf>
    <xf numFmtId="175" fontId="38" fillId="13" borderId="67" xfId="119" applyNumberFormat="1" applyFont="1" applyFill="1" applyBorder="1" applyAlignment="1" applyProtection="1">
      <alignment horizontal="center"/>
      <protection/>
    </xf>
    <xf numFmtId="173" fontId="69" fillId="36" borderId="67" xfId="119" applyNumberFormat="1" applyFont="1" applyFill="1" applyBorder="1" applyAlignment="1" applyProtection="1">
      <alignment horizontal="center"/>
      <protection/>
    </xf>
    <xf numFmtId="190" fontId="38" fillId="13" borderId="67" xfId="119" applyNumberFormat="1" applyFont="1" applyFill="1" applyBorder="1" applyAlignment="1" applyProtection="1">
      <alignment horizontal="center" vertical="center"/>
      <protection/>
    </xf>
    <xf numFmtId="173" fontId="22" fillId="26" borderId="0" xfId="83" applyFont="1" applyFill="1" applyBorder="1" applyAlignment="1" applyProtection="1">
      <alignment horizontal="center" vertical="center"/>
      <protection/>
    </xf>
    <xf numFmtId="173" fontId="24" fillId="13" borderId="0" xfId="95" applyFont="1" applyFill="1" applyBorder="1" applyAlignment="1" applyProtection="1">
      <alignment horizontal="center" vertical="center" wrapText="1"/>
      <protection/>
    </xf>
    <xf numFmtId="173" fontId="65" fillId="0" borderId="0" xfId="95" applyFont="1" applyFill="1" applyBorder="1" applyAlignment="1" applyProtection="1">
      <alignment horizontal="right" vertical="center"/>
      <protection/>
    </xf>
    <xf numFmtId="173" fontId="38" fillId="13" borderId="0" xfId="95" applyFont="1" applyFill="1" applyBorder="1" applyAlignment="1" applyProtection="1">
      <alignment horizontal="center" vertical="center" wrapText="1"/>
      <protection/>
    </xf>
    <xf numFmtId="3" fontId="54" fillId="13" borderId="96" xfId="0" applyNumberFormat="1" applyFont="1" applyFill="1" applyBorder="1" applyAlignment="1" applyProtection="1">
      <alignment horizontal="center" vertical="center" wrapText="1"/>
      <protection/>
    </xf>
    <xf numFmtId="3" fontId="54" fillId="13" borderId="105" xfId="0" applyNumberFormat="1" applyFont="1" applyFill="1" applyBorder="1" applyAlignment="1" applyProtection="1">
      <alignment horizontal="center" vertical="center" wrapText="1"/>
      <protection/>
    </xf>
    <xf numFmtId="2" fontId="0" fillId="0" borderId="96" xfId="0" applyNumberFormat="1" applyFill="1" applyBorder="1" applyAlignment="1" applyProtection="1">
      <alignment horizontal="center" vertical="center"/>
      <protection/>
    </xf>
    <xf numFmtId="2" fontId="0" fillId="0" borderId="105" xfId="0" applyNumberFormat="1" applyFill="1" applyBorder="1" applyAlignment="1" applyProtection="1">
      <alignment horizontal="center" vertical="center"/>
      <protection/>
    </xf>
    <xf numFmtId="0" fontId="0" fillId="13" borderId="96" xfId="0" applyNumberFormat="1" applyFill="1" applyBorder="1" applyAlignment="1" applyProtection="1">
      <alignment horizontal="center" vertical="center" wrapText="1"/>
      <protection/>
    </xf>
    <xf numFmtId="0" fontId="0" fillId="13" borderId="105" xfId="0" applyNumberFormat="1" applyFill="1" applyBorder="1" applyAlignment="1" applyProtection="1">
      <alignment horizontal="center" vertical="center" wrapText="1"/>
      <protection/>
    </xf>
    <xf numFmtId="186" fontId="0" fillId="0" borderId="133" xfId="0" applyNumberFormat="1" applyFill="1" applyBorder="1" applyAlignment="1" applyProtection="1">
      <alignment horizontal="center" vertical="center"/>
      <protection/>
    </xf>
    <xf numFmtId="186" fontId="0" fillId="0" borderId="134" xfId="0" applyNumberFormat="1" applyFill="1" applyBorder="1" applyAlignment="1" applyProtection="1">
      <alignment horizontal="center" vertical="center"/>
      <protection/>
    </xf>
    <xf numFmtId="0" fontId="0" fillId="0" borderId="0" xfId="0" applyAlignment="1" applyProtection="1">
      <alignment horizontal="left" wrapText="1"/>
      <protection/>
    </xf>
    <xf numFmtId="3" fontId="54" fillId="13" borderId="135" xfId="0" applyNumberFormat="1" applyFont="1" applyFill="1" applyBorder="1" applyAlignment="1" applyProtection="1">
      <alignment horizontal="center" vertical="center"/>
      <protection/>
    </xf>
    <xf numFmtId="3" fontId="54" fillId="13" borderId="120" xfId="0" applyNumberFormat="1" applyFont="1" applyFill="1" applyBorder="1" applyAlignment="1" applyProtection="1">
      <alignment horizontal="center" vertical="center"/>
      <protection/>
    </xf>
    <xf numFmtId="0" fontId="0" fillId="13" borderId="136" xfId="0" applyNumberFormat="1" applyFill="1" applyBorder="1" applyAlignment="1" applyProtection="1">
      <alignment horizontal="center" vertical="center"/>
      <protection/>
    </xf>
    <xf numFmtId="0" fontId="0" fillId="13" borderId="137" xfId="0" applyNumberFormat="1" applyFill="1" applyBorder="1" applyAlignment="1" applyProtection="1">
      <alignment horizontal="center" vertical="center"/>
      <protection/>
    </xf>
    <xf numFmtId="173" fontId="0" fillId="0" borderId="138" xfId="0" applyNumberFormat="1" applyFont="1" applyFill="1" applyBorder="1" applyAlignment="1" applyProtection="1">
      <alignment horizontal="left" vertical="center"/>
      <protection locked="0"/>
    </xf>
    <xf numFmtId="173" fontId="0" fillId="0" borderId="139" xfId="0" applyNumberFormat="1" applyFont="1" applyFill="1" applyBorder="1" applyAlignment="1" applyProtection="1">
      <alignment horizontal="left" vertical="center"/>
      <protection locked="0"/>
    </xf>
    <xf numFmtId="186" fontId="0" fillId="0" borderId="140" xfId="0" applyNumberFormat="1" applyFill="1" applyBorder="1" applyAlignment="1" applyProtection="1">
      <alignment horizontal="center" vertical="center"/>
      <protection/>
    </xf>
    <xf numFmtId="186" fontId="0" fillId="0" borderId="141" xfId="0" applyNumberFormat="1" applyFill="1" applyBorder="1" applyAlignment="1" applyProtection="1">
      <alignment horizontal="center" vertical="center"/>
      <protection/>
    </xf>
    <xf numFmtId="2" fontId="0" fillId="0" borderId="131" xfId="0" applyNumberFormat="1" applyFill="1" applyBorder="1" applyAlignment="1" applyProtection="1">
      <alignment horizontal="center" vertical="center"/>
      <protection/>
    </xf>
    <xf numFmtId="2" fontId="0" fillId="0" borderId="137" xfId="0" applyNumberFormat="1" applyFill="1" applyBorder="1" applyAlignment="1" applyProtection="1">
      <alignment horizontal="center" vertical="center"/>
      <protection/>
    </xf>
    <xf numFmtId="0" fontId="1" fillId="0" borderId="142" xfId="0" applyFont="1" applyFill="1" applyBorder="1" applyAlignment="1" applyProtection="1">
      <alignment horizontal="left" vertical="center" wrapText="1"/>
      <protection/>
    </xf>
    <xf numFmtId="0" fontId="1" fillId="0" borderId="143" xfId="0" applyFont="1" applyFill="1" applyBorder="1" applyAlignment="1" applyProtection="1">
      <alignment horizontal="center" vertical="center" wrapText="1"/>
      <protection/>
    </xf>
    <xf numFmtId="0" fontId="1" fillId="0" borderId="144" xfId="0" applyFont="1" applyFill="1" applyBorder="1" applyAlignment="1" applyProtection="1">
      <alignment horizontal="center" vertical="center" wrapText="1"/>
      <protection/>
    </xf>
    <xf numFmtId="0" fontId="1" fillId="0" borderId="145" xfId="0" applyFont="1" applyFill="1" applyBorder="1" applyAlignment="1" applyProtection="1">
      <alignment horizontal="left" vertical="center" wrapText="1"/>
      <protection/>
    </xf>
    <xf numFmtId="0" fontId="1" fillId="27" borderId="142" xfId="0" applyFont="1" applyFill="1" applyBorder="1" applyAlignment="1" applyProtection="1">
      <alignment horizontal="left" vertical="center" wrapText="1"/>
      <protection/>
    </xf>
    <xf numFmtId="0" fontId="1" fillId="27" borderId="143" xfId="0" applyFont="1" applyFill="1" applyBorder="1" applyAlignment="1" applyProtection="1">
      <alignment horizontal="center" vertical="center" wrapText="1"/>
      <protection/>
    </xf>
    <xf numFmtId="0" fontId="1" fillId="27" borderId="144" xfId="0" applyFont="1" applyFill="1" applyBorder="1" applyAlignment="1" applyProtection="1">
      <alignment horizontal="center" vertical="center" wrapText="1"/>
      <protection/>
    </xf>
    <xf numFmtId="49" fontId="1" fillId="37" borderId="146" xfId="0" applyNumberFormat="1" applyFont="1" applyFill="1" applyBorder="1" applyAlignment="1" applyProtection="1">
      <alignment horizontal="left" vertical="center" wrapText="1"/>
      <protection/>
    </xf>
    <xf numFmtId="49" fontId="1" fillId="37" borderId="147" xfId="0" applyNumberFormat="1" applyFont="1" applyFill="1" applyBorder="1" applyAlignment="1" applyProtection="1">
      <alignment horizontal="left" vertical="center" wrapText="1"/>
      <protection/>
    </xf>
    <xf numFmtId="49" fontId="1" fillId="37" borderId="148" xfId="0" applyNumberFormat="1" applyFont="1" applyFill="1" applyBorder="1" applyAlignment="1" applyProtection="1">
      <alignment horizontal="left" vertical="center" wrapText="1"/>
      <protection/>
    </xf>
    <xf numFmtId="49" fontId="1" fillId="37" borderId="149" xfId="0" applyNumberFormat="1" applyFont="1" applyFill="1" applyBorder="1" applyAlignment="1" applyProtection="1">
      <alignment horizontal="left" vertical="center" wrapText="1"/>
      <protection/>
    </xf>
    <xf numFmtId="49" fontId="1" fillId="37" borderId="150" xfId="0" applyNumberFormat="1" applyFont="1" applyFill="1" applyBorder="1" applyAlignment="1" applyProtection="1">
      <alignment horizontal="left" vertical="center" wrapText="1"/>
      <protection/>
    </xf>
    <xf numFmtId="49" fontId="1" fillId="37" borderId="151" xfId="0" applyNumberFormat="1" applyFont="1" applyFill="1" applyBorder="1" applyAlignment="1" applyProtection="1">
      <alignment horizontal="left" vertical="center" wrapText="1"/>
      <protection/>
    </xf>
    <xf numFmtId="0" fontId="1" fillId="31" borderId="152" xfId="0" applyNumberFormat="1" applyFont="1" applyFill="1" applyBorder="1" applyAlignment="1" applyProtection="1">
      <alignment horizontal="center" vertical="center" wrapText="1"/>
      <protection/>
    </xf>
    <xf numFmtId="0" fontId="1" fillId="31" borderId="153" xfId="0" applyNumberFormat="1" applyFont="1" applyFill="1" applyBorder="1" applyAlignment="1" applyProtection="1">
      <alignment horizontal="center" vertical="center" wrapText="1"/>
      <protection/>
    </xf>
    <xf numFmtId="49" fontId="1" fillId="31" borderId="154" xfId="0" applyNumberFormat="1" applyFont="1" applyFill="1" applyBorder="1" applyAlignment="1" applyProtection="1">
      <alignment horizontal="center" vertical="center" wrapText="1"/>
      <protection/>
    </xf>
    <xf numFmtId="49" fontId="1" fillId="31" borderId="155" xfId="0" applyNumberFormat="1" applyFont="1" applyFill="1" applyBorder="1" applyAlignment="1" applyProtection="1">
      <alignment horizontal="center" vertical="center" wrapText="1"/>
      <protection/>
    </xf>
    <xf numFmtId="49" fontId="1" fillId="38" borderId="146" xfId="0" applyNumberFormat="1" applyFont="1" applyFill="1" applyBorder="1" applyAlignment="1" applyProtection="1">
      <alignment horizontal="left" vertical="center" wrapText="1"/>
      <protection/>
    </xf>
    <xf numFmtId="49" fontId="1" fillId="38" borderId="147" xfId="0" applyNumberFormat="1" applyFont="1" applyFill="1" applyBorder="1" applyAlignment="1" applyProtection="1">
      <alignment horizontal="left" vertical="center" wrapText="1"/>
      <protection/>
    </xf>
    <xf numFmtId="49" fontId="1" fillId="38" borderId="148" xfId="0" applyNumberFormat="1" applyFont="1" applyFill="1" applyBorder="1" applyAlignment="1" applyProtection="1">
      <alignment horizontal="left" vertical="center" wrapText="1"/>
      <protection/>
    </xf>
    <xf numFmtId="49" fontId="1" fillId="38" borderId="149" xfId="0" applyNumberFormat="1" applyFont="1" applyFill="1" applyBorder="1" applyAlignment="1" applyProtection="1">
      <alignment horizontal="left" vertical="center" wrapText="1"/>
      <protection/>
    </xf>
    <xf numFmtId="49" fontId="1" fillId="38" borderId="150" xfId="0" applyNumberFormat="1" applyFont="1" applyFill="1" applyBorder="1" applyAlignment="1" applyProtection="1">
      <alignment horizontal="left" vertical="center" wrapText="1"/>
      <protection/>
    </xf>
    <xf numFmtId="49" fontId="1" fillId="38" borderId="151" xfId="0" applyNumberFormat="1" applyFont="1" applyFill="1" applyBorder="1" applyAlignment="1" applyProtection="1">
      <alignment horizontal="left" vertical="center" wrapText="1"/>
      <protection/>
    </xf>
    <xf numFmtId="49" fontId="1" fillId="31" borderId="146" xfId="0" applyNumberFormat="1" applyFont="1" applyFill="1" applyBorder="1" applyAlignment="1" applyProtection="1">
      <alignment horizontal="left" vertical="center" wrapText="1"/>
      <protection/>
    </xf>
    <xf numFmtId="49" fontId="1" fillId="31" borderId="147" xfId="0" applyNumberFormat="1" applyFont="1" applyFill="1" applyBorder="1" applyAlignment="1" applyProtection="1">
      <alignment horizontal="left" vertical="center" wrapText="1"/>
      <protection/>
    </xf>
    <xf numFmtId="49" fontId="1" fillId="31" borderId="148" xfId="0" applyNumberFormat="1" applyFont="1" applyFill="1" applyBorder="1" applyAlignment="1" applyProtection="1">
      <alignment horizontal="left" vertical="center" wrapText="1"/>
      <protection/>
    </xf>
    <xf numFmtId="49" fontId="1" fillId="31" borderId="149" xfId="0" applyNumberFormat="1" applyFont="1" applyFill="1" applyBorder="1" applyAlignment="1" applyProtection="1">
      <alignment horizontal="left" vertical="center" wrapText="1"/>
      <protection/>
    </xf>
    <xf numFmtId="49" fontId="1" fillId="31" borderId="150" xfId="0" applyNumberFormat="1" applyFont="1" applyFill="1" applyBorder="1" applyAlignment="1" applyProtection="1">
      <alignment horizontal="left" vertical="center" wrapText="1"/>
      <protection/>
    </xf>
    <xf numFmtId="49" fontId="1" fillId="31" borderId="151" xfId="0" applyNumberFormat="1" applyFont="1" applyFill="1" applyBorder="1" applyAlignment="1" applyProtection="1">
      <alignment horizontal="left" vertical="center" wrapText="1"/>
      <protection/>
    </xf>
    <xf numFmtId="0" fontId="1" fillId="38" borderId="146" xfId="0" applyNumberFormat="1" applyFont="1" applyFill="1" applyBorder="1" applyAlignment="1" applyProtection="1">
      <alignment horizontal="left" vertical="center" wrapText="1"/>
      <protection/>
    </xf>
    <xf numFmtId="0" fontId="1" fillId="38" borderId="147" xfId="0" applyNumberFormat="1" applyFont="1" applyFill="1" applyBorder="1" applyAlignment="1" applyProtection="1">
      <alignment horizontal="left" vertical="center" wrapText="1"/>
      <protection/>
    </xf>
    <xf numFmtId="0" fontId="1" fillId="38" borderId="148" xfId="0" applyNumberFormat="1" applyFont="1" applyFill="1" applyBorder="1" applyAlignment="1" applyProtection="1">
      <alignment horizontal="left" vertical="center" wrapText="1"/>
      <protection/>
    </xf>
    <xf numFmtId="0" fontId="1" fillId="38" borderId="149" xfId="0" applyNumberFormat="1" applyFont="1" applyFill="1" applyBorder="1" applyAlignment="1" applyProtection="1">
      <alignment horizontal="left" vertical="center" wrapText="1"/>
      <protection/>
    </xf>
    <xf numFmtId="0" fontId="1" fillId="38" borderId="150" xfId="0" applyNumberFormat="1" applyFont="1" applyFill="1" applyBorder="1" applyAlignment="1" applyProtection="1">
      <alignment horizontal="left" vertical="center" wrapText="1"/>
      <protection/>
    </xf>
    <xf numFmtId="0" fontId="1" fillId="38" borderId="151" xfId="0" applyNumberFormat="1" applyFont="1" applyFill="1" applyBorder="1" applyAlignment="1" applyProtection="1">
      <alignment horizontal="left" vertical="center" wrapText="1"/>
      <protection/>
    </xf>
    <xf numFmtId="0" fontId="1" fillId="31" borderId="146" xfId="0" applyNumberFormat="1" applyFont="1" applyFill="1" applyBorder="1" applyAlignment="1" applyProtection="1">
      <alignment horizontal="left" vertical="center" wrapText="1"/>
      <protection/>
    </xf>
    <xf numFmtId="0" fontId="1" fillId="31" borderId="147" xfId="0" applyNumberFormat="1" applyFont="1" applyFill="1" applyBorder="1" applyAlignment="1" applyProtection="1">
      <alignment horizontal="left" vertical="center" wrapText="1"/>
      <protection/>
    </xf>
    <xf numFmtId="0" fontId="1" fillId="31" borderId="148" xfId="0" applyNumberFormat="1" applyFont="1" applyFill="1" applyBorder="1" applyAlignment="1" applyProtection="1">
      <alignment horizontal="left" vertical="center" wrapText="1"/>
      <protection/>
    </xf>
    <xf numFmtId="0" fontId="1" fillId="31" borderId="149" xfId="0" applyNumberFormat="1" applyFont="1" applyFill="1" applyBorder="1" applyAlignment="1" applyProtection="1">
      <alignment horizontal="left" vertical="center" wrapText="1"/>
      <protection/>
    </xf>
    <xf numFmtId="0" fontId="1" fillId="31" borderId="150" xfId="0" applyNumberFormat="1" applyFont="1" applyFill="1" applyBorder="1" applyAlignment="1" applyProtection="1">
      <alignment horizontal="left" vertical="center" wrapText="1"/>
      <protection/>
    </xf>
    <xf numFmtId="0" fontId="1" fillId="31" borderId="151" xfId="0" applyNumberFormat="1" applyFont="1" applyFill="1" applyBorder="1" applyAlignment="1" applyProtection="1">
      <alignment horizontal="left" vertical="center" wrapText="1"/>
      <protection/>
    </xf>
    <xf numFmtId="176" fontId="0" fillId="10" borderId="95" xfId="0" applyNumberFormat="1" applyFont="1" applyFill="1" applyBorder="1" applyAlignment="1" applyProtection="1">
      <alignment horizontal="center" vertical="center" textRotation="90"/>
      <protection/>
    </xf>
    <xf numFmtId="173" fontId="0" fillId="0" borderId="44" xfId="0" applyNumberFormat="1" applyFont="1" applyBorder="1" applyAlignment="1" applyProtection="1">
      <alignment horizontal="left"/>
      <protection/>
    </xf>
    <xf numFmtId="173" fontId="27" fillId="0" borderId="156" xfId="0" applyNumberFormat="1" applyFont="1" applyBorder="1" applyAlignment="1" applyProtection="1">
      <alignment horizontal="right"/>
      <protection/>
    </xf>
    <xf numFmtId="173" fontId="18" fillId="0" borderId="157" xfId="0" applyNumberFormat="1" applyFont="1" applyBorder="1" applyAlignment="1" applyProtection="1">
      <alignment horizontal="center"/>
      <protection/>
    </xf>
    <xf numFmtId="0" fontId="0" fillId="24" borderId="158" xfId="0" applyFill="1" applyBorder="1" applyAlignment="1" applyProtection="1">
      <alignment horizontal="center"/>
      <protection/>
    </xf>
    <xf numFmtId="173" fontId="50" fillId="0" borderId="159" xfId="0" applyNumberFormat="1" applyFont="1" applyBorder="1" applyAlignment="1" applyProtection="1">
      <alignment horizontal="center" wrapText="1"/>
      <protection/>
    </xf>
    <xf numFmtId="173" fontId="62" fillId="0" borderId="55" xfId="0" applyNumberFormat="1" applyFont="1" applyFill="1" applyBorder="1" applyAlignment="1" applyProtection="1">
      <alignment horizontal="center" vertical="center"/>
      <protection/>
    </xf>
    <xf numFmtId="3" fontId="54" fillId="13" borderId="160" xfId="0" applyNumberFormat="1" applyFont="1" applyFill="1" applyBorder="1" applyAlignment="1" applyProtection="1">
      <alignment horizontal="center" vertical="center"/>
      <protection/>
    </xf>
    <xf numFmtId="3" fontId="54" fillId="13" borderId="161" xfId="0" applyNumberFormat="1" applyFont="1" applyFill="1" applyBorder="1" applyAlignment="1" applyProtection="1">
      <alignment horizontal="center" vertical="center"/>
      <protection/>
    </xf>
    <xf numFmtId="2" fontId="0" fillId="0" borderId="63" xfId="0" applyNumberFormat="1" applyFill="1" applyBorder="1" applyAlignment="1" applyProtection="1">
      <alignment horizontal="center" vertical="center"/>
      <protection/>
    </xf>
    <xf numFmtId="0" fontId="0" fillId="13" borderId="131" xfId="0" applyNumberFormat="1" applyFill="1" applyBorder="1" applyAlignment="1" applyProtection="1">
      <alignment horizontal="center" vertical="center"/>
      <protection/>
    </xf>
    <xf numFmtId="0" fontId="0" fillId="13" borderId="162" xfId="0" applyNumberFormat="1" applyFill="1" applyBorder="1" applyAlignment="1" applyProtection="1">
      <alignment horizontal="center" vertical="center"/>
      <protection/>
    </xf>
    <xf numFmtId="186" fontId="0" fillId="0" borderId="163" xfId="0" applyNumberFormat="1" applyFill="1" applyBorder="1" applyAlignment="1" applyProtection="1">
      <alignment horizontal="center" vertical="center"/>
      <protection/>
    </xf>
    <xf numFmtId="173" fontId="44" fillId="0" borderId="137" xfId="0" applyNumberFormat="1" applyFont="1" applyBorder="1" applyAlignment="1" applyProtection="1">
      <alignment horizontal="right"/>
      <protection/>
    </xf>
    <xf numFmtId="173" fontId="43" fillId="0" borderId="120" xfId="0" applyNumberFormat="1" applyFont="1" applyBorder="1" applyAlignment="1" applyProtection="1">
      <alignment horizontal="right"/>
      <protection/>
    </xf>
    <xf numFmtId="49" fontId="18" fillId="0" borderId="14" xfId="0" applyNumberFormat="1" applyFont="1" applyBorder="1" applyAlignment="1" applyProtection="1">
      <alignment horizontal="center"/>
      <protection locked="0"/>
    </xf>
    <xf numFmtId="173" fontId="41" fillId="26" borderId="0" xfId="83" applyFont="1" applyFill="1" applyBorder="1" applyAlignment="1" applyProtection="1">
      <alignment horizontal="center" vertical="center"/>
      <protection/>
    </xf>
    <xf numFmtId="0" fontId="0" fillId="0" borderId="164" xfId="0" applyBorder="1" applyAlignment="1" applyProtection="1">
      <alignment horizontal="center"/>
      <protection/>
    </xf>
    <xf numFmtId="173" fontId="0" fillId="0" borderId="42" xfId="0" applyNumberFormat="1" applyFont="1" applyBorder="1" applyAlignment="1" applyProtection="1">
      <alignment horizontal="left"/>
      <protection/>
    </xf>
    <xf numFmtId="173" fontId="0" fillId="0" borderId="14" xfId="0" applyNumberFormat="1" applyFont="1" applyBorder="1" applyAlignment="1" applyProtection="1">
      <alignment horizontal="center"/>
      <protection locked="0"/>
    </xf>
    <xf numFmtId="173" fontId="43" fillId="0" borderId="0" xfId="0" applyNumberFormat="1" applyFont="1" applyBorder="1" applyAlignment="1" applyProtection="1">
      <alignment horizontal="right"/>
      <protection/>
    </xf>
    <xf numFmtId="49" fontId="40" fillId="0" borderId="52" xfId="0" applyNumberFormat="1" applyFont="1" applyBorder="1" applyAlignment="1" applyProtection="1">
      <alignment horizontal="center" wrapText="1"/>
      <protection locked="0"/>
    </xf>
    <xf numFmtId="175" fontId="0" fillId="0" borderId="14" xfId="119" applyNumberFormat="1" applyFont="1" applyFill="1" applyBorder="1" applyAlignment="1" applyProtection="1">
      <alignment horizontal="center"/>
      <protection locked="0"/>
    </xf>
    <xf numFmtId="173" fontId="43" fillId="0" borderId="137" xfId="0" applyNumberFormat="1" applyFont="1" applyBorder="1" applyAlignment="1" applyProtection="1">
      <alignment horizontal="right"/>
      <protection/>
    </xf>
    <xf numFmtId="49" fontId="0" fillId="0" borderId="14" xfId="0" applyNumberFormat="1" applyFont="1" applyBorder="1" applyAlignment="1" applyProtection="1">
      <alignment horizontal="center"/>
      <protection locked="0"/>
    </xf>
    <xf numFmtId="174" fontId="0" fillId="0" borderId="52" xfId="0" applyNumberFormat="1" applyBorder="1" applyAlignment="1" applyProtection="1">
      <alignment horizontal="center"/>
      <protection locked="0"/>
    </xf>
    <xf numFmtId="0" fontId="0" fillId="0" borderId="0" xfId="0" applyBorder="1" applyAlignment="1" applyProtection="1">
      <alignment horizontal="center" wrapText="1"/>
      <protection/>
    </xf>
    <xf numFmtId="173" fontId="2" fillId="22" borderId="14" xfId="119" applyNumberFormat="1" applyFont="1" applyFill="1" applyBorder="1" applyAlignment="1" applyProtection="1">
      <alignment horizontal="center"/>
      <protection locked="0"/>
    </xf>
    <xf numFmtId="173" fontId="43" fillId="0" borderId="15" xfId="0" applyNumberFormat="1" applyFont="1" applyBorder="1" applyAlignment="1" applyProtection="1">
      <alignment horizontal="right"/>
      <protection/>
    </xf>
    <xf numFmtId="49" fontId="0" fillId="0" borderId="52" xfId="0" applyNumberFormat="1" applyFont="1" applyBorder="1" applyAlignment="1" applyProtection="1">
      <alignment horizontal="center"/>
      <protection locked="0"/>
    </xf>
    <xf numFmtId="0" fontId="0" fillId="12" borderId="14" xfId="0" applyFill="1" applyBorder="1" applyAlignment="1" applyProtection="1">
      <alignment horizontal="center"/>
      <protection/>
    </xf>
    <xf numFmtId="0" fontId="78" fillId="0" borderId="165" xfId="0" applyFont="1" applyFill="1" applyBorder="1" applyAlignment="1" applyProtection="1">
      <alignment horizontal="left" wrapText="1"/>
      <protection/>
    </xf>
    <xf numFmtId="0" fontId="78" fillId="0" borderId="166" xfId="0" applyFont="1" applyFill="1" applyBorder="1" applyAlignment="1" applyProtection="1">
      <alignment horizontal="left" wrapText="1"/>
      <protection/>
    </xf>
    <xf numFmtId="173" fontId="77" fillId="0" borderId="167" xfId="0" applyNumberFormat="1" applyFont="1" applyBorder="1" applyAlignment="1" applyProtection="1">
      <alignment horizontal="center" vertical="center" wrapText="1"/>
      <protection/>
    </xf>
    <xf numFmtId="173" fontId="77" fillId="0" borderId="168" xfId="0" applyNumberFormat="1" applyFont="1" applyBorder="1" applyAlignment="1" applyProtection="1">
      <alignment horizontal="center" vertical="center" wrapText="1"/>
      <protection/>
    </xf>
    <xf numFmtId="173" fontId="77" fillId="0" borderId="169" xfId="0" applyNumberFormat="1" applyFont="1" applyBorder="1" applyAlignment="1" applyProtection="1">
      <alignment horizontal="center" vertical="center" wrapText="1"/>
      <protection/>
    </xf>
    <xf numFmtId="0" fontId="0" fillId="0" borderId="170" xfId="0" applyBorder="1" applyAlignment="1" applyProtection="1">
      <alignment horizontal="center"/>
      <protection/>
    </xf>
    <xf numFmtId="0" fontId="0" fillId="0" borderId="171" xfId="0" applyBorder="1" applyAlignment="1" applyProtection="1">
      <alignment horizontal="center"/>
      <protection/>
    </xf>
    <xf numFmtId="0" fontId="78" fillId="0" borderId="172" xfId="0" applyFont="1" applyFill="1" applyBorder="1" applyAlignment="1" applyProtection="1">
      <alignment horizontal="left" wrapText="1"/>
      <protection/>
    </xf>
    <xf numFmtId="0" fontId="78" fillId="0" borderId="173" xfId="0" applyFont="1" applyFill="1" applyBorder="1" applyAlignment="1" applyProtection="1">
      <alignment horizontal="left" wrapText="1"/>
      <protection/>
    </xf>
    <xf numFmtId="0" fontId="72" fillId="0" borderId="0" xfId="0" applyFont="1" applyBorder="1" applyAlignment="1" applyProtection="1">
      <alignment horizontal="center"/>
      <protection/>
    </xf>
    <xf numFmtId="0" fontId="112" fillId="12" borderId="52" xfId="0" applyFont="1" applyFill="1" applyBorder="1" applyAlignment="1" applyProtection="1">
      <alignment horizontal="left" vertical="center" wrapText="1"/>
      <protection locked="0"/>
    </xf>
    <xf numFmtId="0" fontId="134" fillId="12" borderId="52" xfId="0" applyFont="1" applyFill="1" applyBorder="1" applyAlignment="1" applyProtection="1">
      <alignment horizontal="left" vertical="center" wrapText="1"/>
      <protection locked="0"/>
    </xf>
    <xf numFmtId="0" fontId="134" fillId="12" borderId="14" xfId="0" applyFont="1" applyFill="1" applyBorder="1" applyAlignment="1" applyProtection="1">
      <alignment horizontal="left" vertical="center" wrapText="1"/>
      <protection locked="0"/>
    </xf>
    <xf numFmtId="0" fontId="111" fillId="12" borderId="15" xfId="0" applyFont="1" applyFill="1" applyBorder="1" applyAlignment="1" applyProtection="1">
      <alignment horizontal="left" vertical="center" wrapText="1"/>
      <protection locked="0"/>
    </xf>
    <xf numFmtId="0" fontId="111" fillId="12" borderId="0" xfId="0" applyFont="1" applyFill="1" applyBorder="1" applyAlignment="1" applyProtection="1">
      <alignment horizontal="left" vertical="center" wrapText="1"/>
      <protection locked="0"/>
    </xf>
    <xf numFmtId="173" fontId="2" fillId="36" borderId="0" xfId="119" applyNumberFormat="1" applyFont="1" applyFill="1" applyBorder="1" applyAlignment="1" applyProtection="1">
      <alignment horizontal="center"/>
      <protection/>
    </xf>
    <xf numFmtId="173" fontId="18" fillId="0" borderId="0" xfId="0" applyNumberFormat="1" applyFont="1" applyBorder="1" applyAlignment="1" applyProtection="1">
      <alignment horizontal="center"/>
      <protection/>
    </xf>
    <xf numFmtId="173" fontId="40" fillId="0" borderId="0" xfId="0" applyNumberFormat="1" applyFont="1" applyBorder="1" applyAlignment="1" applyProtection="1">
      <alignment horizontal="right"/>
      <protection/>
    </xf>
    <xf numFmtId="173" fontId="18" fillId="0" borderId="0" xfId="0" applyNumberFormat="1" applyFont="1" applyBorder="1" applyAlignment="1" applyProtection="1">
      <alignment horizontal="center" wrapText="1"/>
      <protection/>
    </xf>
    <xf numFmtId="173" fontId="40" fillId="0" borderId="0" xfId="0" applyNumberFormat="1" applyFont="1" applyBorder="1" applyAlignment="1" applyProtection="1">
      <alignment horizontal="left"/>
      <protection/>
    </xf>
    <xf numFmtId="186" fontId="2" fillId="33" borderId="140" xfId="0" applyNumberFormat="1" applyFont="1" applyFill="1" applyBorder="1" applyAlignment="1" applyProtection="1">
      <alignment horizontal="center" vertical="center"/>
      <protection/>
    </xf>
    <xf numFmtId="186" fontId="2" fillId="33" borderId="141" xfId="0" applyNumberFormat="1" applyFont="1" applyFill="1" applyBorder="1" applyAlignment="1" applyProtection="1">
      <alignment horizontal="center" vertical="center"/>
      <protection/>
    </xf>
    <xf numFmtId="186" fontId="2" fillId="33" borderId="174" xfId="0" applyNumberFormat="1" applyFont="1" applyFill="1" applyBorder="1" applyAlignment="1" applyProtection="1">
      <alignment horizontal="center" vertical="center"/>
      <protection/>
    </xf>
    <xf numFmtId="0" fontId="75" fillId="12" borderId="11" xfId="0" applyFont="1" applyFill="1" applyBorder="1" applyAlignment="1" applyProtection="1">
      <alignment horizontal="left" vertical="center" wrapText="1"/>
      <protection locked="0"/>
    </xf>
    <xf numFmtId="0" fontId="75" fillId="12" borderId="12" xfId="0" applyFont="1" applyFill="1" applyBorder="1" applyAlignment="1" applyProtection="1">
      <alignment horizontal="left" vertical="center" wrapText="1"/>
      <protection locked="0"/>
    </xf>
    <xf numFmtId="0" fontId="75" fillId="12" borderId="13" xfId="0" applyFont="1" applyFill="1" applyBorder="1" applyAlignment="1" applyProtection="1">
      <alignment horizontal="left" vertical="center" wrapText="1"/>
      <protection locked="0"/>
    </xf>
    <xf numFmtId="0" fontId="0" fillId="0" borderId="175" xfId="0" applyFill="1" applyBorder="1" applyAlignment="1" applyProtection="1">
      <alignment horizontal="center" vertical="center" wrapText="1"/>
      <protection/>
    </xf>
    <xf numFmtId="0" fontId="0" fillId="0" borderId="176" xfId="0" applyFill="1" applyBorder="1" applyAlignment="1" applyProtection="1">
      <alignment horizontal="center" vertical="center" wrapText="1"/>
      <protection/>
    </xf>
    <xf numFmtId="0" fontId="0" fillId="0" borderId="176" xfId="0" applyBorder="1" applyAlignment="1">
      <alignment wrapText="1"/>
    </xf>
    <xf numFmtId="0" fontId="0" fillId="0" borderId="177" xfId="0" applyBorder="1" applyAlignment="1">
      <alignment wrapText="1"/>
    </xf>
    <xf numFmtId="186" fontId="0" fillId="0" borderId="102" xfId="0" applyNumberFormat="1" applyBorder="1" applyAlignment="1" applyProtection="1">
      <alignment horizontal="center" vertical="center"/>
      <protection/>
    </xf>
    <xf numFmtId="186" fontId="0" fillId="0" borderId="137" xfId="0" applyNumberFormat="1" applyBorder="1" applyAlignment="1" applyProtection="1">
      <alignment horizontal="center" vertical="center"/>
      <protection/>
    </xf>
    <xf numFmtId="186" fontId="0" fillId="0" borderId="63" xfId="0" applyNumberFormat="1" applyBorder="1" applyAlignment="1" applyProtection="1">
      <alignment horizontal="center" vertical="center"/>
      <protection/>
    </xf>
    <xf numFmtId="186" fontId="0" fillId="0" borderId="131" xfId="0" applyNumberFormat="1" applyBorder="1" applyAlignment="1" applyProtection="1">
      <alignment horizontal="center" vertical="center"/>
      <protection/>
    </xf>
    <xf numFmtId="186" fontId="2" fillId="33" borderId="178" xfId="0" applyNumberFormat="1" applyFont="1" applyFill="1" applyBorder="1" applyAlignment="1" applyProtection="1">
      <alignment horizontal="center" vertical="center"/>
      <protection/>
    </xf>
    <xf numFmtId="186" fontId="2" fillId="33" borderId="163" xfId="0" applyNumberFormat="1" applyFont="1" applyFill="1" applyBorder="1" applyAlignment="1" applyProtection="1">
      <alignment horizontal="center" vertical="center"/>
      <protection/>
    </xf>
    <xf numFmtId="186" fontId="0" fillId="2" borderId="131" xfId="0" applyNumberFormat="1" applyFill="1" applyBorder="1" applyAlignment="1" applyProtection="1">
      <alignment horizontal="center" vertical="center"/>
      <protection/>
    </xf>
    <xf numFmtId="186" fontId="0" fillId="2" borderId="137" xfId="0" applyNumberFormat="1" applyFill="1" applyBorder="1" applyAlignment="1" applyProtection="1">
      <alignment horizontal="center" vertical="center"/>
      <protection/>
    </xf>
    <xf numFmtId="186" fontId="0" fillId="2" borderId="179" xfId="0" applyNumberFormat="1" applyFill="1" applyBorder="1" applyAlignment="1" applyProtection="1">
      <alignment horizontal="center" vertical="center"/>
      <protection/>
    </xf>
    <xf numFmtId="186" fontId="0" fillId="0" borderId="179" xfId="0" applyNumberFormat="1" applyBorder="1" applyAlignment="1" applyProtection="1">
      <alignment horizontal="center" vertical="center"/>
      <protection/>
    </xf>
    <xf numFmtId="173" fontId="41" fillId="26" borderId="0" xfId="93" applyFont="1" applyFill="1" applyBorder="1" applyAlignment="1">
      <alignment horizontal="center" vertical="center"/>
      <protection/>
    </xf>
    <xf numFmtId="173" fontId="40" fillId="0" borderId="0" xfId="0" applyNumberFormat="1" applyFont="1" applyBorder="1" applyAlignment="1">
      <alignment horizontal="left"/>
    </xf>
    <xf numFmtId="173" fontId="18" fillId="0" borderId="0" xfId="0" applyNumberFormat="1" applyFont="1" applyBorder="1" applyAlignment="1">
      <alignment horizontal="center"/>
    </xf>
    <xf numFmtId="173" fontId="40" fillId="0" borderId="0" xfId="0" applyNumberFormat="1" applyFont="1" applyBorder="1" applyAlignment="1">
      <alignment horizontal="right"/>
    </xf>
    <xf numFmtId="186" fontId="0" fillId="2" borderId="102" xfId="0" applyNumberFormat="1" applyFill="1" applyBorder="1" applyAlignment="1" applyProtection="1">
      <alignment horizontal="center" vertical="center"/>
      <protection/>
    </xf>
    <xf numFmtId="186" fontId="0" fillId="2" borderId="63" xfId="0" applyNumberFormat="1" applyFill="1" applyBorder="1" applyAlignment="1" applyProtection="1">
      <alignment horizontal="center" vertical="center"/>
      <protection/>
    </xf>
    <xf numFmtId="0" fontId="74" fillId="12" borderId="14" xfId="0" applyFont="1" applyFill="1" applyBorder="1" applyAlignment="1" applyProtection="1">
      <alignment horizontal="left" wrapText="1"/>
      <protection locked="0"/>
    </xf>
    <xf numFmtId="0" fontId="72" fillId="0" borderId="0" xfId="0" applyFont="1" applyBorder="1" applyAlignment="1">
      <alignment horizontal="center"/>
    </xf>
    <xf numFmtId="0" fontId="74" fillId="12" borderId="52" xfId="0" applyFont="1" applyFill="1" applyBorder="1" applyAlignment="1" applyProtection="1">
      <alignment horizontal="left" wrapText="1"/>
      <protection locked="0"/>
    </xf>
    <xf numFmtId="0" fontId="18" fillId="0" borderId="0" xfId="0" applyFont="1" applyBorder="1" applyAlignment="1">
      <alignment horizontal="center"/>
    </xf>
    <xf numFmtId="0" fontId="79" fillId="0" borderId="0" xfId="0" applyFont="1" applyBorder="1" applyAlignment="1">
      <alignment horizontal="center" wrapText="1"/>
    </xf>
    <xf numFmtId="0" fontId="135" fillId="0" borderId="0" xfId="0" applyFont="1" applyAlignment="1" applyProtection="1">
      <alignment horizontal="left" vertical="center" wrapText="1"/>
      <protection/>
    </xf>
    <xf numFmtId="0" fontId="74" fillId="0" borderId="11" xfId="0" applyFont="1" applyBorder="1" applyAlignment="1" applyProtection="1">
      <alignment vertical="center" wrapText="1"/>
      <protection/>
    </xf>
    <xf numFmtId="0" fontId="74" fillId="0" borderId="12" xfId="0" applyFont="1" applyBorder="1" applyAlignment="1" applyProtection="1">
      <alignment vertical="center" wrapText="1"/>
      <protection/>
    </xf>
    <xf numFmtId="0" fontId="74" fillId="0" borderId="13" xfId="0" applyFont="1" applyBorder="1" applyAlignment="1" applyProtection="1">
      <alignment vertical="center" wrapText="1"/>
      <protection/>
    </xf>
    <xf numFmtId="9" fontId="40" fillId="0" borderId="11" xfId="103" applyFont="1" applyFill="1" applyBorder="1" applyAlignment="1" applyProtection="1">
      <alignment horizontal="center" vertical="center" wrapText="1"/>
      <protection/>
    </xf>
    <xf numFmtId="9" fontId="40" fillId="0" borderId="12" xfId="103" applyFont="1" applyFill="1" applyBorder="1" applyAlignment="1" applyProtection="1">
      <alignment horizontal="center" vertical="center" wrapText="1"/>
      <protection/>
    </xf>
    <xf numFmtId="9" fontId="40" fillId="0" borderId="13" xfId="103" applyFont="1" applyFill="1" applyBorder="1" applyAlignment="1" applyProtection="1">
      <alignment horizontal="center" vertical="center" wrapText="1"/>
      <protection/>
    </xf>
    <xf numFmtId="9" fontId="74" fillId="31" borderId="180" xfId="103" applyFont="1" applyFill="1" applyBorder="1" applyAlignment="1" applyProtection="1">
      <alignment horizontal="left" vertical="center" wrapText="1"/>
      <protection locked="0"/>
    </xf>
    <xf numFmtId="9" fontId="74" fillId="31" borderId="181" xfId="103" applyFont="1" applyFill="1" applyBorder="1" applyAlignment="1" applyProtection="1">
      <alignment horizontal="left" vertical="center" wrapText="1"/>
      <protection locked="0"/>
    </xf>
    <xf numFmtId="9" fontId="74" fillId="31" borderId="182" xfId="103" applyFont="1" applyFill="1" applyBorder="1" applyAlignment="1" applyProtection="1">
      <alignment horizontal="left" vertical="center" wrapText="1"/>
      <protection locked="0"/>
    </xf>
    <xf numFmtId="202" fontId="40" fillId="0" borderId="11" xfId="103" applyNumberFormat="1" applyFont="1" applyFill="1" applyBorder="1" applyAlignment="1" applyProtection="1">
      <alignment horizontal="center" vertical="center" wrapText="1"/>
      <protection/>
    </xf>
    <xf numFmtId="202" fontId="40" fillId="0" borderId="12" xfId="103" applyNumberFormat="1" applyFont="1" applyFill="1" applyBorder="1" applyAlignment="1" applyProtection="1">
      <alignment horizontal="center" vertical="center" wrapText="1"/>
      <protection/>
    </xf>
    <xf numFmtId="202" fontId="40" fillId="0" borderId="13" xfId="103" applyNumberFormat="1" applyFont="1" applyFill="1" applyBorder="1" applyAlignment="1" applyProtection="1">
      <alignment horizontal="center" vertical="center" wrapText="1"/>
      <protection/>
    </xf>
    <xf numFmtId="9" fontId="74" fillId="31" borderId="96" xfId="103" applyFont="1" applyFill="1" applyBorder="1" applyAlignment="1" applyProtection="1">
      <alignment horizontal="left" vertical="center" wrapText="1"/>
      <protection locked="0"/>
    </xf>
    <xf numFmtId="9" fontId="74" fillId="31" borderId="180" xfId="103" applyFont="1" applyFill="1" applyBorder="1" applyAlignment="1" applyProtection="1">
      <alignment horizontal="left" vertical="top" wrapText="1"/>
      <protection locked="0"/>
    </xf>
    <xf numFmtId="9" fontId="74" fillId="31" borderId="181" xfId="103" applyFont="1" applyFill="1" applyBorder="1" applyAlignment="1" applyProtection="1">
      <alignment horizontal="left" vertical="top" wrapText="1"/>
      <protection locked="0"/>
    </xf>
    <xf numFmtId="9" fontId="74" fillId="31" borderId="182" xfId="103" applyFont="1" applyFill="1" applyBorder="1" applyAlignment="1" applyProtection="1">
      <alignment horizontal="left" vertical="top" wrapText="1"/>
      <protection locked="0"/>
    </xf>
    <xf numFmtId="0" fontId="24" fillId="0" borderId="60" xfId="0" applyFont="1" applyBorder="1" applyAlignment="1" applyProtection="1">
      <alignment horizontal="center"/>
      <protection/>
    </xf>
    <xf numFmtId="0" fontId="74" fillId="0" borderId="11" xfId="0" applyFont="1" applyBorder="1" applyAlignment="1" applyProtection="1">
      <alignment horizontal="center" vertical="center" wrapText="1"/>
      <protection/>
    </xf>
    <xf numFmtId="0" fontId="74" fillId="0" borderId="12" xfId="0" applyFont="1" applyBorder="1" applyAlignment="1" applyProtection="1">
      <alignment horizontal="center" vertical="center" wrapText="1"/>
      <protection/>
    </xf>
    <xf numFmtId="0" fontId="74" fillId="0" borderId="13" xfId="0" applyFont="1" applyBorder="1" applyAlignment="1" applyProtection="1">
      <alignment horizontal="center" vertical="center" wrapText="1"/>
      <protection/>
    </xf>
    <xf numFmtId="9" fontId="73" fillId="24" borderId="11" xfId="103" applyFont="1" applyFill="1" applyBorder="1" applyAlignment="1" applyProtection="1">
      <alignment horizontal="center" vertical="center" wrapText="1"/>
      <protection/>
    </xf>
    <xf numFmtId="9" fontId="73" fillId="24" borderId="13" xfId="103" applyFont="1" applyFill="1" applyBorder="1" applyAlignment="1" applyProtection="1">
      <alignment horizontal="center" vertical="center" wrapText="1"/>
      <protection/>
    </xf>
    <xf numFmtId="9" fontId="73" fillId="39" borderId="11" xfId="103" applyFont="1" applyFill="1" applyBorder="1" applyAlignment="1" applyProtection="1">
      <alignment horizontal="center" vertical="center" wrapText="1"/>
      <protection/>
    </xf>
    <xf numFmtId="9" fontId="73" fillId="39" borderId="13" xfId="103" applyFont="1" applyFill="1" applyBorder="1" applyAlignment="1" applyProtection="1">
      <alignment horizontal="center" vertical="center" wrapText="1"/>
      <protection/>
    </xf>
    <xf numFmtId="173" fontId="41" fillId="26" borderId="0" xfId="93" applyFont="1" applyFill="1" applyBorder="1" applyAlignment="1" applyProtection="1">
      <alignment horizontal="center" vertical="center"/>
      <protection/>
    </xf>
    <xf numFmtId="0" fontId="74" fillId="0" borderId="132" xfId="0" applyFont="1" applyBorder="1" applyAlignment="1" applyProtection="1">
      <alignment horizontal="left" vertical="center"/>
      <protection/>
    </xf>
    <xf numFmtId="0" fontId="111" fillId="0" borderId="183" xfId="0" applyFont="1" applyBorder="1" applyAlignment="1">
      <alignment horizontal="center" vertical="center" wrapText="1"/>
    </xf>
    <xf numFmtId="0" fontId="111" fillId="0" borderId="184" xfId="0" applyFont="1" applyBorder="1" applyAlignment="1">
      <alignment horizontal="center" vertical="center" wrapText="1"/>
    </xf>
    <xf numFmtId="0" fontId="111" fillId="0" borderId="98" xfId="0" applyFont="1" applyBorder="1" applyAlignment="1">
      <alignment horizontal="center" vertical="center" wrapText="1"/>
    </xf>
    <xf numFmtId="173" fontId="2" fillId="36" borderId="0" xfId="120" applyNumberFormat="1" applyFont="1" applyFill="1" applyBorder="1" applyAlignment="1" applyProtection="1">
      <alignment horizontal="center"/>
      <protection/>
    </xf>
    <xf numFmtId="173" fontId="72" fillId="0" borderId="0" xfId="0" applyNumberFormat="1" applyFont="1" applyBorder="1" applyAlignment="1" applyProtection="1">
      <alignment horizontal="center"/>
      <protection/>
    </xf>
    <xf numFmtId="0" fontId="74" fillId="12" borderId="11" xfId="0" applyFont="1" applyFill="1" applyBorder="1" applyAlignment="1" applyProtection="1">
      <alignment horizontal="left" vertical="center" wrapText="1"/>
      <protection locked="0"/>
    </xf>
    <xf numFmtId="0" fontId="74" fillId="12" borderId="12" xfId="0" applyFont="1" applyFill="1" applyBorder="1" applyAlignment="1" applyProtection="1">
      <alignment horizontal="left" vertical="center" wrapText="1"/>
      <protection locked="0"/>
    </xf>
    <xf numFmtId="0" fontId="74" fillId="12" borderId="13" xfId="0" applyFont="1" applyFill="1" applyBorder="1" applyAlignment="1" applyProtection="1">
      <alignment horizontal="left" vertical="center" wrapText="1"/>
      <protection locked="0"/>
    </xf>
    <xf numFmtId="0" fontId="74" fillId="0" borderId="11"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9" fontId="1" fillId="0" borderId="185" xfId="103" applyNumberFormat="1" applyFont="1" applyFill="1" applyBorder="1" applyAlignment="1" applyProtection="1">
      <alignment horizontal="left" vertical="center" wrapText="1"/>
      <protection/>
    </xf>
    <xf numFmtId="0" fontId="1" fillId="12" borderId="186" xfId="0" applyFont="1" applyFill="1" applyBorder="1" applyAlignment="1" applyProtection="1">
      <alignment horizontal="center" vertical="top" wrapText="1"/>
      <protection locked="0"/>
    </xf>
    <xf numFmtId="0" fontId="1" fillId="12" borderId="187" xfId="0" applyFont="1" applyFill="1" applyBorder="1" applyAlignment="1" applyProtection="1">
      <alignment horizontal="center" vertical="top" wrapText="1"/>
      <protection locked="0"/>
    </xf>
    <xf numFmtId="0" fontId="1" fillId="0" borderId="185" xfId="103" applyNumberFormat="1" applyFont="1" applyFill="1" applyBorder="1" applyAlignment="1" applyProtection="1">
      <alignment horizontal="left" vertical="center" wrapText="1"/>
      <protection/>
    </xf>
    <xf numFmtId="0" fontId="28" fillId="0" borderId="188" xfId="0" applyNumberFormat="1" applyFont="1" applyFill="1" applyBorder="1" applyAlignment="1" applyProtection="1">
      <alignment horizontal="left" vertical="center" wrapText="1"/>
      <protection/>
    </xf>
    <xf numFmtId="0" fontId="1" fillId="12" borderId="189" xfId="0" applyFont="1" applyFill="1" applyBorder="1" applyAlignment="1" applyProtection="1">
      <alignment horizontal="center" vertical="top" wrapText="1"/>
      <protection locked="0"/>
    </xf>
    <xf numFmtId="179" fontId="83" fillId="10" borderId="91" xfId="0" applyNumberFormat="1" applyFont="1" applyFill="1" applyBorder="1" applyAlignment="1" applyProtection="1">
      <alignment horizontal="center" vertical="center"/>
      <protection/>
    </xf>
    <xf numFmtId="179" fontId="85" fillId="0" borderId="190" xfId="0" applyNumberFormat="1" applyFont="1" applyFill="1" applyBorder="1" applyAlignment="1" applyProtection="1">
      <alignment horizontal="center"/>
      <protection/>
    </xf>
    <xf numFmtId="179" fontId="86" fillId="12" borderId="142" xfId="0" applyNumberFormat="1" applyFont="1" applyFill="1" applyBorder="1" applyAlignment="1" applyProtection="1">
      <alignment horizontal="center" vertical="center"/>
      <protection/>
    </xf>
    <xf numFmtId="0" fontId="28" fillId="0" borderId="191" xfId="0" applyNumberFormat="1" applyFont="1" applyFill="1" applyBorder="1" applyAlignment="1" applyProtection="1">
      <alignment horizontal="left" vertical="top" wrapText="1"/>
      <protection/>
    </xf>
    <xf numFmtId="0" fontId="1" fillId="13" borderId="192" xfId="0" applyFont="1" applyFill="1" applyBorder="1" applyAlignment="1" applyProtection="1">
      <alignment horizontal="center" vertical="top" wrapText="1"/>
      <protection locked="0"/>
    </xf>
    <xf numFmtId="0" fontId="28" fillId="0" borderId="193" xfId="0" applyNumberFormat="1" applyFont="1" applyFill="1" applyBorder="1" applyAlignment="1" applyProtection="1">
      <alignment horizontal="left" vertical="top" wrapText="1"/>
      <protection/>
    </xf>
    <xf numFmtId="0" fontId="1" fillId="13" borderId="194" xfId="0" applyFont="1" applyFill="1" applyBorder="1" applyAlignment="1" applyProtection="1">
      <alignment horizontal="center" vertical="top" wrapText="1"/>
      <protection locked="0"/>
    </xf>
    <xf numFmtId="0" fontId="28" fillId="0" borderId="195" xfId="0" applyNumberFormat="1" applyFont="1" applyFill="1" applyBorder="1" applyAlignment="1" applyProtection="1">
      <alignment horizontal="left" vertical="top" wrapText="1"/>
      <protection/>
    </xf>
    <xf numFmtId="0" fontId="1" fillId="13" borderId="196" xfId="0" applyFont="1" applyFill="1" applyBorder="1" applyAlignment="1" applyProtection="1">
      <alignment horizontal="center" vertical="top" wrapText="1"/>
      <protection locked="0"/>
    </xf>
    <xf numFmtId="179" fontId="85" fillId="0" borderId="197" xfId="0" applyNumberFormat="1" applyFont="1" applyFill="1" applyBorder="1" applyAlignment="1" applyProtection="1">
      <alignment horizontal="center"/>
      <protection/>
    </xf>
    <xf numFmtId="179" fontId="97" fillId="13" borderId="198" xfId="0" applyNumberFormat="1" applyFont="1" applyFill="1" applyBorder="1" applyAlignment="1" applyProtection="1">
      <alignment horizontal="center" vertical="center"/>
      <protection/>
    </xf>
    <xf numFmtId="179" fontId="97" fillId="13" borderId="199" xfId="0" applyNumberFormat="1" applyFont="1" applyFill="1" applyBorder="1" applyAlignment="1" applyProtection="1">
      <alignment horizontal="center" vertical="center"/>
      <protection/>
    </xf>
    <xf numFmtId="0" fontId="28" fillId="0" borderId="200" xfId="0" applyNumberFormat="1" applyFont="1" applyFill="1" applyBorder="1" applyAlignment="1" applyProtection="1">
      <alignment horizontal="left" vertical="top" wrapText="1"/>
      <protection/>
    </xf>
    <xf numFmtId="49" fontId="1" fillId="3" borderId="201" xfId="0" applyNumberFormat="1" applyFont="1" applyFill="1" applyBorder="1" applyAlignment="1" applyProtection="1">
      <alignment horizontal="center" vertical="center"/>
      <protection locked="0"/>
    </xf>
    <xf numFmtId="0" fontId="28" fillId="0" borderId="202" xfId="0" applyNumberFormat="1" applyFont="1" applyFill="1" applyBorder="1" applyAlignment="1" applyProtection="1">
      <alignment horizontal="left" vertical="top" wrapText="1"/>
      <protection/>
    </xf>
    <xf numFmtId="49" fontId="1" fillId="3" borderId="203" xfId="0" applyNumberFormat="1" applyFont="1" applyFill="1" applyBorder="1" applyAlignment="1" applyProtection="1">
      <alignment horizontal="center" vertical="center"/>
      <protection locked="0"/>
    </xf>
    <xf numFmtId="49" fontId="1" fillId="3" borderId="204" xfId="0" applyNumberFormat="1" applyFont="1" applyFill="1" applyBorder="1" applyAlignment="1" applyProtection="1">
      <alignment horizontal="center" vertical="center" wrapText="1"/>
      <protection locked="0"/>
    </xf>
    <xf numFmtId="179" fontId="72" fillId="0" borderId="0" xfId="0" applyNumberFormat="1" applyFont="1" applyBorder="1" applyAlignment="1" applyProtection="1">
      <alignment horizontal="center"/>
      <protection/>
    </xf>
    <xf numFmtId="179" fontId="85" fillId="0" borderId="0" xfId="0" applyNumberFormat="1" applyFont="1" applyFill="1" applyBorder="1" applyAlignment="1" applyProtection="1">
      <alignment horizontal="center"/>
      <protection/>
    </xf>
    <xf numFmtId="179" fontId="86" fillId="3" borderId="17" xfId="0" applyNumberFormat="1" applyFont="1" applyFill="1" applyBorder="1" applyAlignment="1" applyProtection="1">
      <alignment horizontal="center" vertical="center"/>
      <protection/>
    </xf>
    <xf numFmtId="49" fontId="1" fillId="3" borderId="204" xfId="0" applyNumberFormat="1" applyFont="1" applyFill="1" applyBorder="1" applyAlignment="1" applyProtection="1">
      <alignment horizontal="center" vertical="center"/>
      <protection locked="0"/>
    </xf>
    <xf numFmtId="173" fontId="24" fillId="0" borderId="0" xfId="0" applyNumberFormat="1" applyFont="1" applyBorder="1" applyAlignment="1" applyProtection="1">
      <alignment horizontal="center"/>
      <protection/>
    </xf>
    <xf numFmtId="0" fontId="50" fillId="0" borderId="205" xfId="0" applyFont="1" applyFill="1" applyBorder="1" applyAlignment="1" applyProtection="1">
      <alignment horizontal="left"/>
      <protection locked="0"/>
    </xf>
    <xf numFmtId="0" fontId="50" fillId="0" borderId="206" xfId="0" applyFont="1" applyBorder="1" applyAlignment="1" applyProtection="1">
      <alignment horizontal="left"/>
      <protection locked="0"/>
    </xf>
    <xf numFmtId="0" fontId="50" fillId="0" borderId="207" xfId="0" applyFont="1" applyBorder="1" applyAlignment="1" applyProtection="1">
      <alignment horizontal="left"/>
      <protection locked="0"/>
    </xf>
    <xf numFmtId="0" fontId="50" fillId="0" borderId="208" xfId="0" applyFont="1" applyBorder="1" applyAlignment="1" applyProtection="1">
      <alignment horizontal="left"/>
      <protection locked="0"/>
    </xf>
    <xf numFmtId="0" fontId="50" fillId="0" borderId="209" xfId="0" applyFont="1" applyFill="1" applyBorder="1" applyAlignment="1" applyProtection="1">
      <alignment horizontal="left"/>
      <protection locked="0"/>
    </xf>
    <xf numFmtId="0" fontId="50" fillId="0" borderId="210" xfId="0" applyFont="1" applyBorder="1" applyAlignment="1" applyProtection="1">
      <alignment horizontal="left"/>
      <protection locked="0"/>
    </xf>
    <xf numFmtId="0" fontId="50" fillId="0" borderId="211" xfId="0" applyFont="1" applyBorder="1" applyAlignment="1" applyProtection="1">
      <alignment horizontal="left"/>
      <protection locked="0"/>
    </xf>
    <xf numFmtId="0" fontId="50" fillId="0" borderId="212" xfId="0" applyFont="1" applyBorder="1" applyAlignment="1" applyProtection="1">
      <alignment horizontal="left"/>
      <protection locked="0"/>
    </xf>
    <xf numFmtId="0" fontId="104" fillId="8" borderId="213" xfId="100" applyNumberFormat="1" applyFont="1" applyFill="1" applyBorder="1" applyAlignment="1">
      <alignment horizontal="center" vertical="center" wrapText="1"/>
      <protection/>
    </xf>
    <xf numFmtId="0" fontId="104" fillId="8" borderId="214" xfId="100" applyNumberFormat="1" applyFont="1" applyFill="1" applyBorder="1" applyAlignment="1">
      <alignment horizontal="center" vertical="center" wrapText="1"/>
      <protection/>
    </xf>
    <xf numFmtId="0" fontId="104" fillId="8" borderId="215" xfId="100" applyNumberFormat="1" applyFont="1" applyFill="1" applyBorder="1" applyAlignment="1">
      <alignment horizontal="center" vertical="center" wrapText="1"/>
      <protection/>
    </xf>
    <xf numFmtId="0" fontId="105" fillId="8" borderId="14" xfId="0" applyNumberFormat="1" applyFont="1" applyFill="1" applyBorder="1" applyAlignment="1">
      <alignment horizontal="center" vertical="center" textRotation="90"/>
    </xf>
    <xf numFmtId="0" fontId="50" fillId="0" borderId="216" xfId="0" applyFont="1" applyFill="1" applyBorder="1" applyAlignment="1" applyProtection="1">
      <alignment horizontal="left" vertical="top" wrapText="1"/>
      <protection locked="0"/>
    </xf>
    <xf numFmtId="0" fontId="50" fillId="0" borderId="217" xfId="0" applyFont="1" applyBorder="1" applyAlignment="1" applyProtection="1">
      <alignment horizontal="left"/>
      <protection locked="0"/>
    </xf>
    <xf numFmtId="0" fontId="50" fillId="0" borderId="87" xfId="0" applyFont="1" applyBorder="1" applyAlignment="1" applyProtection="1">
      <alignment horizontal="left"/>
      <protection locked="0"/>
    </xf>
    <xf numFmtId="0" fontId="50" fillId="0" borderId="218" xfId="0" applyFont="1" applyBorder="1" applyAlignment="1" applyProtection="1">
      <alignment horizontal="left"/>
      <protection locked="0"/>
    </xf>
    <xf numFmtId="0" fontId="50" fillId="0" borderId="212" xfId="0" applyFont="1" applyFill="1" applyBorder="1" applyAlignment="1" applyProtection="1">
      <alignment horizontal="left"/>
      <protection locked="0"/>
    </xf>
    <xf numFmtId="0" fontId="50" fillId="0" borderId="211" xfId="0" applyFont="1" applyFill="1" applyBorder="1" applyAlignment="1" applyProtection="1">
      <alignment horizontal="left"/>
      <protection locked="0"/>
    </xf>
    <xf numFmtId="0" fontId="50" fillId="0" borderId="219" xfId="0" applyFont="1" applyFill="1" applyBorder="1" applyAlignment="1" applyProtection="1">
      <alignment horizontal="left" vertical="center" wrapText="1"/>
      <protection locked="0"/>
    </xf>
    <xf numFmtId="0" fontId="50" fillId="0" borderId="206" xfId="0" applyFont="1" applyFill="1" applyBorder="1" applyAlignment="1" applyProtection="1">
      <alignment horizontal="left"/>
      <protection locked="0"/>
    </xf>
    <xf numFmtId="0" fontId="50" fillId="0" borderId="207" xfId="0" applyFont="1" applyFill="1" applyBorder="1" applyAlignment="1" applyProtection="1">
      <alignment horizontal="left"/>
      <protection locked="0"/>
    </xf>
    <xf numFmtId="0" fontId="50" fillId="0" borderId="208" xfId="0" applyFont="1" applyFill="1" applyBorder="1" applyAlignment="1" applyProtection="1">
      <alignment horizontal="left"/>
      <protection locked="0"/>
    </xf>
    <xf numFmtId="0" fontId="50" fillId="0" borderId="220" xfId="0" applyFont="1" applyFill="1" applyBorder="1" applyAlignment="1" applyProtection="1">
      <alignment horizontal="left" vertical="center" wrapText="1"/>
      <protection locked="0"/>
    </xf>
    <xf numFmtId="0" fontId="50" fillId="0" borderId="210" xfId="0" applyFont="1" applyFill="1" applyBorder="1" applyAlignment="1" applyProtection="1">
      <alignment horizontal="left"/>
      <protection locked="0"/>
    </xf>
    <xf numFmtId="0" fontId="50" fillId="0" borderId="221" xfId="0" applyFont="1" applyFill="1" applyBorder="1" applyAlignment="1" applyProtection="1">
      <alignment horizontal="left" wrapText="1"/>
      <protection locked="0"/>
    </xf>
    <xf numFmtId="0" fontId="50" fillId="0" borderId="210" xfId="0" applyFont="1" applyFill="1" applyBorder="1" applyAlignment="1" applyProtection="1">
      <alignment horizontal="left" wrapText="1"/>
      <protection locked="0"/>
    </xf>
    <xf numFmtId="0" fontId="50" fillId="0" borderId="211" xfId="0" applyFont="1" applyFill="1" applyBorder="1" applyAlignment="1" applyProtection="1">
      <alignment horizontal="left" wrapText="1"/>
      <protection locked="0"/>
    </xf>
    <xf numFmtId="0" fontId="50" fillId="0" borderId="222" xfId="0" applyFont="1" applyFill="1" applyBorder="1" applyAlignment="1" applyProtection="1">
      <alignment horizontal="left" wrapText="1"/>
      <protection locked="0"/>
    </xf>
    <xf numFmtId="0" fontId="50" fillId="0" borderId="223" xfId="0" applyFont="1" applyFill="1" applyBorder="1" applyAlignment="1" applyProtection="1">
      <alignment horizontal="left" wrapText="1"/>
      <protection locked="0"/>
    </xf>
    <xf numFmtId="0" fontId="50" fillId="0" borderId="210" xfId="0" applyFont="1" applyFill="1" applyBorder="1" applyAlignment="1" applyProtection="1">
      <alignment horizontal="left" vertical="top" wrapText="1"/>
      <protection locked="0"/>
    </xf>
    <xf numFmtId="0" fontId="0" fillId="12" borderId="14" xfId="0" applyFill="1" applyBorder="1" applyAlignment="1" applyProtection="1">
      <alignment horizontal="center"/>
      <protection locked="0"/>
    </xf>
    <xf numFmtId="173" fontId="2" fillId="36" borderId="0" xfId="121" applyNumberFormat="1" applyFont="1" applyFill="1" applyBorder="1" applyAlignment="1" applyProtection="1">
      <alignment horizontal="center"/>
      <protection locked="0"/>
    </xf>
    <xf numFmtId="173" fontId="22" fillId="26" borderId="0" xfId="83" applyFont="1" applyFill="1" applyBorder="1" applyAlignment="1">
      <alignment horizontal="center" vertical="center"/>
      <protection/>
    </xf>
    <xf numFmtId="0" fontId="24" fillId="0" borderId="0" xfId="0" applyFont="1" applyBorder="1" applyAlignment="1">
      <alignment horizontal="center"/>
    </xf>
    <xf numFmtId="0" fontId="0" fillId="34" borderId="0" xfId="0" applyFill="1" applyAlignment="1" applyProtection="1">
      <alignment horizontal="center" wrapText="1"/>
      <protection/>
    </xf>
    <xf numFmtId="3" fontId="133" fillId="13" borderId="136" xfId="0" applyNumberFormat="1" applyFont="1" applyFill="1" applyBorder="1" applyAlignment="1" applyProtection="1">
      <alignment horizontal="center" vertical="center"/>
      <protection/>
    </xf>
    <xf numFmtId="3" fontId="133" fillId="13" borderId="137" xfId="0" applyNumberFormat="1" applyFont="1" applyFill="1" applyBorder="1" applyAlignment="1" applyProtection="1">
      <alignment horizontal="center" vertical="center"/>
      <protection/>
    </xf>
    <xf numFmtId="3" fontId="133" fillId="13" borderId="179" xfId="0" applyNumberFormat="1" applyFont="1" applyFill="1" applyBorder="1" applyAlignment="1" applyProtection="1">
      <alignment horizontal="center" vertical="center"/>
      <protection/>
    </xf>
    <xf numFmtId="2" fontId="0" fillId="0" borderId="179" xfId="0" applyNumberFormat="1" applyFill="1" applyBorder="1" applyAlignment="1" applyProtection="1">
      <alignment horizontal="center" vertical="center"/>
      <protection/>
    </xf>
    <xf numFmtId="0" fontId="0" fillId="13" borderId="179" xfId="0" applyNumberFormat="1" applyFill="1" applyBorder="1" applyAlignment="1" applyProtection="1">
      <alignment horizontal="center" vertical="center"/>
      <protection/>
    </xf>
    <xf numFmtId="186" fontId="0" fillId="0" borderId="224" xfId="0" applyNumberFormat="1" applyFill="1" applyBorder="1" applyAlignment="1" applyProtection="1">
      <alignment horizontal="center" vertical="center"/>
      <protection/>
    </xf>
    <xf numFmtId="186" fontId="0" fillId="0" borderId="15" xfId="0" applyNumberFormat="1" applyFill="1" applyBorder="1" applyAlignment="1" applyProtection="1">
      <alignment horizontal="center" vertical="center"/>
      <protection/>
    </xf>
    <xf numFmtId="186" fontId="0" fillId="0" borderId="225" xfId="0" applyNumberFormat="1" applyFill="1" applyBorder="1" applyAlignment="1" applyProtection="1">
      <alignment horizontal="center" vertical="center"/>
      <protection/>
    </xf>
    <xf numFmtId="3" fontId="54" fillId="13" borderId="131" xfId="0" applyNumberFormat="1" applyFont="1" applyFill="1" applyBorder="1" applyAlignment="1" applyProtection="1">
      <alignment horizontal="center" vertical="center"/>
      <protection/>
    </xf>
    <xf numFmtId="3" fontId="54" fillId="13" borderId="137" xfId="0" applyNumberFormat="1" applyFont="1" applyFill="1" applyBorder="1" applyAlignment="1" applyProtection="1">
      <alignment horizontal="center" vertical="center"/>
      <protection/>
    </xf>
    <xf numFmtId="3" fontId="54" fillId="13" borderId="162" xfId="0" applyNumberFormat="1" applyFont="1" applyFill="1" applyBorder="1" applyAlignment="1" applyProtection="1">
      <alignment horizontal="center" vertical="center"/>
      <protection/>
    </xf>
    <xf numFmtId="186" fontId="0" fillId="0" borderId="64" xfId="0" applyNumberFormat="1" applyFill="1" applyBorder="1" applyAlignment="1" applyProtection="1">
      <alignment horizontal="center" vertical="center"/>
      <protection/>
    </xf>
    <xf numFmtId="3" fontId="133" fillId="13" borderId="162" xfId="0" applyNumberFormat="1" applyFont="1" applyFill="1" applyBorder="1" applyAlignment="1" applyProtection="1">
      <alignment horizontal="center" vertical="center"/>
      <protection/>
    </xf>
    <xf numFmtId="173" fontId="0" fillId="0" borderId="226" xfId="0" applyNumberFormat="1" applyFont="1" applyFill="1" applyBorder="1" applyAlignment="1" applyProtection="1">
      <alignment horizontal="center" vertical="center" wrapText="1"/>
      <protection/>
    </xf>
    <xf numFmtId="173" fontId="0" fillId="0" borderId="0" xfId="0" applyNumberFormat="1" applyFont="1" applyFill="1" applyBorder="1" applyAlignment="1" applyProtection="1">
      <alignment horizontal="center" vertical="center" wrapText="1"/>
      <protection/>
    </xf>
  </cellXfs>
  <cellStyles count="11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Encabezado 1" xfId="63"/>
    <cellStyle name="Encabezado 4" xfId="64"/>
    <cellStyle name="Énfasis1" xfId="65"/>
    <cellStyle name="Énfasis2" xfId="66"/>
    <cellStyle name="Énfasis3" xfId="67"/>
    <cellStyle name="Énfasis4" xfId="68"/>
    <cellStyle name="Énfasis5" xfId="69"/>
    <cellStyle name="Énfasis6" xfId="70"/>
    <cellStyle name="Entrada" xfId="71"/>
    <cellStyle name="Euro" xfId="72"/>
    <cellStyle name="Explanatory Text" xfId="73"/>
    <cellStyle name="Heading 2" xfId="74"/>
    <cellStyle name="Heading 3" xfId="75"/>
    <cellStyle name="Incorrecto" xfId="76"/>
    <cellStyle name="Comma" xfId="77"/>
    <cellStyle name="Comma [0]" xfId="78"/>
    <cellStyle name="Millares 2" xfId="79"/>
    <cellStyle name="Currency" xfId="80"/>
    <cellStyle name="Currency [0]" xfId="81"/>
    <cellStyle name="Neutral" xfId="82"/>
    <cellStyle name="Normal 2" xfId="83"/>
    <cellStyle name="Normal 2 2" xfId="84"/>
    <cellStyle name="Normal 2 3" xfId="85"/>
    <cellStyle name="Normal 2 4" xfId="86"/>
    <cellStyle name="Normal 2 5" xfId="87"/>
    <cellStyle name="Normal 2 6" xfId="88"/>
    <cellStyle name="Normal 2 7" xfId="89"/>
    <cellStyle name="Normal 2 8" xfId="90"/>
    <cellStyle name="Normal 2_Dashboard ver 2.2 ES" xfId="91"/>
    <cellStyle name="Normal 2_Ficticia HIV Dashboard_ES - Set Up and Maintenance Guide" xfId="92"/>
    <cellStyle name="Normal 2_Prototipo" xfId="93"/>
    <cellStyle name="Normal 3" xfId="94"/>
    <cellStyle name="Normal 4" xfId="95"/>
    <cellStyle name="Normal 5" xfId="96"/>
    <cellStyle name="Normal 6" xfId="97"/>
    <cellStyle name="Normal 7" xfId="98"/>
    <cellStyle name="Normal 8" xfId="99"/>
    <cellStyle name="Normal_TZ_R3HIV_Phase_2_21_August_08" xfId="100"/>
    <cellStyle name="Notas" xfId="101"/>
    <cellStyle name="Output" xfId="102"/>
    <cellStyle name="Percent" xfId="103"/>
    <cellStyle name="Porcentual 2" xfId="104"/>
    <cellStyle name="Porcentual 3" xfId="105"/>
    <cellStyle name="Porcentual 4" xfId="106"/>
    <cellStyle name="Porcentual 5" xfId="107"/>
    <cellStyle name="Porcentual 6" xfId="108"/>
    <cellStyle name="Porcentual 7" xfId="109"/>
    <cellStyle name="Porcentual 8" xfId="110"/>
    <cellStyle name="Salida" xfId="111"/>
    <cellStyle name="Texto de advertencia" xfId="112"/>
    <cellStyle name="Texto explicativo" xfId="113"/>
    <cellStyle name="Title" xfId="114"/>
    <cellStyle name="Título" xfId="115"/>
    <cellStyle name="Título 2" xfId="116"/>
    <cellStyle name="Título 3" xfId="117"/>
    <cellStyle name="Título 3 2" xfId="118"/>
    <cellStyle name="Título 3 3" xfId="119"/>
    <cellStyle name="Título 3 3_Prototipo" xfId="120"/>
    <cellStyle name="Título 3 3_PrototipoRep1" xfId="121"/>
    <cellStyle name="Título 3 4" xfId="122"/>
    <cellStyle name="Título 3 5" xfId="123"/>
    <cellStyle name="Título 3 6" xfId="124"/>
    <cellStyle name="Título 3 7" xfId="125"/>
    <cellStyle name="Título 3 8" xfId="126"/>
    <cellStyle name="Total" xfId="127"/>
  </cellStyles>
  <dxfs count="59">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19"/>
          <bgColor indexed="11"/>
        </patternFill>
      </fill>
    </dxf>
    <dxf>
      <font>
        <b/>
        <i val="0"/>
        <sz val="11"/>
        <color indexed="8"/>
      </font>
      <fill>
        <patternFill patternType="solid">
          <fgColor indexed="51"/>
          <bgColor indexed="13"/>
        </patternFill>
      </fill>
    </dxf>
    <dxf>
      <font>
        <b/>
        <i val="0"/>
        <sz val="11"/>
        <color indexed="9"/>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i val="0"/>
        <sz val="11"/>
        <color indexed="8"/>
      </font>
      <fill>
        <patternFill patternType="solid">
          <fgColor indexed="51"/>
          <bgColor indexed="13"/>
        </patternFill>
      </fill>
    </dxf>
    <dxf>
      <font>
        <b/>
        <i val="0"/>
        <sz val="11"/>
        <color indexed="8"/>
      </font>
      <fill>
        <patternFill patternType="solid">
          <fgColor indexed="19"/>
          <bgColor indexed="11"/>
        </patternFill>
      </fill>
    </dxf>
    <dxf>
      <font>
        <b/>
        <i val="0"/>
        <sz val="11"/>
        <color indexed="8"/>
      </font>
      <fill>
        <patternFill patternType="solid">
          <fgColor indexed="10"/>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9"/>
      </font>
      <fill>
        <patternFill patternType="solid">
          <fgColor indexed="29"/>
          <bgColor indexed="10"/>
        </patternFill>
      </fill>
    </dxf>
    <dxf>
      <font>
        <b val="0"/>
        <sz val="11"/>
        <color indexed="8"/>
      </font>
      <fill>
        <patternFill patternType="solid">
          <fgColor indexed="51"/>
          <bgColor indexed="13"/>
        </patternFill>
      </fill>
    </dxf>
    <dxf>
      <font>
        <b val="0"/>
        <sz val="11"/>
        <color indexed="8"/>
      </font>
      <fill>
        <patternFill patternType="solid">
          <fgColor indexed="1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indexed="8"/>
      </font>
      <fill>
        <patternFill patternType="solid">
          <fgColor indexed="28"/>
          <bgColor indexed="9"/>
        </patternFill>
      </fill>
    </dxf>
    <dxf>
      <font>
        <b val="0"/>
        <sz val="11"/>
        <color indexed="8"/>
      </font>
      <fill>
        <patternFill patternType="solid">
          <fgColor indexed="51"/>
          <bgColor indexed="50"/>
        </patternFill>
      </fill>
    </dxf>
    <dxf>
      <font>
        <b val="0"/>
        <sz val="11"/>
        <color indexed="8"/>
      </font>
      <fill>
        <patternFill patternType="solid">
          <fgColor indexed="10"/>
          <bgColor indexed="61"/>
        </patternFill>
      </fill>
    </dxf>
    <dxf>
      <font>
        <b val="0"/>
        <sz val="11"/>
        <color indexed="9"/>
      </font>
      <fill>
        <patternFill patternType="solid">
          <fgColor indexed="58"/>
          <bgColor indexed="8"/>
        </patternFill>
      </fill>
    </dxf>
    <dxf>
      <font>
        <b val="0"/>
        <sz val="11"/>
        <color indexed="8"/>
      </font>
      <fill>
        <patternFill patternType="solid">
          <fgColor indexed="1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0"/>
          <bgColor indexed="61"/>
        </patternFill>
      </fill>
    </dxf>
    <dxf>
      <font>
        <b val="0"/>
        <sz val="11"/>
        <color indexed="9"/>
      </font>
      <fill>
        <patternFill patternType="solid">
          <fgColor indexed="59"/>
          <bgColor indexed="63"/>
        </patternFill>
      </fill>
    </dxf>
    <dxf>
      <font>
        <b val="0"/>
        <sz val="11"/>
        <color indexed="8"/>
      </font>
      <fill>
        <patternFill patternType="solid">
          <fgColor indexed="27"/>
          <bgColor indexed="42"/>
        </patternFill>
      </fill>
    </dxf>
    <dxf>
      <font>
        <b val="0"/>
        <sz val="11"/>
        <color indexed="8"/>
      </font>
      <fill>
        <patternFill patternType="solid">
          <fgColor indexed="27"/>
          <bgColor indexed="42"/>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10"/>
        </patternFill>
      </fill>
    </dxf>
    <dxf>
      <font>
        <b val="0"/>
        <sz val="11"/>
        <color rgb="FFFFFFFF"/>
      </font>
      <fill>
        <patternFill patternType="solid">
          <fgColor rgb="FFFF8080"/>
          <bgColor rgb="FFFF7171"/>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000000"/>
      </font>
      <fill>
        <patternFill patternType="solid">
          <fgColor rgb="FFCCFFFF"/>
          <bgColor rgb="FFCCFFCC"/>
        </patternFill>
      </fill>
      <border/>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003300"/>
          <bgColor rgb="FF000000"/>
        </patternFill>
      </fill>
      <border/>
    </dxf>
    <dxf>
      <font>
        <b val="0"/>
        <sz val="11"/>
        <color rgb="FF000000"/>
      </font>
      <fill>
        <patternFill patternType="solid">
          <fgColor rgb="FFFF7171"/>
          <bgColor rgb="FFFF5050"/>
        </patternFill>
      </fill>
      <border/>
    </dxf>
    <dxf>
      <font>
        <b val="0"/>
        <sz val="11"/>
        <color rgb="FF000000"/>
      </font>
      <fill>
        <patternFill patternType="solid">
          <fgColor rgb="FFFFCC00"/>
          <bgColor rgb="FF99CC00"/>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CCC1DA"/>
      <rgbColor rgb="0000FFFF"/>
      <rgbColor rgb="00800000"/>
      <rgbColor rgb="00008000"/>
      <rgbColor rgb="00000080"/>
      <rgbColor rgb="0033CC33"/>
      <rgbColor rgb="00800080"/>
      <rgbColor rgb="000070C0"/>
      <rgbColor rgb="00C0C0C0"/>
      <rgbColor rgb="00808080"/>
      <rgbColor rgb="00A6A6A6"/>
      <rgbColor rgb="00993366"/>
      <rgbColor rgb="00FFFFCC"/>
      <rgbColor rgb="00CCFFFF"/>
      <rgbColor rgb="00FFF8EF"/>
      <rgbColor rgb="00FF8080"/>
      <rgbColor rgb="000066CC"/>
      <rgbColor rgb="00CCCCFF"/>
      <rgbColor rgb="00131312"/>
      <rgbColor rgb="00D9D9D9"/>
      <rgbColor rgb="00FFF88F"/>
      <rgbColor rgb="0093CDDD"/>
      <rgbColor rgb="00BFBFBF"/>
      <rgbColor rgb="00800000"/>
      <rgbColor rgb="00376092"/>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15"/>
          <c:w val="0.94275"/>
          <c:h val="0.7695"/>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1203071</c:v>
                </c:pt>
                <c:pt idx="1">
                  <c:v>3380881</c:v>
                </c:pt>
                <c:pt idx="2">
                  <c:v>5665313</c:v>
                </c:pt>
                <c:pt idx="3">
                  <c:v>8896373</c:v>
                </c:pt>
                <c:pt idx="4">
                  <c:v>10994525</c:v>
                </c:pt>
                <c:pt idx="5">
                  <c:v>12931489</c:v>
                </c:pt>
                <c:pt idx="6">
                  <c:v>0</c:v>
                </c:pt>
                <c:pt idx="7">
                  <c:v>0</c:v>
                </c:pt>
                <c:pt idx="8">
                  <c:v>0</c:v>
                </c:pt>
                <c:pt idx="9">
                  <c:v>0</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4765803</c:v>
                </c:pt>
                <c:pt idx="1">
                  <c:v>4765803</c:v>
                </c:pt>
                <c:pt idx="2">
                  <c:v>6414805</c:v>
                </c:pt>
                <c:pt idx="3">
                  <c:v>9439669</c:v>
                </c:pt>
                <c:pt idx="4">
                  <c:v>10089241</c:v>
                </c:pt>
                <c:pt idx="5">
                  <c:v>10089241</c:v>
                </c:pt>
                <c:pt idx="6">
                  <c:v>0</c:v>
                </c:pt>
                <c:pt idx="7">
                  <c:v>0</c:v>
                </c:pt>
                <c:pt idx="8">
                  <c:v>0</c:v>
                </c:pt>
                <c:pt idx="9">
                  <c:v>0</c:v>
                </c:pt>
                <c:pt idx="10">
                  <c:v>0</c:v>
                </c:pt>
                <c:pt idx="11">
                  <c:v>0</c:v>
                </c:pt>
              </c:numCache>
            </c:numRef>
          </c:val>
        </c:ser>
        <c:gapWidth val="70"/>
        <c:axId val="32793100"/>
        <c:axId val="26702445"/>
      </c:barChart>
      <c:catAx>
        <c:axId val="32793100"/>
        <c:scaling>
          <c:orientation val="minMax"/>
        </c:scaling>
        <c:axPos val="b"/>
        <c:title>
          <c:tx>
            <c:rich>
              <a:bodyPr vert="horz" rot="0" anchor="ctr"/>
              <a:lstStyle/>
              <a:p>
                <a:pPr algn="ctr">
                  <a:defRPr/>
                </a:pPr>
                <a:r>
                  <a:rPr lang="en-US" cap="none" sz="575" b="1" i="0" u="none" baseline="0">
                    <a:solidFill>
                      <a:srgbClr val="000000"/>
                    </a:solidFill>
                  </a:rPr>
                  <a:t>Periodo de referencia</a:t>
                </a:r>
              </a:p>
            </c:rich>
          </c:tx>
          <c:layout>
            <c:manualLayout>
              <c:xMode val="factor"/>
              <c:yMode val="factor"/>
              <c:x val="-0.0092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26702445"/>
        <c:crossesAt val="0"/>
        <c:auto val="1"/>
        <c:lblOffset val="100"/>
        <c:tickLblSkip val="1"/>
        <c:noMultiLvlLbl val="0"/>
      </c:catAx>
      <c:valAx>
        <c:axId val="2670244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2793100"/>
        <c:crossesAt val="1"/>
        <c:crossBetween val="between"/>
        <c:dispUnits/>
      </c:valAx>
      <c:spPr>
        <a:solidFill>
          <a:srgbClr val="FFFFFF"/>
        </a:solidFill>
        <a:ln w="3175">
          <a:solidFill>
            <a:srgbClr val="000000"/>
          </a:solidFill>
        </a:ln>
      </c:spPr>
    </c:plotArea>
    <c:legend>
      <c:legendPos val="r"/>
      <c:layout>
        <c:manualLayout>
          <c:xMode val="edge"/>
          <c:yMode val="edge"/>
          <c:x val="0.128"/>
          <c:y val="0.88625"/>
          <c:w val="0.676"/>
          <c:h val="0.108"/>
        </c:manualLayout>
      </c:layout>
      <c:overlay val="0"/>
      <c:spPr>
        <a:solidFill>
          <a:srgbClr val="FFFFFF"/>
        </a:solidFill>
        <a:ln w="3175">
          <a:solidFill>
            <a:srgbClr val="000000"/>
          </a:solidFill>
        </a:ln>
      </c:spPr>
      <c:txPr>
        <a:bodyPr vert="horz" rot="0"/>
        <a:lstStyle/>
        <a:p>
          <a:pPr>
            <a:defRPr lang="en-US" cap="none" sz="30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755"/>
          <c:w val="0.9185"/>
          <c:h val="0.851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datos'!$H$133:$Q$133</c:f>
              <c:numCache>
                <c:ptCount val="10"/>
                <c:pt idx="0">
                  <c:v>220</c:v>
                </c:pt>
                <c:pt idx="1">
                  <c:v>331</c:v>
                </c:pt>
                <c:pt idx="2">
                  <c:v>279</c:v>
                </c:pt>
                <c:pt idx="3">
                  <c:v>819</c:v>
                </c:pt>
                <c:pt idx="4">
                  <c:v>735</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datos'!$H$134:$Q$134</c:f>
              <c:numCache>
                <c:ptCount val="10"/>
                <c:pt idx="0">
                  <c:v>34</c:v>
                </c:pt>
                <c:pt idx="1">
                  <c:v>524</c:v>
                </c:pt>
                <c:pt idx="2">
                  <c:v>280</c:v>
                </c:pt>
                <c:pt idx="3">
                  <c:v>719</c:v>
                </c:pt>
                <c:pt idx="4">
                  <c:v>773</c:v>
                </c:pt>
              </c:numCache>
            </c:numRef>
          </c:val>
        </c:ser>
        <c:axId val="43486374"/>
        <c:axId val="55833047"/>
      </c:barChart>
      <c:catAx>
        <c:axId val="4348637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5833047"/>
        <c:crossesAt val="0"/>
        <c:auto val="1"/>
        <c:lblOffset val="100"/>
        <c:tickLblSkip val="1"/>
        <c:noMultiLvlLbl val="0"/>
      </c:catAx>
      <c:valAx>
        <c:axId val="55833047"/>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4348637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865"/>
          <c:w val="0.9365"/>
          <c:h val="0.856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datos'!$H$129:$Q$129</c:f>
              <c:numCache>
                <c:ptCount val="10"/>
                <c:pt idx="0">
                  <c:v>1558</c:v>
                </c:pt>
                <c:pt idx="1">
                  <c:v>2336</c:v>
                </c:pt>
                <c:pt idx="2">
                  <c:v>2878</c:v>
                </c:pt>
                <c:pt idx="3">
                  <c:v>6254</c:v>
                </c:pt>
                <c:pt idx="4">
                  <c:v>6923</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datos'!$H$130:$Q$130</c:f>
              <c:numCache>
                <c:ptCount val="10"/>
                <c:pt idx="0">
                  <c:v>155</c:v>
                </c:pt>
                <c:pt idx="1">
                  <c:v>3973</c:v>
                </c:pt>
                <c:pt idx="2">
                  <c:v>3198</c:v>
                </c:pt>
                <c:pt idx="3">
                  <c:v>6892</c:v>
                </c:pt>
                <c:pt idx="4">
                  <c:v>6181</c:v>
                </c:pt>
              </c:numCache>
            </c:numRef>
          </c:val>
        </c:ser>
        <c:axId val="32735376"/>
        <c:axId val="26182929"/>
      </c:barChart>
      <c:catAx>
        <c:axId val="3273537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6182929"/>
        <c:crossesAt val="0"/>
        <c:auto val="1"/>
        <c:lblOffset val="100"/>
        <c:tickLblSkip val="1"/>
        <c:noMultiLvlLbl val="0"/>
      </c:catAx>
      <c:valAx>
        <c:axId val="26182929"/>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3273537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3675"/>
          <c:w val="0.841"/>
          <c:h val="0.96925"/>
        </c:manualLayout>
      </c:layout>
      <c:barChart>
        <c:barDir val="col"/>
        <c:grouping val="stacked"/>
        <c:varyColors val="0"/>
        <c:ser>
          <c:idx val="0"/>
          <c:order val="0"/>
          <c:tx>
            <c:strRef>
              <c:f>Financiamiento!$M$16</c:f>
              <c:strCache>
                <c:ptCount val="1"/>
                <c:pt idx="0">
                  <c:v>Periodo Anterior</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datos'!$B$52:$B$56</c:f>
              <c:strCache>
                <c:ptCount val="5"/>
                <c:pt idx="0">
                  <c:v>Desembolsado por el Fondo Mundial</c:v>
                </c:pt>
                <c:pt idx="1">
                  <c:v>Gasto RP + desembolso a SRs</c:v>
                </c:pt>
                <c:pt idx="2">
                  <c:v>Desembolsado a los subreceptores</c:v>
                </c:pt>
                <c:pt idx="3">
                  <c:v>Gastos de los subreceptores</c:v>
                </c:pt>
                <c:pt idx="4">
                  <c:v>Saldo en caja**</c:v>
                </c:pt>
              </c:strCache>
            </c:strRef>
          </c:cat>
          <c:val>
            <c:numRef>
              <c:f>'Introducción de datos'!$C$52:$C$56</c:f>
              <c:numCache>
                <c:ptCount val="5"/>
                <c:pt idx="0">
                  <c:v>9439669</c:v>
                </c:pt>
                <c:pt idx="1">
                  <c:v>7717294</c:v>
                </c:pt>
                <c:pt idx="2">
                  <c:v>3531797</c:v>
                </c:pt>
                <c:pt idx="3">
                  <c:v>3423795</c:v>
                </c:pt>
              </c:numCache>
            </c:numRef>
          </c:val>
        </c:ser>
        <c:ser>
          <c:idx val="1"/>
          <c:order val="1"/>
          <c:tx>
            <c:strRef>
              <c:f>Financiamiento!$M$15</c:f>
              <c:strCache>
                <c:ptCount val="1"/>
                <c:pt idx="0">
                  <c:v>Periodo Actual</c:v>
                </c:pt>
              </c:strCache>
            </c:strRef>
          </c:tx>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datos'!$B$52:$B$56</c:f>
              <c:strCache>
                <c:ptCount val="5"/>
                <c:pt idx="0">
                  <c:v>Desembolsado por el Fondo Mundial</c:v>
                </c:pt>
                <c:pt idx="1">
                  <c:v>Gasto RP + desembolso a SRs</c:v>
                </c:pt>
                <c:pt idx="2">
                  <c:v>Desembolsado a los subreceptores</c:v>
                </c:pt>
                <c:pt idx="3">
                  <c:v>Gastos de los subreceptores</c:v>
                </c:pt>
                <c:pt idx="4">
                  <c:v>Saldo en caja**</c:v>
                </c:pt>
              </c:strCache>
            </c:strRef>
          </c:cat>
          <c:val>
            <c:numRef>
              <c:f>'Introducción de datos'!$D$52:$D$56</c:f>
              <c:numCache>
                <c:ptCount val="5"/>
                <c:pt idx="0">
                  <c:v>649572</c:v>
                </c:pt>
                <c:pt idx="1">
                  <c:v>1883917.77</c:v>
                </c:pt>
                <c:pt idx="2">
                  <c:v>1003156.5</c:v>
                </c:pt>
                <c:pt idx="3">
                  <c:v>843543.33</c:v>
                </c:pt>
                <c:pt idx="4">
                  <c:v>766765.2400000001</c:v>
                </c:pt>
              </c:numCache>
            </c:numRef>
          </c:val>
        </c:ser>
        <c:overlap val="100"/>
        <c:axId val="38995414"/>
        <c:axId val="15414407"/>
      </c:barChart>
      <c:catAx>
        <c:axId val="38995414"/>
        <c:scaling>
          <c:orientation val="minMax"/>
        </c:scaling>
        <c:axPos val="b"/>
        <c:delete val="0"/>
        <c:numFmt formatCode="General" sourceLinked="1"/>
        <c:majorTickMark val="out"/>
        <c:minorTickMark val="none"/>
        <c:tickLblPos val="nextTo"/>
        <c:spPr>
          <a:ln w="3175">
            <a:solidFill>
              <a:srgbClr val="808080"/>
            </a:solidFill>
          </a:ln>
        </c:spPr>
        <c:crossAx val="15414407"/>
        <c:crossesAt val="0"/>
        <c:auto val="1"/>
        <c:lblOffset val="100"/>
        <c:tickLblSkip val="2"/>
        <c:noMultiLvlLbl val="0"/>
      </c:catAx>
      <c:valAx>
        <c:axId val="15414407"/>
        <c:scaling>
          <c:orientation val="minMax"/>
        </c:scaling>
        <c:axPos val="l"/>
        <c:delete val="0"/>
        <c:numFmt formatCode="#.##0" sourceLinked="0"/>
        <c:majorTickMark val="out"/>
        <c:minorTickMark val="none"/>
        <c:tickLblPos val="nextTo"/>
        <c:spPr>
          <a:ln w="3175">
            <a:solidFill>
              <a:srgbClr val="808080"/>
            </a:solidFill>
          </a:ln>
        </c:spPr>
        <c:crossAx val="3899541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
          <c:y val="0.0755"/>
          <c:w val="0.8445"/>
          <c:h val="0.893"/>
        </c:manualLayout>
      </c:layout>
      <c:barChart>
        <c:barDir val="col"/>
        <c:grouping val="clustered"/>
        <c:varyColors val="0"/>
        <c:ser>
          <c:idx val="0"/>
          <c:order val="0"/>
          <c:tx>
            <c:strRef>
              <c:f>Financiamiento!$C$33</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datos'!$C$39:$C$44</c:f>
              <c:numCache>
                <c:ptCount val="6"/>
                <c:pt idx="0">
                  <c:v>6363734.34</c:v>
                </c:pt>
                <c:pt idx="1">
                  <c:v>586149.18</c:v>
                </c:pt>
                <c:pt idx="2">
                  <c:v>4044641.67</c:v>
                </c:pt>
              </c:numCache>
            </c:numRef>
          </c:val>
        </c:ser>
        <c:ser>
          <c:idx val="1"/>
          <c:order val="1"/>
          <c:tx>
            <c:strRef>
              <c:f>Financiamiento!$C$34</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datos'!$B$39:$B$44</c:f>
              <c:strCache>
                <c:ptCount val="6"/>
                <c:pt idx="0">
                  <c:v>Objetivo 1</c:v>
                </c:pt>
                <c:pt idx="1">
                  <c:v>Objetivo 2</c:v>
                </c:pt>
                <c:pt idx="2">
                  <c:v>Objetivo 3</c:v>
                </c:pt>
              </c:strCache>
            </c:strRef>
          </c:cat>
          <c:val>
            <c:numRef>
              <c:f>'Introducción de datos'!$D$39:$D$44</c:f>
              <c:numCache>
                <c:ptCount val="6"/>
                <c:pt idx="0">
                  <c:v>5491310.78</c:v>
                </c:pt>
                <c:pt idx="1">
                  <c:v>474508.63</c:v>
                </c:pt>
                <c:pt idx="2">
                  <c:v>3367777.19</c:v>
                </c:pt>
              </c:numCache>
            </c:numRef>
          </c:val>
        </c:ser>
        <c:axId val="4511936"/>
        <c:axId val="40607425"/>
      </c:barChart>
      <c:catAx>
        <c:axId val="45119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40607425"/>
        <c:crossesAt val="0"/>
        <c:auto val="1"/>
        <c:lblOffset val="100"/>
        <c:tickLblSkip val="1"/>
        <c:noMultiLvlLbl val="0"/>
      </c:catAx>
      <c:valAx>
        <c:axId val="4060742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4511936"/>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20225"/>
          <c:w val="0.96375"/>
          <c:h val="0.6815"/>
        </c:manualLayout>
      </c:layout>
      <c:barChart>
        <c:barDir val="bar"/>
        <c:grouping val="percentStacked"/>
        <c:varyColors val="0"/>
        <c:ser>
          <c:idx val="0"/>
          <c:order val="0"/>
          <c:tx>
            <c:strRef>
              <c:f>'Introducción de datos'!$D$80</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datos'!$D$81</c:f>
              <c:numCache>
                <c:ptCount val="1"/>
                <c:pt idx="0">
                  <c:v>6</c:v>
                </c:pt>
              </c:numCache>
            </c:numRef>
          </c:val>
        </c:ser>
        <c:ser>
          <c:idx val="1"/>
          <c:order val="1"/>
          <c:tx>
            <c:strRef>
              <c:f>'Introducción de datos'!$E$80</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datos'!$E$81</c:f>
              <c:numCache>
                <c:ptCount val="1"/>
                <c:pt idx="0">
                  <c:v>0</c:v>
                </c:pt>
              </c:numCache>
            </c:numRef>
          </c:val>
        </c:ser>
        <c:overlap val="100"/>
        <c:gapWidth val="79"/>
        <c:axId val="29922506"/>
        <c:axId val="867099"/>
      </c:barChart>
      <c:catAx>
        <c:axId val="29922506"/>
        <c:scaling>
          <c:orientation val="minMax"/>
        </c:scaling>
        <c:axPos val="l"/>
        <c:delete val="1"/>
        <c:majorTickMark val="out"/>
        <c:minorTickMark val="none"/>
        <c:tickLblPos val="nextTo"/>
        <c:crossAx val="867099"/>
        <c:crossesAt val="0"/>
        <c:auto val="1"/>
        <c:lblOffset val="100"/>
        <c:tickLblSkip val="1"/>
        <c:noMultiLvlLbl val="0"/>
      </c:catAx>
      <c:valAx>
        <c:axId val="867099"/>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9922506"/>
        <c:crosses val="max"/>
        <c:crossBetween val="between"/>
        <c:dispUnits/>
      </c:valAx>
      <c:spPr>
        <a:solidFill>
          <a:srgbClr val="FFFFFF"/>
        </a:solidFill>
        <a:ln w="3175">
          <a:noFill/>
        </a:ln>
      </c:spPr>
    </c:plotArea>
    <c:legend>
      <c:legendPos val="r"/>
      <c:layout>
        <c:manualLayout>
          <c:xMode val="edge"/>
          <c:yMode val="edge"/>
          <c:x val="0.25825"/>
          <c:y val="0.80875"/>
          <c:w val="0.437"/>
          <c:h val="0.169"/>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0275"/>
          <c:w val="0.9445"/>
          <c:h val="0.72175"/>
        </c:manualLayout>
      </c:layout>
      <c:barChart>
        <c:barDir val="col"/>
        <c:grouping val="clustered"/>
        <c:varyColors val="0"/>
        <c:ser>
          <c:idx val="0"/>
          <c:order val="0"/>
          <c:tx>
            <c:strRef>
              <c:f>'Introducción de datos'!$C$85</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datos'!$C$86</c:f>
              <c:numCache>
                <c:ptCount val="1"/>
                <c:pt idx="0">
                  <c:v>11</c:v>
                </c:pt>
              </c:numCache>
            </c:numRef>
          </c:val>
        </c:ser>
        <c:ser>
          <c:idx val="1"/>
          <c:order val="1"/>
          <c:tx>
            <c:strRef>
              <c:f>'Introducción de datos'!$D$85</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datos'!$D$86</c:f>
              <c:numCache>
                <c:ptCount val="1"/>
                <c:pt idx="0">
                  <c:v>11</c:v>
                </c:pt>
              </c:numCache>
            </c:numRef>
          </c:val>
        </c:ser>
        <c:ser>
          <c:idx val="2"/>
          <c:order val="2"/>
          <c:tx>
            <c:strRef>
              <c:f>'Introducción de datos'!$E$85</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datos'!$E$86</c:f>
              <c:numCache>
                <c:ptCount val="1"/>
                <c:pt idx="0">
                  <c:v>10</c:v>
                </c:pt>
              </c:numCache>
            </c:numRef>
          </c:val>
        </c:ser>
        <c:ser>
          <c:idx val="3"/>
          <c:order val="3"/>
          <c:tx>
            <c:strRef>
              <c:f>'Introducción de datos'!$F$85</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datos'!$F$86</c:f>
              <c:numCache>
                <c:ptCount val="1"/>
                <c:pt idx="0">
                  <c:v>10</c:v>
                </c:pt>
              </c:numCache>
            </c:numRef>
          </c:val>
        </c:ser>
        <c:ser>
          <c:idx val="4"/>
          <c:order val="4"/>
          <c:tx>
            <c:strRef>
              <c:f>'Introducción de datos'!$G$85</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datos'!$G$86</c:f>
              <c:numCache>
                <c:ptCount val="1"/>
                <c:pt idx="0">
                  <c:v>10</c:v>
                </c:pt>
              </c:numCache>
            </c:numRef>
          </c:val>
        </c:ser>
        <c:overlap val="-20"/>
        <c:axId val="7803892"/>
        <c:axId val="3126165"/>
      </c:barChart>
      <c:catAx>
        <c:axId val="7803892"/>
        <c:scaling>
          <c:orientation val="minMax"/>
        </c:scaling>
        <c:axPos val="b"/>
        <c:delete val="0"/>
        <c:numFmt formatCode="General" sourceLinked="1"/>
        <c:majorTickMark val="none"/>
        <c:minorTickMark val="none"/>
        <c:tickLblPos val="none"/>
        <c:spPr>
          <a:ln w="3175">
            <a:solidFill>
              <a:srgbClr val="000000"/>
            </a:solidFill>
          </a:ln>
        </c:spPr>
        <c:crossAx val="3126165"/>
        <c:crossesAt val="0"/>
        <c:auto val="0"/>
        <c:lblOffset val="100"/>
        <c:tickLblSkip val="1"/>
        <c:noMultiLvlLbl val="0"/>
      </c:catAx>
      <c:valAx>
        <c:axId val="31261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803892"/>
        <c:crossesAt val="1"/>
        <c:crossBetween val="between"/>
        <c:dispUnits/>
      </c:valAx>
      <c:spPr>
        <a:noFill/>
        <a:ln>
          <a:noFill/>
        </a:ln>
      </c:spPr>
    </c:plotArea>
    <c:legend>
      <c:legendPos val="r"/>
      <c:layout>
        <c:manualLayout>
          <c:xMode val="edge"/>
          <c:yMode val="edge"/>
          <c:x val="0.00225"/>
          <c:y val="0.76625"/>
          <c:w val="0.89425"/>
          <c:h val="0.0815"/>
        </c:manualLayout>
      </c:layout>
      <c:overlay val="0"/>
      <c:spPr>
        <a:no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785"/>
          <c:w val="0.777"/>
          <c:h val="0.767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datos'!$B$74:$B$75</c:f>
              <c:strCache>
                <c:ptCount val="2"/>
                <c:pt idx="0">
                  <c:v>Condiciones precedentes</c:v>
                </c:pt>
                <c:pt idx="1">
                  <c:v>Acciones con fecha límite</c:v>
                </c:pt>
              </c:strCache>
            </c:strRef>
          </c:cat>
          <c:val>
            <c:numRef>
              <c:f>'Introducción de datos'!$D$74:$D$75</c:f>
              <c:numCache>
                <c:ptCount val="2"/>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datos'!$B$74:$B$75</c:f>
              <c:strCache>
                <c:ptCount val="2"/>
                <c:pt idx="0">
                  <c:v>Condiciones precedentes</c:v>
                </c:pt>
                <c:pt idx="1">
                  <c:v>Acciones con fecha límite</c:v>
                </c:pt>
              </c:strCache>
            </c:strRef>
          </c:cat>
          <c:val>
            <c:numRef>
              <c:f>'Introducción de datos'!$E$74:$E$75</c:f>
              <c:numCache>
                <c:ptCount val="2"/>
                <c:pt idx="0">
                  <c:v>0</c:v>
                </c:pt>
                <c:pt idx="1">
                  <c:v>0</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datos'!$B$74:$B$75</c:f>
              <c:strCache>
                <c:ptCount val="2"/>
                <c:pt idx="0">
                  <c:v>Condiciones precedentes</c:v>
                </c:pt>
                <c:pt idx="1">
                  <c:v>Acciones con fecha límite</c:v>
                </c:pt>
              </c:strCache>
            </c:strRef>
          </c:cat>
          <c:val>
            <c:numRef>
              <c:f>'Introducción de datos'!$F$74:$F$75</c:f>
              <c:numCache>
                <c:ptCount val="2"/>
                <c:pt idx="0">
                  <c:v>0</c:v>
                </c:pt>
                <c:pt idx="1">
                  <c:v>0</c:v>
                </c:pt>
              </c:numCache>
            </c:numRef>
          </c:val>
        </c:ser>
        <c:overlap val="100"/>
        <c:gapWidth val="70"/>
        <c:axId val="28135486"/>
        <c:axId val="51892783"/>
      </c:barChart>
      <c:catAx>
        <c:axId val="281354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892783"/>
        <c:crossesAt val="0"/>
        <c:auto val="1"/>
        <c:lblOffset val="100"/>
        <c:tickLblSkip val="1"/>
        <c:noMultiLvlLbl val="0"/>
      </c:catAx>
      <c:valAx>
        <c:axId val="5189278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135486"/>
        <c:crossesAt val="1"/>
        <c:crossBetween val="between"/>
        <c:dispUnits/>
      </c:valAx>
      <c:spPr>
        <a:noFill/>
        <a:ln>
          <a:noFill/>
        </a:ln>
      </c:spPr>
    </c:plotArea>
    <c:legend>
      <c:legendPos val="r"/>
      <c:layout>
        <c:manualLayout>
          <c:xMode val="edge"/>
          <c:yMode val="edge"/>
          <c:x val="0"/>
          <c:y val="0.6815"/>
          <c:w val="0.985"/>
          <c:h val="0.17025"/>
        </c:manualLayout>
      </c:layout>
      <c:overlay val="0"/>
      <c:spPr>
        <a:no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1335"/>
          <c:w val="0.80975"/>
          <c:h val="0.72325"/>
        </c:manualLayout>
      </c:layout>
      <c:barChart>
        <c:barDir val="bar"/>
        <c:grouping val="percentStacked"/>
        <c:varyColors val="0"/>
        <c:ser>
          <c:idx val="0"/>
          <c:order val="0"/>
          <c:tx>
            <c:strRef>
              <c:f>'Introducción de datos'!$D$90</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datos'!$B$91:$B$92</c:f>
              <c:strCache>
                <c:ptCount val="2"/>
                <c:pt idx="0">
                  <c:v>Sub SR al SR</c:v>
                </c:pt>
                <c:pt idx="1">
                  <c:v>SR al RP</c:v>
                </c:pt>
              </c:strCache>
            </c:strRef>
          </c:cat>
          <c:val>
            <c:numRef>
              <c:f>'Introducción de datos'!$D$91:$D$92</c:f>
              <c:numCache>
                <c:ptCount val="2"/>
                <c:pt idx="0">
                  <c:v>0</c:v>
                </c:pt>
                <c:pt idx="1">
                  <c:v>20</c:v>
                </c:pt>
              </c:numCache>
            </c:numRef>
          </c:val>
        </c:ser>
        <c:ser>
          <c:idx val="1"/>
          <c:order val="1"/>
          <c:tx>
            <c:strRef>
              <c:f>'Introducción de datos'!$E$90</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datos'!$B$91:$B$92</c:f>
              <c:strCache>
                <c:ptCount val="2"/>
                <c:pt idx="0">
                  <c:v>Sub SR al SR</c:v>
                </c:pt>
                <c:pt idx="1">
                  <c:v>SR al RP</c:v>
                </c:pt>
              </c:strCache>
            </c:strRef>
          </c:cat>
          <c:val>
            <c:numRef>
              <c:f>'Introducción de datos'!$E$91:$E$92</c:f>
              <c:numCache>
                <c:ptCount val="2"/>
                <c:pt idx="0">
                  <c:v>0</c:v>
                </c:pt>
                <c:pt idx="1">
                  <c:v>0</c:v>
                </c:pt>
              </c:numCache>
            </c:numRef>
          </c:val>
        </c:ser>
        <c:overlap val="100"/>
        <c:gapWidth val="79"/>
        <c:axId val="64381864"/>
        <c:axId val="42565865"/>
      </c:barChart>
      <c:catAx>
        <c:axId val="6438186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42565865"/>
        <c:crossesAt val="0"/>
        <c:auto val="1"/>
        <c:lblOffset val="100"/>
        <c:tickLblSkip val="1"/>
        <c:noMultiLvlLbl val="0"/>
      </c:catAx>
      <c:valAx>
        <c:axId val="42565865"/>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64381864"/>
        <c:crosses val="max"/>
        <c:crossBetween val="between"/>
        <c:dispUnits/>
      </c:valAx>
      <c:spPr>
        <a:solidFill>
          <a:srgbClr val="FFFFFF"/>
        </a:solidFill>
        <a:ln w="3175">
          <a:noFill/>
        </a:ln>
      </c:spPr>
    </c:plotArea>
    <c:legend>
      <c:legendPos val="r"/>
      <c:layout>
        <c:manualLayout>
          <c:xMode val="edge"/>
          <c:yMode val="edge"/>
          <c:x val="0.33175"/>
          <c:y val="0.827"/>
          <c:w val="0.3115"/>
          <c:h val="0.124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09325"/>
          <c:w val="0.875"/>
          <c:h val="0.670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datos'!$C$101:$N$101</c:f>
              <c:numCache>
                <c:ptCount val="12"/>
                <c:pt idx="0">
                  <c:v>0</c:v>
                </c:pt>
                <c:pt idx="1">
                  <c:v>160268</c:v>
                </c:pt>
                <c:pt idx="2">
                  <c:v>160268</c:v>
                </c:pt>
                <c:pt idx="3">
                  <c:v>1190096</c:v>
                </c:pt>
                <c:pt idx="4">
                  <c:v>1202096</c:v>
                </c:pt>
                <c:pt idx="5">
                  <c:v>1202096</c:v>
                </c:pt>
                <c:pt idx="6">
                  <c:v>1202096</c:v>
                </c:pt>
                <c:pt idx="7">
                  <c:v>1202096</c:v>
                </c:pt>
                <c:pt idx="8">
                  <c:v>1202096</c:v>
                </c:pt>
                <c:pt idx="9">
                  <c:v>1202096</c:v>
                </c:pt>
                <c:pt idx="10">
                  <c:v>1202096</c:v>
                </c:pt>
                <c:pt idx="11">
                  <c:v>1202096</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datos'!$C$102:$N$102</c:f>
              <c:numCache>
                <c:ptCount val="12"/>
                <c:pt idx="0">
                  <c:v>0</c:v>
                </c:pt>
                <c:pt idx="1">
                  <c:v>0</c:v>
                </c:pt>
                <c:pt idx="2">
                  <c:v>0</c:v>
                </c:pt>
                <c:pt idx="3">
                  <c:v>48622</c:v>
                </c:pt>
                <c:pt idx="4">
                  <c:v>48622</c:v>
                </c:pt>
                <c:pt idx="5">
                  <c:v>48622</c:v>
                </c:pt>
                <c:pt idx="6">
                  <c:v>48622</c:v>
                </c:pt>
                <c:pt idx="7">
                  <c:v>48622</c:v>
                </c:pt>
                <c:pt idx="8">
                  <c:v>48622</c:v>
                </c:pt>
                <c:pt idx="9">
                  <c:v>48622</c:v>
                </c:pt>
                <c:pt idx="10">
                  <c:v>48622</c:v>
                </c:pt>
                <c:pt idx="11">
                  <c:v>48622</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datos'!$C$103:$N$103</c:f>
              <c:numCache>
                <c:ptCount val="12"/>
                <c:pt idx="0">
                  <c:v>0</c:v>
                </c:pt>
                <c:pt idx="1">
                  <c:v>160268</c:v>
                </c:pt>
                <c:pt idx="2">
                  <c:v>160268</c:v>
                </c:pt>
                <c:pt idx="3">
                  <c:v>856373</c:v>
                </c:pt>
                <c:pt idx="4">
                  <c:v>918596</c:v>
                </c:pt>
                <c:pt idx="5">
                  <c:v>918596</c:v>
                </c:pt>
                <c:pt idx="6">
                  <c:v>918596</c:v>
                </c:pt>
                <c:pt idx="7">
                  <c:v>918596</c:v>
                </c:pt>
                <c:pt idx="8">
                  <c:v>918596</c:v>
                </c:pt>
                <c:pt idx="9">
                  <c:v>918596</c:v>
                </c:pt>
                <c:pt idx="10">
                  <c:v>918596</c:v>
                </c:pt>
                <c:pt idx="11">
                  <c:v>918596</c:v>
                </c:pt>
              </c:numCache>
            </c:numRef>
          </c:val>
          <c:smooth val="0"/>
        </c:ser>
        <c:marker val="1"/>
        <c:axId val="47548466"/>
        <c:axId val="25283011"/>
      </c:lineChart>
      <c:catAx>
        <c:axId val="475484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25283011"/>
        <c:crossesAt val="0"/>
        <c:auto val="1"/>
        <c:lblOffset val="100"/>
        <c:tickLblSkip val="1"/>
        <c:noMultiLvlLbl val="0"/>
      </c:catAx>
      <c:valAx>
        <c:axId val="252830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47548466"/>
        <c:crossesAt val="1"/>
        <c:crossBetween val="midCat"/>
        <c:dispUnits/>
      </c:valAx>
      <c:spPr>
        <a:solidFill>
          <a:srgbClr val="FFFFFF"/>
        </a:solidFill>
        <a:ln w="12700">
          <a:solidFill>
            <a:srgbClr val="808080"/>
          </a:solidFill>
        </a:ln>
      </c:spPr>
    </c:plotArea>
    <c:legend>
      <c:legendPos val="r"/>
      <c:layout>
        <c:manualLayout>
          <c:xMode val="edge"/>
          <c:yMode val="edge"/>
          <c:x val="0"/>
          <c:y val="0.67575"/>
          <c:w val="0.879"/>
          <c:h val="0.2035"/>
        </c:manualLayout>
      </c:layout>
      <c:overlay val="0"/>
      <c:spPr>
        <a:noFill/>
        <a:ln w="3175">
          <a:noFill/>
        </a:ln>
      </c:spPr>
      <c:txPr>
        <a:bodyPr vert="horz" rot="0"/>
        <a:lstStyle/>
        <a:p>
          <a:pPr>
            <a:defRPr lang="en-US" cap="none" sz="45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076"/>
          <c:w val="0.86075"/>
          <c:h val="0.827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datos'!$H$131:$Q$131</c:f>
              <c:numCache>
                <c:ptCount val="10"/>
                <c:pt idx="0">
                  <c:v>1171</c:v>
                </c:pt>
                <c:pt idx="1">
                  <c:v>1175</c:v>
                </c:pt>
                <c:pt idx="2">
                  <c:v>2196</c:v>
                </c:pt>
                <c:pt idx="3">
                  <c:v>4754</c:v>
                </c:pt>
                <c:pt idx="4">
                  <c:v>5324</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datos'!$H$127:$Q$127</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datos'!$H$132:$Q$132</c:f>
              <c:numCache>
                <c:ptCount val="10"/>
                <c:pt idx="0">
                  <c:v>44</c:v>
                </c:pt>
                <c:pt idx="1">
                  <c:v>2918</c:v>
                </c:pt>
                <c:pt idx="2">
                  <c:v>2582</c:v>
                </c:pt>
                <c:pt idx="3">
                  <c:v>4017</c:v>
                </c:pt>
                <c:pt idx="4">
                  <c:v>4030</c:v>
                </c:pt>
              </c:numCache>
            </c:numRef>
          </c:val>
        </c:ser>
        <c:axId val="26220508"/>
        <c:axId val="34657981"/>
      </c:barChart>
      <c:catAx>
        <c:axId val="2622050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4657981"/>
        <c:crossesAt val="0"/>
        <c:auto val="1"/>
        <c:lblOffset val="100"/>
        <c:tickLblSkip val="1"/>
        <c:noMultiLvlLbl val="0"/>
      </c:catAx>
      <c:valAx>
        <c:axId val="34657981"/>
        <c:scaling>
          <c:orientation val="minMax"/>
        </c:scaling>
        <c:axPos val="l"/>
        <c:majorGridlines>
          <c:spPr>
            <a:ln w="3175">
              <a:solidFill>
                <a:srgbClr val="000000"/>
              </a:solidFill>
            </a:ln>
          </c:spPr>
        </c:majorGridlines>
        <c:delete val="0"/>
        <c:numFmt formatCode="_ * #,##0_ ;_ * \-#,##0_ ;_ * \-_ ;_ @_ "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2622050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hyperlink" Target="#Men&#250;!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533400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543800" cy="2819400"/>
        </a:xfrm>
        <a:prstGeom prst="rect">
          <a:avLst/>
        </a:prstGeom>
        <a:noFill/>
        <a:ln w="9525" cmpd="sng">
          <a:noFill/>
        </a:ln>
      </xdr:spPr>
    </xdr:pic>
    <xdr:clientData/>
  </xdr:twoCellAnchor>
  <xdr:twoCellAnchor>
    <xdr:from>
      <xdr:col>7</xdr:col>
      <xdr:colOff>685800</xdr:colOff>
      <xdr:row>7</xdr:row>
      <xdr:rowOff>47625</xdr:rowOff>
    </xdr:from>
    <xdr:to>
      <xdr:col>11</xdr:col>
      <xdr:colOff>447675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16217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B24B48"/>
            </a:gs>
            <a:gs pos="100000">
              <a:srgbClr val="D48886"/>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590550</xdr:colOff>
      <xdr:row>12</xdr:row>
      <xdr:rowOff>38100</xdr:rowOff>
    </xdr:to>
    <xdr:sp>
      <xdr:nvSpPr>
        <xdr:cNvPr id="4" name="AutoShape 26"/>
        <xdr:cNvSpPr>
          <a:spLocks/>
        </xdr:cNvSpPr>
      </xdr:nvSpPr>
      <xdr:spPr>
        <a:xfrm>
          <a:off x="3409950" y="24288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10</xdr:row>
      <xdr:rowOff>85725</xdr:rowOff>
    </xdr:from>
    <xdr:to>
      <xdr:col>6</xdr:col>
      <xdr:colOff>609600</xdr:colOff>
      <xdr:row>12</xdr:row>
      <xdr:rowOff>0</xdr:rowOff>
    </xdr:to>
    <xdr:sp>
      <xdr:nvSpPr>
        <xdr:cNvPr id="5" name="AutoShape 27">
          <a:hlinkClick r:id="rId3"/>
        </xdr:cNvPr>
        <xdr:cNvSpPr>
          <a:spLocks/>
        </xdr:cNvSpPr>
      </xdr:nvSpPr>
      <xdr:spPr>
        <a:xfrm>
          <a:off x="3448050" y="2466975"/>
          <a:ext cx="1047750" cy="29527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66675</xdr:rowOff>
    </xdr:to>
    <xdr:sp>
      <xdr:nvSpPr>
        <xdr:cNvPr id="6" name="Freeform 28"/>
        <xdr:cNvSpPr>
          <a:spLocks/>
        </xdr:cNvSpPr>
      </xdr:nvSpPr>
      <xdr:spPr>
        <a:xfrm>
          <a:off x="3438525" y="2486025"/>
          <a:ext cx="104775"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171450</xdr:rowOff>
    </xdr:from>
    <xdr:to>
      <xdr:col>6</xdr:col>
      <xdr:colOff>609600</xdr:colOff>
      <xdr:row>17</xdr:row>
      <xdr:rowOff>161925</xdr:rowOff>
    </xdr:to>
    <xdr:sp>
      <xdr:nvSpPr>
        <xdr:cNvPr id="7" name="AutoShape 26"/>
        <xdr:cNvSpPr>
          <a:spLocks/>
        </xdr:cNvSpPr>
      </xdr:nvSpPr>
      <xdr:spPr>
        <a:xfrm>
          <a:off x="3429000" y="3505200"/>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38100</xdr:rowOff>
    </xdr:from>
    <xdr:to>
      <xdr:col>6</xdr:col>
      <xdr:colOff>638175</xdr:colOff>
      <xdr:row>17</xdr:row>
      <xdr:rowOff>123825</xdr:rowOff>
    </xdr:to>
    <xdr:sp>
      <xdr:nvSpPr>
        <xdr:cNvPr id="8" name="AutoShape 27">
          <a:hlinkClick r:id="rId4"/>
        </xdr:cNvPr>
        <xdr:cNvSpPr>
          <a:spLocks/>
        </xdr:cNvSpPr>
      </xdr:nvSpPr>
      <xdr:spPr>
        <a:xfrm>
          <a:off x="3448050" y="3562350"/>
          <a:ext cx="1076325" cy="27622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466725</xdr:colOff>
      <xdr:row>16</xdr:row>
      <xdr:rowOff>190500</xdr:rowOff>
    </xdr:to>
    <xdr:sp>
      <xdr:nvSpPr>
        <xdr:cNvPr id="9" name="Freeform 28"/>
        <xdr:cNvSpPr>
          <a:spLocks/>
        </xdr:cNvSpPr>
      </xdr:nvSpPr>
      <xdr:spPr>
        <a:xfrm>
          <a:off x="3476625" y="3552825"/>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9525</xdr:rowOff>
    </xdr:from>
    <xdr:to>
      <xdr:col>6</xdr:col>
      <xdr:colOff>590550</xdr:colOff>
      <xdr:row>15</xdr:row>
      <xdr:rowOff>0</xdr:rowOff>
    </xdr:to>
    <xdr:sp>
      <xdr:nvSpPr>
        <xdr:cNvPr id="10" name="AutoShape 26"/>
        <xdr:cNvSpPr>
          <a:spLocks/>
        </xdr:cNvSpPr>
      </xdr:nvSpPr>
      <xdr:spPr>
        <a:xfrm>
          <a:off x="3409950" y="2962275"/>
          <a:ext cx="106680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13</xdr:row>
      <xdr:rowOff>38100</xdr:rowOff>
    </xdr:from>
    <xdr:to>
      <xdr:col>6</xdr:col>
      <xdr:colOff>609600</xdr:colOff>
      <xdr:row>14</xdr:row>
      <xdr:rowOff>161925</xdr:rowOff>
    </xdr:to>
    <xdr:sp>
      <xdr:nvSpPr>
        <xdr:cNvPr id="11" name="AutoShape 27">
          <a:hlinkClick r:id="rId5"/>
        </xdr:cNvPr>
        <xdr:cNvSpPr>
          <a:spLocks/>
        </xdr:cNvSpPr>
      </xdr:nvSpPr>
      <xdr:spPr>
        <a:xfrm>
          <a:off x="3448050" y="2990850"/>
          <a:ext cx="1047750" cy="314325"/>
        </a:xfrm>
        <a:prstGeom prst="roundRect">
          <a:avLst/>
        </a:prstGeom>
        <a:gradFill rotWithShape="1">
          <a:gsLst>
            <a:gs pos="0">
              <a:srgbClr val="863836"/>
            </a:gs>
            <a:gs pos="100000">
              <a:srgbClr val="C0504D"/>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371475</xdr:colOff>
      <xdr:row>5</xdr:row>
      <xdr:rowOff>0</xdr:rowOff>
    </xdr:from>
    <xdr:to>
      <xdr:col>7</xdr:col>
      <xdr:colOff>400050</xdr:colOff>
      <xdr:row>6</xdr:row>
      <xdr:rowOff>47625</xdr:rowOff>
    </xdr:to>
    <xdr:sp>
      <xdr:nvSpPr>
        <xdr:cNvPr id="13" name="Rectangle 803"/>
        <xdr:cNvSpPr>
          <a:spLocks/>
        </xdr:cNvSpPr>
      </xdr:nvSpPr>
      <xdr:spPr>
        <a:xfrm>
          <a:off x="2733675" y="1428750"/>
          <a:ext cx="2314575"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295275</xdr:colOff>
      <xdr:row>11</xdr:row>
      <xdr:rowOff>0</xdr:rowOff>
    </xdr:from>
    <xdr:to>
      <xdr:col>11</xdr:col>
      <xdr:colOff>133350</xdr:colOff>
      <xdr:row>13</xdr:row>
      <xdr:rowOff>28575</xdr:rowOff>
    </xdr:to>
    <xdr:sp>
      <xdr:nvSpPr>
        <xdr:cNvPr id="14" name="AutoShape 30"/>
        <xdr:cNvSpPr>
          <a:spLocks/>
        </xdr:cNvSpPr>
      </xdr:nvSpPr>
      <xdr:spPr>
        <a:xfrm>
          <a:off x="5705475" y="257175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390525</xdr:colOff>
      <xdr:row>11</xdr:row>
      <xdr:rowOff>47625</xdr:rowOff>
    </xdr:from>
    <xdr:to>
      <xdr:col>11</xdr:col>
      <xdr:colOff>114300</xdr:colOff>
      <xdr:row>13</xdr:row>
      <xdr:rowOff>0</xdr:rowOff>
    </xdr:to>
    <xdr:sp>
      <xdr:nvSpPr>
        <xdr:cNvPr id="15" name="AutoShape 31">
          <a:hlinkClick r:id="rId6"/>
        </xdr:cNvPr>
        <xdr:cNvSpPr>
          <a:spLocks/>
        </xdr:cNvSpPr>
      </xdr:nvSpPr>
      <xdr:spPr>
        <a:xfrm>
          <a:off x="5800725" y="2619375"/>
          <a:ext cx="1362075"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66675</xdr:rowOff>
    </xdr:from>
    <xdr:to>
      <xdr:col>8</xdr:col>
      <xdr:colOff>495300</xdr:colOff>
      <xdr:row>12</xdr:row>
      <xdr:rowOff>47625</xdr:rowOff>
    </xdr:to>
    <xdr:sp>
      <xdr:nvSpPr>
        <xdr:cNvPr id="16" name="Freeform 32"/>
        <xdr:cNvSpPr>
          <a:spLocks/>
        </xdr:cNvSpPr>
      </xdr:nvSpPr>
      <xdr:spPr>
        <a:xfrm>
          <a:off x="5762625" y="263842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7</xdr:row>
      <xdr:rowOff>85725</xdr:rowOff>
    </xdr:from>
    <xdr:to>
      <xdr:col>4</xdr:col>
      <xdr:colOff>104775</xdr:colOff>
      <xdr:row>18</xdr:row>
      <xdr:rowOff>114300</xdr:rowOff>
    </xdr:to>
    <xdr:sp>
      <xdr:nvSpPr>
        <xdr:cNvPr id="17" name="AutoShape 31"/>
        <xdr:cNvSpPr>
          <a:spLocks/>
        </xdr:cNvSpPr>
      </xdr:nvSpPr>
      <xdr:spPr>
        <a:xfrm>
          <a:off x="323850" y="1895475"/>
          <a:ext cx="2143125" cy="2124075"/>
        </a:xfrm>
        <a:prstGeom prst="roundRect">
          <a:avLst/>
        </a:prstGeom>
        <a:gradFill rotWithShape="1">
          <a:gsLst>
            <a:gs pos="0">
              <a:srgbClr val="4C7BB4"/>
            </a:gs>
            <a:gs pos="100000">
              <a:srgbClr val="87AFD3"/>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14</xdr:row>
      <xdr:rowOff>57150</xdr:rowOff>
    </xdr:from>
    <xdr:to>
      <xdr:col>11</xdr:col>
      <xdr:colOff>123825</xdr:colOff>
      <xdr:row>16</xdr:row>
      <xdr:rowOff>85725</xdr:rowOff>
    </xdr:to>
    <xdr:sp>
      <xdr:nvSpPr>
        <xdr:cNvPr id="19" name="AutoShape 30"/>
        <xdr:cNvSpPr>
          <a:spLocks/>
        </xdr:cNvSpPr>
      </xdr:nvSpPr>
      <xdr:spPr>
        <a:xfrm>
          <a:off x="5695950" y="3200400"/>
          <a:ext cx="1476375" cy="4095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361950</xdr:colOff>
      <xdr:row>14</xdr:row>
      <xdr:rowOff>114300</xdr:rowOff>
    </xdr:from>
    <xdr:to>
      <xdr:col>11</xdr:col>
      <xdr:colOff>76200</xdr:colOff>
      <xdr:row>16</xdr:row>
      <xdr:rowOff>76200</xdr:rowOff>
    </xdr:to>
    <xdr:sp>
      <xdr:nvSpPr>
        <xdr:cNvPr id="20" name="AutoShape 31">
          <a:hlinkClick r:id="rId7"/>
        </xdr:cNvPr>
        <xdr:cNvSpPr>
          <a:spLocks/>
        </xdr:cNvSpPr>
      </xdr:nvSpPr>
      <xdr:spPr>
        <a:xfrm>
          <a:off x="5772150" y="3257550"/>
          <a:ext cx="1352550" cy="342900"/>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123825</xdr:rowOff>
    </xdr:from>
    <xdr:to>
      <xdr:col>8</xdr:col>
      <xdr:colOff>476250</xdr:colOff>
      <xdr:row>15</xdr:row>
      <xdr:rowOff>104775</xdr:rowOff>
    </xdr:to>
    <xdr:sp>
      <xdr:nvSpPr>
        <xdr:cNvPr id="21" name="Freeform 32"/>
        <xdr:cNvSpPr>
          <a:spLocks/>
        </xdr:cNvSpPr>
      </xdr:nvSpPr>
      <xdr:spPr>
        <a:xfrm>
          <a:off x="5743575" y="3267075"/>
          <a:ext cx="142875" cy="1714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15</xdr:row>
      <xdr:rowOff>133350</xdr:rowOff>
    </xdr:from>
    <xdr:to>
      <xdr:col>3</xdr:col>
      <xdr:colOff>495300</xdr:colOff>
      <xdr:row>18</xdr:row>
      <xdr:rowOff>19050</xdr:rowOff>
    </xdr:to>
    <xdr:sp>
      <xdr:nvSpPr>
        <xdr:cNvPr id="22" name="AutoShape 30"/>
        <xdr:cNvSpPr>
          <a:spLocks/>
        </xdr:cNvSpPr>
      </xdr:nvSpPr>
      <xdr:spPr>
        <a:xfrm>
          <a:off x="590550" y="3467100"/>
          <a:ext cx="1504950" cy="457200"/>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16</xdr:row>
      <xdr:rowOff>0</xdr:rowOff>
    </xdr:from>
    <xdr:to>
      <xdr:col>3</xdr:col>
      <xdr:colOff>476250</xdr:colOff>
      <xdr:row>18</xdr:row>
      <xdr:rowOff>0</xdr:rowOff>
    </xdr:to>
    <xdr:sp>
      <xdr:nvSpPr>
        <xdr:cNvPr id="23" name="AutoShape 31">
          <a:hlinkClick r:id="rId8"/>
        </xdr:cNvPr>
        <xdr:cNvSpPr>
          <a:spLocks/>
        </xdr:cNvSpPr>
      </xdr:nvSpPr>
      <xdr:spPr>
        <a:xfrm>
          <a:off x="628650" y="3524250"/>
          <a:ext cx="1447800" cy="3810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10</xdr:row>
      <xdr:rowOff>28575</xdr:rowOff>
    </xdr:from>
    <xdr:to>
      <xdr:col>3</xdr:col>
      <xdr:colOff>495300</xdr:colOff>
      <xdr:row>12</xdr:row>
      <xdr:rowOff>19050</xdr:rowOff>
    </xdr:to>
    <xdr:sp>
      <xdr:nvSpPr>
        <xdr:cNvPr id="25" name="AutoShape 30"/>
        <xdr:cNvSpPr>
          <a:spLocks/>
        </xdr:cNvSpPr>
      </xdr:nvSpPr>
      <xdr:spPr>
        <a:xfrm>
          <a:off x="590550" y="24098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76200</xdr:rowOff>
    </xdr:from>
    <xdr:to>
      <xdr:col>3</xdr:col>
      <xdr:colOff>466725</xdr:colOff>
      <xdr:row>12</xdr:row>
      <xdr:rowOff>0</xdr:rowOff>
    </xdr:to>
    <xdr:sp>
      <xdr:nvSpPr>
        <xdr:cNvPr id="26" name="AutoShape 31">
          <a:hlinkClick r:id="rId9"/>
        </xdr:cNvPr>
        <xdr:cNvSpPr>
          <a:spLocks/>
        </xdr:cNvSpPr>
      </xdr:nvSpPr>
      <xdr:spPr>
        <a:xfrm>
          <a:off x="628650" y="2457450"/>
          <a:ext cx="1438275" cy="304800"/>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714375</xdr:colOff>
      <xdr:row>11</xdr:row>
      <xdr:rowOff>57150</xdr:rowOff>
    </xdr:to>
    <xdr:sp>
      <xdr:nvSpPr>
        <xdr:cNvPr id="27" name="Freeform 32"/>
        <xdr:cNvSpPr>
          <a:spLocks/>
        </xdr:cNvSpPr>
      </xdr:nvSpPr>
      <xdr:spPr>
        <a:xfrm>
          <a:off x="647700" y="24669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12</xdr:row>
      <xdr:rowOff>180975</xdr:rowOff>
    </xdr:from>
    <xdr:to>
      <xdr:col>3</xdr:col>
      <xdr:colOff>495300</xdr:colOff>
      <xdr:row>14</xdr:row>
      <xdr:rowOff>171450</xdr:rowOff>
    </xdr:to>
    <xdr:sp>
      <xdr:nvSpPr>
        <xdr:cNvPr id="28" name="AutoShape 30"/>
        <xdr:cNvSpPr>
          <a:spLocks/>
        </xdr:cNvSpPr>
      </xdr:nvSpPr>
      <xdr:spPr>
        <a:xfrm>
          <a:off x="590550" y="2943225"/>
          <a:ext cx="1504950" cy="371475"/>
        </a:xfrm>
        <a:prstGeom prst="roundRect">
          <a:avLst/>
        </a:prstGeom>
        <a:gradFill rotWithShape="1">
          <a:gsLst>
            <a:gs pos="0">
              <a:srgbClr val="DDDDDD"/>
            </a:gs>
            <a:gs pos="100000">
              <a:srgbClr val="EEEEEE"/>
            </a:gs>
          </a:gsLst>
          <a:lin ang="2700000" scaled="1"/>
        </a:gradFill>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466725</xdr:colOff>
      <xdr:row>14</xdr:row>
      <xdr:rowOff>152400</xdr:rowOff>
    </xdr:to>
    <xdr:sp>
      <xdr:nvSpPr>
        <xdr:cNvPr id="29" name="AutoShape 31">
          <a:hlinkClick r:id="rId10"/>
        </xdr:cNvPr>
        <xdr:cNvSpPr>
          <a:spLocks/>
        </xdr:cNvSpPr>
      </xdr:nvSpPr>
      <xdr:spPr>
        <a:xfrm>
          <a:off x="628650" y="2981325"/>
          <a:ext cx="1438275" cy="314325"/>
        </a:xfrm>
        <a:prstGeom prst="roundRect">
          <a:avLst/>
        </a:prstGeom>
        <a:gradFill rotWithShape="1">
          <a:gsLst>
            <a:gs pos="0">
              <a:srgbClr val="375A84"/>
            </a:gs>
            <a:gs pos="100000">
              <a:srgbClr val="4F81BD"/>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714375</xdr:colOff>
      <xdr:row>14</xdr:row>
      <xdr:rowOff>19050</xdr:rowOff>
    </xdr:to>
    <xdr:sp>
      <xdr:nvSpPr>
        <xdr:cNvPr id="30" name="Freeform 32"/>
        <xdr:cNvSpPr>
          <a:spLocks/>
        </xdr:cNvSpPr>
      </xdr:nvSpPr>
      <xdr:spPr>
        <a:xfrm>
          <a:off x="647700" y="3000375"/>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66675</xdr:rowOff>
    </xdr:from>
    <xdr:to>
      <xdr:col>4</xdr:col>
      <xdr:colOff>104775</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twoCellAnchor>
    <xdr:from>
      <xdr:col>1</xdr:col>
      <xdr:colOff>323850</xdr:colOff>
      <xdr:row>7</xdr:row>
      <xdr:rowOff>114300</xdr:rowOff>
    </xdr:from>
    <xdr:to>
      <xdr:col>4</xdr:col>
      <xdr:colOff>76200</xdr:colOff>
      <xdr:row>10</xdr:row>
      <xdr:rowOff>0</xdr:rowOff>
    </xdr:to>
    <xdr:sp fLocksText="0">
      <xdr:nvSpPr>
        <xdr:cNvPr id="32" name="Text Box 2013"/>
        <xdr:cNvSpPr txBox="1">
          <a:spLocks noChangeArrowheads="1"/>
        </xdr:cNvSpPr>
      </xdr:nvSpPr>
      <xdr:spPr>
        <a:xfrm>
          <a:off x="400050" y="1924050"/>
          <a:ext cx="2038350" cy="457200"/>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247650</xdr:colOff>
      <xdr:row>7</xdr:row>
      <xdr:rowOff>66675</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twoCellAnchor>
    <xdr:from>
      <xdr:col>4</xdr:col>
      <xdr:colOff>638175</xdr:colOff>
      <xdr:row>7</xdr:row>
      <xdr:rowOff>114300</xdr:rowOff>
    </xdr:from>
    <xdr:to>
      <xdr:col>7</xdr:col>
      <xdr:colOff>285750</xdr:colOff>
      <xdr:row>9</xdr:row>
      <xdr:rowOff>114300</xdr:rowOff>
    </xdr:to>
    <xdr:sp fLocksText="0">
      <xdr:nvSpPr>
        <xdr:cNvPr id="34" name="Text Box 2017"/>
        <xdr:cNvSpPr txBox="1">
          <a:spLocks noChangeArrowheads="1"/>
        </xdr:cNvSpPr>
      </xdr:nvSpPr>
      <xdr:spPr>
        <a:xfrm>
          <a:off x="3000375" y="1924050"/>
          <a:ext cx="193357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733425</xdr:colOff>
      <xdr:row>7</xdr:row>
      <xdr:rowOff>76200</xdr:rowOff>
    </xdr:from>
    <xdr:to>
      <xdr:col>11</xdr:col>
      <xdr:colOff>409575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81625" y="1885950"/>
          <a:ext cx="2076450" cy="438150"/>
        </a:xfrm>
        <a:prstGeom prst="rect">
          <a:avLst/>
        </a:prstGeom>
        <a:noFill/>
        <a:ln w="9525" cmpd="sng">
          <a:noFill/>
        </a:ln>
      </xdr:spPr>
    </xdr:pic>
    <xdr:clientData/>
  </xdr:twoCellAnchor>
  <xdr:twoCellAnchor>
    <xdr:from>
      <xdr:col>8</xdr:col>
      <xdr:colOff>76200</xdr:colOff>
      <xdr:row>7</xdr:row>
      <xdr:rowOff>114300</xdr:rowOff>
    </xdr:from>
    <xdr:to>
      <xdr:col>11</xdr:col>
      <xdr:colOff>342900</xdr:colOff>
      <xdr:row>9</xdr:row>
      <xdr:rowOff>114300</xdr:rowOff>
    </xdr:to>
    <xdr:sp fLocksText="0">
      <xdr:nvSpPr>
        <xdr:cNvPr id="36" name="Text Box 2019"/>
        <xdr:cNvSpPr txBox="1">
          <a:spLocks noChangeArrowheads="1"/>
        </xdr:cNvSpPr>
      </xdr:nvSpPr>
      <xdr:spPr>
        <a:xfrm>
          <a:off x="5486400" y="1924050"/>
          <a:ext cx="190500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85725</xdr:rowOff>
    </xdr:to>
    <xdr:pic>
      <xdr:nvPicPr>
        <xdr:cNvPr id="1" name="Picture 2"/>
        <xdr:cNvPicPr preferRelativeResize="1">
          <a:picLocks noChangeAspect="1"/>
        </xdr:cNvPicPr>
      </xdr:nvPicPr>
      <xdr:blipFill>
        <a:blip r:embed="rId1"/>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1</xdr:row>
      <xdr:rowOff>0</xdr:rowOff>
    </xdr:to>
    <xdr:sp>
      <xdr:nvSpPr>
        <xdr:cNvPr id="1" name="AutoShape 50">
          <a:hlinkClick r:id="rId1"/>
        </xdr:cNvPr>
        <xdr:cNvSpPr>
          <a:spLocks/>
        </xdr:cNvSpPr>
      </xdr:nvSpPr>
      <xdr:spPr>
        <a:xfrm>
          <a:off x="28575" y="28575"/>
          <a:ext cx="1285875" cy="409575"/>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0</xdr:col>
      <xdr:colOff>1190625</xdr:colOff>
      <xdr:row>2</xdr:row>
      <xdr:rowOff>447675</xdr:rowOff>
    </xdr:to>
    <xdr:sp>
      <xdr:nvSpPr>
        <xdr:cNvPr id="1" name="Rectangle 117">
          <a:hlinkClick r:id="rId1"/>
        </xdr:cNvPr>
        <xdr:cNvSpPr>
          <a:spLocks/>
        </xdr:cNvSpPr>
      </xdr:nvSpPr>
      <xdr:spPr>
        <a:xfrm>
          <a:off x="190500" y="590550"/>
          <a:ext cx="1000125"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76200</xdr:colOff>
      <xdr:row>0</xdr:row>
      <xdr:rowOff>38100</xdr:rowOff>
    </xdr:from>
    <xdr:to>
      <xdr:col>0</xdr:col>
      <xdr:colOff>1009650</xdr:colOff>
      <xdr:row>1</xdr:row>
      <xdr:rowOff>114300</xdr:rowOff>
    </xdr:to>
    <xdr:sp>
      <xdr:nvSpPr>
        <xdr:cNvPr id="2" name="AutoShape 50">
          <a:hlinkClick r:id="rId2"/>
        </xdr:cNvPr>
        <xdr:cNvSpPr>
          <a:spLocks/>
        </xdr:cNvSpPr>
      </xdr:nvSpPr>
      <xdr:spPr>
        <a:xfrm>
          <a:off x="76200" y="38100"/>
          <a:ext cx="933450"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219075</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19075" y="542925"/>
          <a:ext cx="9906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53875" y="4743450"/>
          <a:ext cx="0" cy="2314575"/>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171450</xdr:colOff>
      <xdr:row>0</xdr:row>
      <xdr:rowOff>0</xdr:rowOff>
    </xdr:from>
    <xdr:to>
      <xdr:col>1</xdr:col>
      <xdr:colOff>923925</xdr:colOff>
      <xdr:row>0</xdr:row>
      <xdr:rowOff>333375</xdr:rowOff>
    </xdr:to>
    <xdr:sp>
      <xdr:nvSpPr>
        <xdr:cNvPr id="2" name="AutoShape 50">
          <a:hlinkClick r:id="rId1"/>
        </xdr:cNvPr>
        <xdr:cNvSpPr>
          <a:spLocks/>
        </xdr:cNvSpPr>
      </xdr:nvSpPr>
      <xdr:spPr>
        <a:xfrm>
          <a:off x="17145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47</xdr:row>
      <xdr:rowOff>38100</xdr:rowOff>
    </xdr:from>
    <xdr:to>
      <xdr:col>6</xdr:col>
      <xdr:colOff>971550</xdr:colOff>
      <xdr:row>48</xdr:row>
      <xdr:rowOff>47625</xdr:rowOff>
    </xdr:to>
    <xdr:grpSp>
      <xdr:nvGrpSpPr>
        <xdr:cNvPr id="3" name="Group 18"/>
        <xdr:cNvGrpSpPr>
          <a:grpSpLocks/>
        </xdr:cNvGrpSpPr>
      </xdr:nvGrpSpPr>
      <xdr:grpSpPr>
        <a:xfrm>
          <a:off x="7953375" y="8524875"/>
          <a:ext cx="4829175" cy="200025"/>
          <a:chOff x="16695" y="12750"/>
          <a:chExt cx="10119" cy="298"/>
        </a:xfrm>
        <a:solidFill>
          <a:srgbClr val="FFFFFF"/>
        </a:solidFill>
      </xdr:grpSpPr>
      <xdr:sp>
        <xdr:nvSpPr>
          <xdr:cNvPr id="4" name="AutoShape 100"/>
          <xdr:cNvSpPr>
            <a:spLocks/>
          </xdr:cNvSpPr>
        </xdr:nvSpPr>
        <xdr:spPr>
          <a:xfrm>
            <a:off x="16723" y="13026"/>
            <a:ext cx="10086"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6695" y="12750"/>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6814" y="12775"/>
            <a:ext cx="0" cy="273"/>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104775</xdr:rowOff>
    </xdr:from>
    <xdr:to>
      <xdr:col>6</xdr:col>
      <xdr:colOff>19050</xdr:colOff>
      <xdr:row>20</xdr:row>
      <xdr:rowOff>180975</xdr:rowOff>
    </xdr:to>
    <xdr:graphicFrame>
      <xdr:nvGraphicFramePr>
        <xdr:cNvPr id="1" name="Chart 1"/>
        <xdr:cNvGraphicFramePr/>
      </xdr:nvGraphicFramePr>
      <xdr:xfrm>
        <a:off x="257175" y="3390900"/>
        <a:ext cx="4552950" cy="1762125"/>
      </xdr:xfrm>
      <a:graphic>
        <a:graphicData uri="http://schemas.openxmlformats.org/drawingml/2006/chart">
          <c:chart xmlns:c="http://schemas.openxmlformats.org/drawingml/2006/chart" r:id="rId1"/>
        </a:graphicData>
      </a:graphic>
    </xdr:graphicFrame>
    <xdr:clientData/>
  </xdr:twoCellAnchor>
  <xdr:twoCellAnchor>
    <xdr:from>
      <xdr:col>5</xdr:col>
      <xdr:colOff>895350</xdr:colOff>
      <xdr:row>9</xdr:row>
      <xdr:rowOff>9525</xdr:rowOff>
    </xdr:from>
    <xdr:to>
      <xdr:col>13</xdr:col>
      <xdr:colOff>514350</xdr:colOff>
      <xdr:row>22</xdr:row>
      <xdr:rowOff>76200</xdr:rowOff>
    </xdr:to>
    <xdr:graphicFrame>
      <xdr:nvGraphicFramePr>
        <xdr:cNvPr id="2" name="Chart 2"/>
        <xdr:cNvGraphicFramePr/>
      </xdr:nvGraphicFramePr>
      <xdr:xfrm>
        <a:off x="3819525" y="3295650"/>
        <a:ext cx="6648450" cy="2362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0</xdr:rowOff>
    </xdr:from>
    <xdr:to>
      <xdr:col>5</xdr:col>
      <xdr:colOff>1733550</xdr:colOff>
      <xdr:row>31</xdr:row>
      <xdr:rowOff>38100</xdr:rowOff>
    </xdr:to>
    <xdr:graphicFrame>
      <xdr:nvGraphicFramePr>
        <xdr:cNvPr id="3" name="Chart 3"/>
        <xdr:cNvGraphicFramePr/>
      </xdr:nvGraphicFramePr>
      <xdr:xfrm>
        <a:off x="0" y="7010400"/>
        <a:ext cx="4657725" cy="2019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704850</xdr:colOff>
      <xdr:row>0</xdr:row>
      <xdr:rowOff>333375</xdr:rowOff>
    </xdr:to>
    <xdr:sp>
      <xdr:nvSpPr>
        <xdr:cNvPr id="4" name="AutoShape 50">
          <a:hlinkClick r:id="rId4"/>
        </xdr:cNvPr>
        <xdr:cNvSpPr>
          <a:spLocks/>
        </xdr:cNvSpPr>
      </xdr:nvSpPr>
      <xdr:spPr>
        <a:xfrm>
          <a:off x="0"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161925</xdr:rowOff>
    </xdr:from>
    <xdr:to>
      <xdr:col>12</xdr:col>
      <xdr:colOff>219075</xdr:colOff>
      <xdr:row>14</xdr:row>
      <xdr:rowOff>152400</xdr:rowOff>
    </xdr:to>
    <xdr:graphicFrame>
      <xdr:nvGraphicFramePr>
        <xdr:cNvPr id="1" name="Chart 1"/>
        <xdr:cNvGraphicFramePr/>
      </xdr:nvGraphicFramePr>
      <xdr:xfrm>
        <a:off x="5705475" y="1924050"/>
        <a:ext cx="5838825" cy="13811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6</xdr:col>
      <xdr:colOff>0</xdr:colOff>
      <xdr:row>25</xdr:row>
      <xdr:rowOff>28575</xdr:rowOff>
    </xdr:to>
    <xdr:graphicFrame>
      <xdr:nvGraphicFramePr>
        <xdr:cNvPr id="2" name="Chart 2"/>
        <xdr:cNvGraphicFramePr/>
      </xdr:nvGraphicFramePr>
      <xdr:xfrm>
        <a:off x="285750" y="3933825"/>
        <a:ext cx="4143375" cy="1838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19050</xdr:rowOff>
    </xdr:from>
    <xdr:to>
      <xdr:col>6</xdr:col>
      <xdr:colOff>95250</xdr:colOff>
      <xdr:row>14</xdr:row>
      <xdr:rowOff>247650</xdr:rowOff>
    </xdr:to>
    <xdr:graphicFrame>
      <xdr:nvGraphicFramePr>
        <xdr:cNvPr id="3" name="Chart 3"/>
        <xdr:cNvGraphicFramePr/>
      </xdr:nvGraphicFramePr>
      <xdr:xfrm>
        <a:off x="0" y="2028825"/>
        <a:ext cx="4524375" cy="1371600"/>
      </xdr:xfrm>
      <a:graphic>
        <a:graphicData uri="http://schemas.openxmlformats.org/drawingml/2006/chart">
          <c:chart xmlns:c="http://schemas.openxmlformats.org/drawingml/2006/chart" r:id="rId3"/>
        </a:graphicData>
      </a:graphic>
    </xdr:graphicFrame>
    <xdr:clientData/>
  </xdr:twoCellAnchor>
  <xdr:twoCellAnchor>
    <xdr:from>
      <xdr:col>6</xdr:col>
      <xdr:colOff>1123950</xdr:colOff>
      <xdr:row>16</xdr:row>
      <xdr:rowOff>9525</xdr:rowOff>
    </xdr:from>
    <xdr:to>
      <xdr:col>13</xdr:col>
      <xdr:colOff>219075</xdr:colOff>
      <xdr:row>25</xdr:row>
      <xdr:rowOff>47625</xdr:rowOff>
    </xdr:to>
    <xdr:graphicFrame>
      <xdr:nvGraphicFramePr>
        <xdr:cNvPr id="4" name="Chart 4"/>
        <xdr:cNvGraphicFramePr/>
      </xdr:nvGraphicFramePr>
      <xdr:xfrm>
        <a:off x="5553075" y="3943350"/>
        <a:ext cx="6600825" cy="184785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6</xdr:col>
      <xdr:colOff>114300</xdr:colOff>
      <xdr:row>35</xdr:row>
      <xdr:rowOff>228600</xdr:rowOff>
    </xdr:to>
    <xdr:graphicFrame>
      <xdr:nvGraphicFramePr>
        <xdr:cNvPr id="5" name="Chart 5"/>
        <xdr:cNvGraphicFramePr/>
      </xdr:nvGraphicFramePr>
      <xdr:xfrm>
        <a:off x="209550" y="6448425"/>
        <a:ext cx="4333875" cy="28479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704850</xdr:colOff>
      <xdr:row>0</xdr:row>
      <xdr:rowOff>342900</xdr:rowOff>
    </xdr:to>
    <xdr:sp>
      <xdr:nvSpPr>
        <xdr:cNvPr id="6" name="AutoShape 50">
          <a:hlinkClick r:id="rId6"/>
        </xdr:cNvPr>
        <xdr:cNvSpPr>
          <a:spLocks/>
        </xdr:cNvSpPr>
      </xdr:nvSpPr>
      <xdr:spPr>
        <a:xfrm>
          <a:off x="0" y="9525"/>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142875</xdr:rowOff>
    </xdr:from>
    <xdr:to>
      <xdr:col>12</xdr:col>
      <xdr:colOff>238125</xdr:colOff>
      <xdr:row>18</xdr:row>
      <xdr:rowOff>19050</xdr:rowOff>
    </xdr:to>
    <xdr:graphicFrame>
      <xdr:nvGraphicFramePr>
        <xdr:cNvPr id="1" name="Chart 1"/>
        <xdr:cNvGraphicFramePr/>
      </xdr:nvGraphicFramePr>
      <xdr:xfrm>
        <a:off x="4400550" y="2724150"/>
        <a:ext cx="4000500" cy="1838325"/>
      </xdr:xfrm>
      <a:graphic>
        <a:graphicData uri="http://schemas.openxmlformats.org/drawingml/2006/chart">
          <c:chart xmlns:c="http://schemas.openxmlformats.org/drawingml/2006/chart" r:id="rId1"/>
        </a:graphicData>
      </a:graphic>
    </xdr:graphicFrame>
    <xdr:clientData/>
  </xdr:twoCellAnchor>
  <xdr:twoCellAnchor>
    <xdr:from>
      <xdr:col>12</xdr:col>
      <xdr:colOff>676275</xdr:colOff>
      <xdr:row>9</xdr:row>
      <xdr:rowOff>200025</xdr:rowOff>
    </xdr:from>
    <xdr:to>
      <xdr:col>18</xdr:col>
      <xdr:colOff>57150</xdr:colOff>
      <xdr:row>18</xdr:row>
      <xdr:rowOff>57150</xdr:rowOff>
    </xdr:to>
    <xdr:graphicFrame>
      <xdr:nvGraphicFramePr>
        <xdr:cNvPr id="2" name="Chart 2"/>
        <xdr:cNvGraphicFramePr/>
      </xdr:nvGraphicFramePr>
      <xdr:xfrm>
        <a:off x="8839200" y="2781300"/>
        <a:ext cx="5381625" cy="1819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904875</xdr:colOff>
      <xdr:row>1</xdr:row>
      <xdr:rowOff>28575</xdr:rowOff>
    </xdr:to>
    <xdr:sp>
      <xdr:nvSpPr>
        <xdr:cNvPr id="3" name="AutoShape 50">
          <a:hlinkClick r:id="rId3"/>
        </xdr:cNvPr>
        <xdr:cNvSpPr>
          <a:spLocks/>
        </xdr:cNvSpPr>
      </xdr:nvSpPr>
      <xdr:spPr>
        <a:xfrm>
          <a:off x="28575" y="19050"/>
          <a:ext cx="904875"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2695575"/>
        <a:ext cx="3962400" cy="18383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914400</xdr:colOff>
      <xdr:row>0</xdr:row>
      <xdr:rowOff>381000</xdr:rowOff>
    </xdr:to>
    <xdr:sp>
      <xdr:nvSpPr>
        <xdr:cNvPr id="1" name="AutoShape 50">
          <a:hlinkClick r:id="rId1"/>
        </xdr:cNvPr>
        <xdr:cNvSpPr>
          <a:spLocks/>
        </xdr:cNvSpPr>
      </xdr:nvSpPr>
      <xdr:spPr>
        <a:xfrm>
          <a:off x="47625" y="47625"/>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695325</xdr:colOff>
      <xdr:row>0</xdr:row>
      <xdr:rowOff>352425</xdr:rowOff>
    </xdr:to>
    <xdr:sp>
      <xdr:nvSpPr>
        <xdr:cNvPr id="1" name="AutoShape 50">
          <a:hlinkClick r:id="rId1"/>
        </xdr:cNvPr>
        <xdr:cNvSpPr>
          <a:spLocks/>
        </xdr:cNvSpPr>
      </xdr:nvSpPr>
      <xdr:spPr>
        <a:xfrm>
          <a:off x="28575" y="28575"/>
          <a:ext cx="94297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1">
        <row r="6">
          <cell r="B6" t="str">
            <v>Subvención nº:</v>
          </cell>
          <cell r="C6" t="str">
            <v>FIC-910-G01-H</v>
          </cell>
        </row>
      </sheetData>
      <sheetData sheetId="2">
        <row r="3">
          <cell r="B3" t="str">
            <v>Tablero de mando:  Ficticia - VIH / SIDA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80" zoomScaleNormal="80" zoomScalePageLayoutView="0" workbookViewId="0" topLeftCell="A1">
      <selection activeCell="H4" sqref="H4"/>
    </sheetView>
  </sheetViews>
  <sheetFormatPr defaultColWidth="11.421875" defaultRowHeight="15"/>
  <cols>
    <col min="1" max="1" width="1.1484375" style="0" customWidth="1"/>
    <col min="2" max="10" width="11.421875" style="0" customWidth="1"/>
    <col min="11" max="11" width="1.7109375" style="0" customWidth="1"/>
    <col min="12" max="16384" width="9.140625" style="0" customWidth="1"/>
  </cols>
  <sheetData>
    <row r="1" ht="25.5" customHeight="1"/>
    <row r="2" spans="2:15" ht="36">
      <c r="B2" s="502" t="str">
        <f>+'[1]Información de la subvención'!B3:J3</f>
        <v>Tablero de mando:  Ficticia - VIH / SIDA</v>
      </c>
      <c r="C2" s="502"/>
      <c r="D2" s="502"/>
      <c r="E2" s="502"/>
      <c r="F2" s="502"/>
      <c r="G2" s="502"/>
      <c r="H2" s="502"/>
      <c r="I2" s="502"/>
      <c r="J2" s="502"/>
      <c r="K2" s="502"/>
      <c r="L2" s="502"/>
      <c r="M2" s="1"/>
      <c r="N2" s="1"/>
      <c r="O2" s="1"/>
    </row>
    <row r="4" spans="2:12" ht="21">
      <c r="B4" s="503" t="str">
        <f>+'Introducción de datos'!G6&amp;"  "&amp;+'Introducción de datos'!G8&amp;",  "&amp;+'Introducción de datos'!I8</f>
        <v>VIH / SIDA  Seleccionar,  Seleccionar</v>
      </c>
      <c r="C4" s="503"/>
      <c r="D4" s="503"/>
      <c r="E4" s="503"/>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H21"/>
    </sheetView>
  </sheetViews>
  <sheetFormatPr defaultColWidth="11.42187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 min="15" max="16384" width="9.140625" style="0" customWidth="1"/>
  </cols>
  <sheetData>
    <row r="2" ht="25.5" customHeight="1"/>
    <row r="3" spans="2:9" ht="36">
      <c r="B3" s="786" t="str">
        <f>'Información de la subvención'!B3:J3</f>
        <v>Tablero de mando:  El Salvador - VIH / SIDA</v>
      </c>
      <c r="C3" s="786"/>
      <c r="D3" s="786"/>
      <c r="E3" s="786"/>
      <c r="F3" s="786"/>
      <c r="G3" s="786"/>
      <c r="H3" s="786"/>
      <c r="I3" s="248"/>
    </row>
    <row r="6" spans="2:8" ht="18.75">
      <c r="B6" s="787" t="s">
        <v>34</v>
      </c>
      <c r="C6" s="787"/>
      <c r="D6" s="787"/>
      <c r="E6" s="787"/>
      <c r="F6" s="787"/>
      <c r="G6" s="787"/>
      <c r="H6" s="787"/>
    </row>
    <row r="8" spans="2:15" ht="18.75">
      <c r="B8" s="388" t="s">
        <v>35</v>
      </c>
      <c r="C8" s="388" t="s">
        <v>36</v>
      </c>
      <c r="D8" s="388" t="s">
        <v>37</v>
      </c>
      <c r="E8" s="388" t="s">
        <v>38</v>
      </c>
      <c r="F8" s="388" t="s">
        <v>39</v>
      </c>
      <c r="G8" s="388" t="s">
        <v>40</v>
      </c>
      <c r="H8" s="388" t="s">
        <v>41</v>
      </c>
      <c r="I8" s="389" t="s">
        <v>42</v>
      </c>
      <c r="J8" s="389" t="s">
        <v>43</v>
      </c>
      <c r="M8" s="10"/>
      <c r="N8" s="10"/>
      <c r="O8" s="10"/>
    </row>
    <row r="9" spans="2:15" ht="15">
      <c r="B9" s="390" t="s">
        <v>44</v>
      </c>
      <c r="C9" s="390" t="s">
        <v>44</v>
      </c>
      <c r="D9" s="390" t="s">
        <v>44</v>
      </c>
      <c r="E9" s="390" t="s">
        <v>44</v>
      </c>
      <c r="F9" s="390" t="s">
        <v>44</v>
      </c>
      <c r="G9" s="390" t="s">
        <v>44</v>
      </c>
      <c r="H9" s="390" t="s">
        <v>44</v>
      </c>
      <c r="I9" s="391" t="s">
        <v>44</v>
      </c>
      <c r="J9" s="390" t="s">
        <v>44</v>
      </c>
      <c r="M9" s="10"/>
      <c r="N9" s="10"/>
      <c r="O9" s="10"/>
    </row>
    <row r="10" spans="2:15" ht="15">
      <c r="B10" s="392" t="s">
        <v>45</v>
      </c>
      <c r="C10" s="392" t="s">
        <v>204</v>
      </c>
      <c r="D10" s="392" t="s">
        <v>46</v>
      </c>
      <c r="E10" s="392" t="s">
        <v>47</v>
      </c>
      <c r="F10" s="392" t="s">
        <v>16</v>
      </c>
      <c r="G10" s="393" t="s">
        <v>188</v>
      </c>
      <c r="H10" s="394" t="s">
        <v>48</v>
      </c>
      <c r="I10" s="395" t="s">
        <v>269</v>
      </c>
      <c r="J10" s="390" t="s">
        <v>49</v>
      </c>
      <c r="M10" s="10"/>
      <c r="N10" s="10"/>
      <c r="O10" s="10"/>
    </row>
    <row r="11" spans="2:15" ht="15">
      <c r="B11" s="392" t="s">
        <v>50</v>
      </c>
      <c r="C11" s="392" t="s">
        <v>51</v>
      </c>
      <c r="D11" s="392" t="s">
        <v>52</v>
      </c>
      <c r="E11" s="392" t="s">
        <v>183</v>
      </c>
      <c r="F11" s="392" t="s">
        <v>17</v>
      </c>
      <c r="G11" s="393" t="s">
        <v>53</v>
      </c>
      <c r="H11" s="394" t="s">
        <v>54</v>
      </c>
      <c r="I11" s="395" t="s">
        <v>270</v>
      </c>
      <c r="J11" s="390" t="s">
        <v>55</v>
      </c>
      <c r="M11" s="10"/>
      <c r="N11" s="10"/>
      <c r="O11" s="10"/>
    </row>
    <row r="12" spans="2:15" ht="15">
      <c r="B12" s="392" t="s">
        <v>177</v>
      </c>
      <c r="D12" s="392" t="s">
        <v>56</v>
      </c>
      <c r="E12" s="392" t="s">
        <v>57</v>
      </c>
      <c r="F12" s="392" t="s">
        <v>18</v>
      </c>
      <c r="G12" s="393" t="s">
        <v>58</v>
      </c>
      <c r="H12" s="394" t="s">
        <v>59</v>
      </c>
      <c r="I12" s="395" t="s">
        <v>271</v>
      </c>
      <c r="J12" s="390" t="s">
        <v>60</v>
      </c>
      <c r="M12" s="396"/>
      <c r="N12" s="10"/>
      <c r="O12" s="10"/>
    </row>
    <row r="13" spans="2:15" ht="15">
      <c r="B13" s="392" t="s">
        <v>61</v>
      </c>
      <c r="D13" s="392" t="s">
        <v>62</v>
      </c>
      <c r="E13" s="397"/>
      <c r="F13" s="392" t="s">
        <v>19</v>
      </c>
      <c r="G13" s="393" t="s">
        <v>63</v>
      </c>
      <c r="H13" s="394" t="s">
        <v>64</v>
      </c>
      <c r="I13" s="395" t="s">
        <v>272</v>
      </c>
      <c r="J13" s="390" t="s">
        <v>65</v>
      </c>
      <c r="M13" s="396"/>
      <c r="N13" s="10"/>
      <c r="O13" s="10"/>
    </row>
    <row r="14" spans="2:15" ht="15">
      <c r="B14" s="392" t="s">
        <v>66</v>
      </c>
      <c r="D14" s="392" t="s">
        <v>67</v>
      </c>
      <c r="F14" s="392" t="s">
        <v>20</v>
      </c>
      <c r="G14" s="393" t="s">
        <v>68</v>
      </c>
      <c r="H14" s="394" t="s">
        <v>69</v>
      </c>
      <c r="I14" s="395" t="s">
        <v>70</v>
      </c>
      <c r="J14" s="390" t="s">
        <v>71</v>
      </c>
      <c r="M14" s="396"/>
      <c r="N14" s="10"/>
      <c r="O14" s="10"/>
    </row>
    <row r="15" spans="4:15" ht="15">
      <c r="D15" s="392" t="s">
        <v>72</v>
      </c>
      <c r="F15" s="392" t="s">
        <v>21</v>
      </c>
      <c r="H15" s="394" t="s">
        <v>73</v>
      </c>
      <c r="I15" s="395" t="s">
        <v>74</v>
      </c>
      <c r="J15" s="390" t="s">
        <v>75</v>
      </c>
      <c r="M15" s="396"/>
      <c r="N15" s="10"/>
      <c r="O15" s="10"/>
    </row>
    <row r="16" spans="4:15" ht="15">
      <c r="D16" s="392" t="s">
        <v>76</v>
      </c>
      <c r="F16" s="392" t="s">
        <v>22</v>
      </c>
      <c r="H16" s="394" t="s">
        <v>77</v>
      </c>
      <c r="I16" s="395" t="s">
        <v>78</v>
      </c>
      <c r="J16" s="390" t="s">
        <v>79</v>
      </c>
      <c r="M16" s="396"/>
      <c r="N16" s="10"/>
      <c r="O16" s="10"/>
    </row>
    <row r="17" spans="4:15" ht="15">
      <c r="D17" s="392" t="s">
        <v>80</v>
      </c>
      <c r="F17" s="392" t="s">
        <v>23</v>
      </c>
      <c r="H17" s="394" t="s">
        <v>81</v>
      </c>
      <c r="I17" s="395" t="s">
        <v>82</v>
      </c>
      <c r="J17" s="390" t="s">
        <v>83</v>
      </c>
      <c r="M17" s="396"/>
      <c r="N17" s="10"/>
      <c r="O17" s="10"/>
    </row>
    <row r="18" spans="4:15" ht="15">
      <c r="D18" s="392" t="s">
        <v>181</v>
      </c>
      <c r="F18" s="392" t="s">
        <v>208</v>
      </c>
      <c r="H18" s="394" t="s">
        <v>84</v>
      </c>
      <c r="I18" s="395" t="s">
        <v>85</v>
      </c>
      <c r="J18" s="390" t="s">
        <v>86</v>
      </c>
      <c r="M18" s="396"/>
      <c r="N18" s="10"/>
      <c r="O18" s="10"/>
    </row>
    <row r="19" spans="4:15" ht="15">
      <c r="D19" s="392" t="s">
        <v>87</v>
      </c>
      <c r="F19" s="392" t="s">
        <v>209</v>
      </c>
      <c r="H19" s="394" t="s">
        <v>186</v>
      </c>
      <c r="I19" s="395" t="s">
        <v>88</v>
      </c>
      <c r="J19" s="390" t="s">
        <v>89</v>
      </c>
      <c r="M19" s="396"/>
      <c r="N19" s="10"/>
      <c r="O19" s="10"/>
    </row>
    <row r="20" spans="4:15" ht="15">
      <c r="D20" s="398"/>
      <c r="F20" s="392" t="s">
        <v>210</v>
      </c>
      <c r="H20" s="394" t="s">
        <v>90</v>
      </c>
      <c r="I20" s="395" t="s">
        <v>91</v>
      </c>
      <c r="J20" s="390" t="s">
        <v>92</v>
      </c>
      <c r="M20" s="10"/>
      <c r="N20" s="10"/>
      <c r="O20" s="10"/>
    </row>
    <row r="21" spans="4:15" ht="15">
      <c r="D21" s="399"/>
      <c r="F21" s="392" t="s">
        <v>192</v>
      </c>
      <c r="H21" s="399"/>
      <c r="I21" s="395" t="s">
        <v>93</v>
      </c>
      <c r="J21" s="390" t="s">
        <v>94</v>
      </c>
      <c r="M21" s="10"/>
      <c r="N21" s="10"/>
      <c r="O21" s="10"/>
    </row>
    <row r="22" spans="8:15" ht="15">
      <c r="H22" s="399"/>
      <c r="I22" s="395" t="s">
        <v>95</v>
      </c>
      <c r="J22" s="390" t="s">
        <v>96</v>
      </c>
      <c r="M22" s="10"/>
      <c r="N22" s="10"/>
      <c r="O22" s="10"/>
    </row>
    <row r="23" spans="9:15" ht="15">
      <c r="I23" s="395" t="s">
        <v>97</v>
      </c>
      <c r="J23" s="390" t="s">
        <v>98</v>
      </c>
      <c r="M23" s="10"/>
      <c r="N23" s="10"/>
      <c r="O23" s="10"/>
    </row>
    <row r="24" spans="9:15" ht="15">
      <c r="I24" s="395" t="s">
        <v>99</v>
      </c>
      <c r="J24" s="390" t="s">
        <v>100</v>
      </c>
      <c r="M24" s="10"/>
      <c r="N24" s="10"/>
      <c r="O24" s="10"/>
    </row>
    <row r="25" spans="9:10" ht="15">
      <c r="I25" s="400"/>
      <c r="J25" s="390" t="s">
        <v>101</v>
      </c>
    </row>
    <row r="26" spans="9:10" ht="15">
      <c r="I26" s="395" t="s">
        <v>102</v>
      </c>
      <c r="J26" s="390" t="s">
        <v>103</v>
      </c>
    </row>
    <row r="27" spans="9:10" ht="15">
      <c r="I27" s="395" t="s">
        <v>104</v>
      </c>
      <c r="J27" s="390" t="s">
        <v>173</v>
      </c>
    </row>
    <row r="28" spans="9:10" ht="15">
      <c r="I28" s="400" t="s">
        <v>105</v>
      </c>
      <c r="J28" s="390" t="s">
        <v>106</v>
      </c>
    </row>
    <row r="29" spans="9:10" ht="15">
      <c r="I29" s="400" t="s">
        <v>107</v>
      </c>
      <c r="J29" s="390" t="s">
        <v>108</v>
      </c>
    </row>
    <row r="30" spans="9:10" ht="15">
      <c r="I30" s="400" t="s">
        <v>109</v>
      </c>
      <c r="J30" s="390" t="s">
        <v>110</v>
      </c>
    </row>
    <row r="31" ht="15">
      <c r="J31" s="390" t="s">
        <v>111</v>
      </c>
    </row>
    <row r="32" ht="15">
      <c r="J32" s="390" t="s">
        <v>112</v>
      </c>
    </row>
    <row r="33" ht="15">
      <c r="J33" s="390" t="s">
        <v>113</v>
      </c>
    </row>
    <row r="34" ht="15">
      <c r="J34" s="390" t="s">
        <v>114</v>
      </c>
    </row>
    <row r="35" ht="15">
      <c r="J35" s="390" t="s">
        <v>115</v>
      </c>
    </row>
    <row r="36" ht="15">
      <c r="J36" s="390" t="s">
        <v>116</v>
      </c>
    </row>
    <row r="37" ht="15">
      <c r="J37" s="390" t="s">
        <v>117</v>
      </c>
    </row>
    <row r="38" ht="15">
      <c r="J38" s="390" t="s">
        <v>118</v>
      </c>
    </row>
    <row r="39" ht="15">
      <c r="J39" s="390" t="s">
        <v>119</v>
      </c>
    </row>
    <row r="40" ht="15">
      <c r="J40" s="390" t="s">
        <v>120</v>
      </c>
    </row>
    <row r="41" ht="15">
      <c r="J41" s="390" t="s">
        <v>121</v>
      </c>
    </row>
    <row r="42" ht="15">
      <c r="J42" s="390" t="s">
        <v>122</v>
      </c>
    </row>
    <row r="43" ht="15">
      <c r="J43" s="390" t="s">
        <v>123</v>
      </c>
    </row>
    <row r="44" ht="15">
      <c r="J44" s="390" t="s">
        <v>124</v>
      </c>
    </row>
    <row r="45" ht="15">
      <c r="J45" s="390" t="s">
        <v>125</v>
      </c>
    </row>
    <row r="46" ht="15">
      <c r="J46" s="390" t="s">
        <v>126</v>
      </c>
    </row>
    <row r="47" ht="15">
      <c r="J47" s="390" t="s">
        <v>127</v>
      </c>
    </row>
    <row r="48" ht="15">
      <c r="J48" s="390" t="s">
        <v>128</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11.xml><?xml version="1.0" encoding="utf-8"?>
<worksheet xmlns="http://schemas.openxmlformats.org/spreadsheetml/2006/main" xmlns:r="http://schemas.openxmlformats.org/officeDocument/2006/relationships">
  <dimension ref="B3:M32"/>
  <sheetViews>
    <sheetView zoomScalePageLayoutView="0" workbookViewId="0" topLeftCell="A7">
      <selection activeCell="K34" sqref="K34"/>
    </sheetView>
  </sheetViews>
  <sheetFormatPr defaultColWidth="11.57421875" defaultRowHeight="15"/>
  <cols>
    <col min="1" max="1" width="11.57421875" style="0" customWidth="1"/>
    <col min="2" max="2" width="22.421875" style="0" customWidth="1"/>
    <col min="3" max="4" width="12.57421875" style="0" customWidth="1"/>
    <col min="5" max="5" width="14.421875" style="0" customWidth="1"/>
    <col min="6" max="6" width="20.57421875" style="0" customWidth="1"/>
    <col min="7" max="10" width="11.57421875" style="0" customWidth="1"/>
    <col min="11" max="11" width="15.28125" style="0" customWidth="1"/>
    <col min="12" max="12" width="11.57421875" style="0" customWidth="1"/>
    <col min="13" max="13" width="23.421875" style="0" customWidth="1"/>
  </cols>
  <sheetData>
    <row r="3" ht="15">
      <c r="B3" t="s">
        <v>333</v>
      </c>
    </row>
    <row r="5" spans="2:6" ht="30">
      <c r="B5" s="432" t="s">
        <v>334</v>
      </c>
      <c r="C5" s="433" t="s">
        <v>336</v>
      </c>
      <c r="D5" s="433" t="s">
        <v>337</v>
      </c>
      <c r="E5" s="433" t="s">
        <v>338</v>
      </c>
      <c r="F5" s="434" t="s">
        <v>341</v>
      </c>
    </row>
    <row r="6" spans="2:6" ht="15">
      <c r="B6" s="432" t="s">
        <v>335</v>
      </c>
      <c r="C6" s="432">
        <v>120</v>
      </c>
      <c r="D6" s="432">
        <v>576</v>
      </c>
      <c r="E6" s="432">
        <v>144</v>
      </c>
      <c r="F6" s="432">
        <f>SUM(C6:E6)</f>
        <v>840</v>
      </c>
    </row>
    <row r="7" spans="2:6" ht="15">
      <c r="B7" s="432" t="s">
        <v>323</v>
      </c>
      <c r="C7" s="432"/>
      <c r="D7" s="432">
        <v>18</v>
      </c>
      <c r="E7" s="432"/>
      <c r="F7" s="432">
        <f>SUM(D7:E7)</f>
        <v>18</v>
      </c>
    </row>
    <row r="10" spans="2:6" ht="46.5" customHeight="1">
      <c r="B10" s="433" t="s">
        <v>339</v>
      </c>
      <c r="C10" s="433" t="s">
        <v>336</v>
      </c>
      <c r="D10" s="433" t="s">
        <v>337</v>
      </c>
      <c r="E10" s="433" t="s">
        <v>338</v>
      </c>
      <c r="F10" s="434" t="s">
        <v>340</v>
      </c>
    </row>
    <row r="11" spans="2:6" ht="15">
      <c r="B11" s="432" t="s">
        <v>335</v>
      </c>
      <c r="C11" s="432">
        <f>120/2</f>
        <v>60</v>
      </c>
      <c r="D11" s="432">
        <f>576/2</f>
        <v>288</v>
      </c>
      <c r="E11" s="432">
        <f>144/2</f>
        <v>72</v>
      </c>
      <c r="F11" s="432">
        <f>SUM(C11:E11)</f>
        <v>420</v>
      </c>
    </row>
    <row r="12" spans="2:6" ht="15">
      <c r="B12" s="432" t="s">
        <v>323</v>
      </c>
      <c r="C12" s="432"/>
      <c r="D12" s="432">
        <f>18/2</f>
        <v>9</v>
      </c>
      <c r="E12" s="432"/>
      <c r="F12" s="432">
        <f>SUM(D12:E12)</f>
        <v>9</v>
      </c>
    </row>
    <row r="15" ht="15">
      <c r="B15" t="s">
        <v>380</v>
      </c>
    </row>
    <row r="16" ht="15.75" thickBot="1"/>
    <row r="17" spans="2:13" ht="165.75" thickBot="1">
      <c r="B17" s="447" t="s">
        <v>267</v>
      </c>
      <c r="C17" s="448" t="s">
        <v>379</v>
      </c>
      <c r="D17" s="448" t="s">
        <v>382</v>
      </c>
      <c r="E17" s="449" t="s">
        <v>377</v>
      </c>
      <c r="F17" s="449" t="s">
        <v>381</v>
      </c>
      <c r="G17" s="474" t="s">
        <v>342</v>
      </c>
      <c r="H17" s="449" t="s">
        <v>343</v>
      </c>
      <c r="I17" s="474" t="s">
        <v>344</v>
      </c>
      <c r="J17" s="475" t="s">
        <v>268</v>
      </c>
      <c r="K17" s="498" t="s">
        <v>389</v>
      </c>
      <c r="L17" s="802"/>
      <c r="M17" s="803"/>
    </row>
    <row r="18" spans="2:13" ht="30">
      <c r="B18" s="442" t="s">
        <v>350</v>
      </c>
      <c r="C18" s="440">
        <v>60</v>
      </c>
      <c r="D18" s="440">
        <v>120</v>
      </c>
      <c r="E18" s="483">
        <v>2861</v>
      </c>
      <c r="F18" s="488">
        <v>761828</v>
      </c>
      <c r="G18" s="797">
        <v>7295127</v>
      </c>
      <c r="H18" s="564">
        <f>IF(AND((F18+F19+F20)&gt;0,G18&gt;0),G18/(F18+F19+F20),"")*6</f>
        <v>10.645621763289952</v>
      </c>
      <c r="I18" s="617">
        <v>5</v>
      </c>
      <c r="J18" s="794">
        <f>IF(AND(H18&gt;0,I18&gt;0),H18-I18,"")</f>
        <v>5.645621763289952</v>
      </c>
      <c r="K18" s="499">
        <f>F18/E18</f>
        <v>266.280321565886</v>
      </c>
      <c r="L18" s="633" t="s">
        <v>393</v>
      </c>
      <c r="M18" s="633"/>
    </row>
    <row r="19" spans="2:13" ht="30">
      <c r="B19" s="442" t="s">
        <v>351</v>
      </c>
      <c r="C19" s="440">
        <v>288</v>
      </c>
      <c r="D19" s="440">
        <v>576</v>
      </c>
      <c r="E19" s="483">
        <v>2771</v>
      </c>
      <c r="F19" s="488">
        <v>3216887</v>
      </c>
      <c r="G19" s="798"/>
      <c r="H19" s="565" t="e">
        <f>IF(AND(F19&gt;0,G19&gt;0),G19/F19,"")*12</f>
        <v>#VALUE!</v>
      </c>
      <c r="I19" s="559"/>
      <c r="J19" s="795"/>
      <c r="K19" s="500">
        <f>F19/E19</f>
        <v>1160.9119451461565</v>
      </c>
      <c r="L19" s="633"/>
      <c r="M19" s="633"/>
    </row>
    <row r="20" spans="2:13" ht="30">
      <c r="B20" s="442" t="s">
        <v>352</v>
      </c>
      <c r="C20" s="440">
        <v>72</v>
      </c>
      <c r="D20" s="440">
        <v>144</v>
      </c>
      <c r="E20" s="483">
        <v>414</v>
      </c>
      <c r="F20" s="488">
        <v>132906</v>
      </c>
      <c r="G20" s="799"/>
      <c r="H20" s="616" t="e">
        <f>IF(AND(F20&gt;0,G20&gt;0),G20/F20,"")*12</f>
        <v>#VALUE!</v>
      </c>
      <c r="I20" s="618"/>
      <c r="J20" s="800"/>
      <c r="K20" s="500">
        <f>F20/E20</f>
        <v>321.0289855072464</v>
      </c>
      <c r="L20" s="633"/>
      <c r="M20" s="633"/>
    </row>
    <row r="21" spans="2:13" ht="30">
      <c r="B21" s="442" t="s">
        <v>332</v>
      </c>
      <c r="C21" s="486">
        <v>9</v>
      </c>
      <c r="D21" s="440">
        <v>18</v>
      </c>
      <c r="E21" s="483">
        <v>2771</v>
      </c>
      <c r="F21" s="488">
        <v>96069</v>
      </c>
      <c r="G21" s="487">
        <v>185039</v>
      </c>
      <c r="H21" s="472">
        <f>IF(AND(F21&gt;0,G21&gt;0),G21/F21,"")*6</f>
        <v>11.556631171345595</v>
      </c>
      <c r="I21" s="405">
        <v>5</v>
      </c>
      <c r="J21" s="497">
        <f>IF(AND(H21&gt;0,I21&gt;0),H21-I21,"")</f>
        <v>6.556631171345595</v>
      </c>
      <c r="K21" s="500">
        <f>F21/E21</f>
        <v>34.6694334175388</v>
      </c>
      <c r="L21" s="141"/>
      <c r="M21" s="49"/>
    </row>
    <row r="22" spans="2:13" ht="15">
      <c r="B22" s="442" t="s">
        <v>353</v>
      </c>
      <c r="C22" s="440"/>
      <c r="D22" s="440">
        <v>1</v>
      </c>
      <c r="E22" s="484">
        <v>5466</v>
      </c>
      <c r="F22" s="406">
        <f>IF(AND(D22&gt;0,E22&gt;0),(E22*D22),"")</f>
        <v>5466</v>
      </c>
      <c r="G22" s="487">
        <v>1134</v>
      </c>
      <c r="H22" s="472">
        <f>IF(AND(F22&gt;0,G22&gt;0),G22/F22,"")*12</f>
        <v>2.4895718990120748</v>
      </c>
      <c r="I22" s="477">
        <v>5</v>
      </c>
      <c r="J22" s="497">
        <f>IF(AND(H22&gt;0,I22&gt;0),H22-I22,"")</f>
        <v>-2.5104281009879252</v>
      </c>
      <c r="K22" s="500"/>
      <c r="L22" s="141" t="s">
        <v>378</v>
      </c>
      <c r="M22" s="49"/>
    </row>
    <row r="23" spans="2:11" ht="15">
      <c r="B23" s="443" t="s">
        <v>345</v>
      </c>
      <c r="C23" s="440">
        <v>4</v>
      </c>
      <c r="D23" s="440">
        <v>9</v>
      </c>
      <c r="E23" s="483">
        <v>2771</v>
      </c>
      <c r="F23" s="488">
        <v>36477</v>
      </c>
      <c r="G23" s="482">
        <v>137000</v>
      </c>
      <c r="H23" s="472">
        <f>IF(AND(F23&gt;0,G23&gt;0),G23/F23,"")*6</f>
        <v>22.53474792334896</v>
      </c>
      <c r="I23" s="405">
        <v>5</v>
      </c>
      <c r="J23" s="497">
        <f>IF(AND(H23&gt;0,I23&gt;0),H23-I23,"")</f>
        <v>17.53474792334896</v>
      </c>
      <c r="K23" s="500">
        <f aca="true" t="shared" si="0" ref="K23:K29">F23/E23</f>
        <v>13.163839769036448</v>
      </c>
    </row>
    <row r="24" spans="2:11" ht="30">
      <c r="B24" s="444" t="s">
        <v>354</v>
      </c>
      <c r="C24" s="440">
        <v>2</v>
      </c>
      <c r="D24" s="440">
        <v>5</v>
      </c>
      <c r="E24" s="483">
        <v>2861</v>
      </c>
      <c r="F24" s="488">
        <v>32540</v>
      </c>
      <c r="G24" s="789">
        <v>172881</v>
      </c>
      <c r="H24" s="564">
        <f>IF(AND((F24+F25+F26)&gt;0,G24&gt;0),G24/(F24+F25+F26),"")*6</f>
        <v>19.290089822029643</v>
      </c>
      <c r="I24" s="558">
        <v>5</v>
      </c>
      <c r="J24" s="794">
        <f>IF(AND(H24&gt;0,I24&gt;0),H24-I24,"")</f>
        <v>14.290089822029643</v>
      </c>
      <c r="K24" s="500">
        <f t="shared" si="0"/>
        <v>11.373645578469066</v>
      </c>
    </row>
    <row r="25" spans="2:11" ht="15">
      <c r="B25" s="444" t="s">
        <v>355</v>
      </c>
      <c r="C25" s="440">
        <v>2</v>
      </c>
      <c r="D25" s="441">
        <v>4</v>
      </c>
      <c r="E25" s="483">
        <v>2771</v>
      </c>
      <c r="F25" s="488">
        <v>15641</v>
      </c>
      <c r="G25" s="790"/>
      <c r="H25" s="565" t="e">
        <f>IF(AND(F25&gt;0,G25&gt;0),G25/F25,"")*12</f>
        <v>#VALUE!</v>
      </c>
      <c r="I25" s="559"/>
      <c r="J25" s="795"/>
      <c r="K25" s="500">
        <f t="shared" si="0"/>
        <v>5.644532659689642</v>
      </c>
    </row>
    <row r="26" spans="2:11" ht="30">
      <c r="B26" s="444" t="s">
        <v>356</v>
      </c>
      <c r="C26" s="440">
        <v>3</v>
      </c>
      <c r="D26" s="441">
        <v>6</v>
      </c>
      <c r="E26" s="483">
        <v>414</v>
      </c>
      <c r="F26" s="488">
        <v>5592</v>
      </c>
      <c r="G26" s="801"/>
      <c r="H26" s="616" t="e">
        <f>IF(AND(F26&gt;0,G26&gt;0),G26/F26,"")*12</f>
        <v>#VALUE!</v>
      </c>
      <c r="I26" s="618"/>
      <c r="J26" s="800"/>
      <c r="K26" s="500">
        <f t="shared" si="0"/>
        <v>13.507246376811594</v>
      </c>
    </row>
    <row r="27" spans="2:11" ht="30">
      <c r="B27" s="445" t="s">
        <v>357</v>
      </c>
      <c r="C27" s="440">
        <v>4</v>
      </c>
      <c r="D27" s="441">
        <v>8</v>
      </c>
      <c r="E27" s="483">
        <v>2861</v>
      </c>
      <c r="F27" s="488">
        <v>51696</v>
      </c>
      <c r="G27" s="789">
        <v>270856</v>
      </c>
      <c r="H27" s="564">
        <f>IF(AND((F27+F28+F29)&gt;0,G27&gt;0),G27/(F27+F28+F29),"")*6</f>
        <v>14.762422106353213</v>
      </c>
      <c r="I27" s="558">
        <v>5</v>
      </c>
      <c r="J27" s="794">
        <f>IF(AND(H27&gt;0,I27&gt;0),H27-I27,"")</f>
        <v>9.762422106353213</v>
      </c>
      <c r="K27" s="500">
        <f t="shared" si="0"/>
        <v>18.069206571128976</v>
      </c>
    </row>
    <row r="28" spans="2:11" ht="30">
      <c r="B28" s="445" t="s">
        <v>358</v>
      </c>
      <c r="C28" s="440">
        <v>4</v>
      </c>
      <c r="D28" s="441">
        <v>9</v>
      </c>
      <c r="E28" s="483">
        <v>2771</v>
      </c>
      <c r="F28" s="488">
        <v>50086</v>
      </c>
      <c r="G28" s="790"/>
      <c r="H28" s="565" t="e">
        <f>IF(AND(F28&gt;0,G28&gt;0),G28/F28,"")*12</f>
        <v>#VALUE!</v>
      </c>
      <c r="I28" s="559"/>
      <c r="J28" s="795"/>
      <c r="K28" s="500">
        <f t="shared" si="0"/>
        <v>18.075063154095993</v>
      </c>
    </row>
    <row r="29" spans="2:11" ht="30.75" thickBot="1">
      <c r="B29" s="451" t="s">
        <v>359</v>
      </c>
      <c r="C29" s="452">
        <v>4</v>
      </c>
      <c r="D29" s="452">
        <v>9</v>
      </c>
      <c r="E29" s="483">
        <v>414</v>
      </c>
      <c r="F29" s="488">
        <v>8304</v>
      </c>
      <c r="G29" s="791"/>
      <c r="H29" s="792" t="e">
        <f>IF(AND(F29&gt;0,G29&gt;0),G29/F29,"")*12</f>
        <v>#VALUE!</v>
      </c>
      <c r="I29" s="793"/>
      <c r="J29" s="796"/>
      <c r="K29" s="501">
        <f t="shared" si="0"/>
        <v>20.057971014492754</v>
      </c>
    </row>
    <row r="32" spans="2:9" ht="63" customHeight="1">
      <c r="B32" s="788" t="s">
        <v>376</v>
      </c>
      <c r="C32" s="788"/>
      <c r="D32" s="788"/>
      <c r="E32" s="788"/>
      <c r="F32" s="788"/>
      <c r="G32" s="788"/>
      <c r="H32" s="788"/>
      <c r="I32" s="788"/>
    </row>
  </sheetData>
  <sheetProtection/>
  <mergeCells count="15">
    <mergeCell ref="H24:H26"/>
    <mergeCell ref="I24:I26"/>
    <mergeCell ref="J24:J26"/>
    <mergeCell ref="L17:M17"/>
    <mergeCell ref="L18:M20"/>
    <mergeCell ref="B32:I32"/>
    <mergeCell ref="G27:G29"/>
    <mergeCell ref="H27:H29"/>
    <mergeCell ref="I27:I29"/>
    <mergeCell ref="J27:J29"/>
    <mergeCell ref="G18:G20"/>
    <mergeCell ref="H18:H20"/>
    <mergeCell ref="I18:I20"/>
    <mergeCell ref="J18:J20"/>
    <mergeCell ref="G24:G26"/>
  </mergeCells>
  <dataValidations count="1">
    <dataValidation type="list" allowBlank="1" showErrorMessage="1" sqref="B18:B29">
      <formula1>Medicaments</formula1>
      <formula2>0</formula2>
    </dataValidation>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57" zoomScaleNormal="57" zoomScalePageLayoutView="0" workbookViewId="0" topLeftCell="A1">
      <pane ySplit="2" topLeftCell="A26" activePane="bottomLeft" state="frozen"/>
      <selection pane="topLeft" activeCell="B1" sqref="B1"/>
      <selection pane="bottomLeft" activeCell="M36" sqref="M36"/>
    </sheetView>
  </sheetViews>
  <sheetFormatPr defaultColWidth="11.42187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5" customWidth="1"/>
    <col min="15" max="15" width="3.00390625" style="5"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0"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 min="39" max="16384" width="9.140625" style="0" customWidth="1"/>
  </cols>
  <sheetData>
    <row r="1" spans="1:13" ht="34.5" customHeight="1">
      <c r="A1" s="6"/>
      <c r="B1" s="6"/>
      <c r="C1" s="6"/>
      <c r="D1" s="6"/>
      <c r="E1" s="6"/>
      <c r="F1" s="6"/>
      <c r="G1" s="6"/>
      <c r="H1" s="6"/>
      <c r="I1" s="6"/>
      <c r="J1" s="6"/>
      <c r="K1" s="6"/>
      <c r="L1" s="6"/>
      <c r="M1" s="6"/>
    </row>
    <row r="2" spans="1:13" ht="36" customHeight="1">
      <c r="A2" s="6"/>
      <c r="B2" s="536" t="str">
        <f>+"Cuadro de mando:  "&amp;"  "&amp;+'Introducción de datos'!C4&amp;" - "&amp;'Introducción de datos'!G6</f>
        <v>Cuadro de mando:    El Salvador - VIH / SIDA</v>
      </c>
      <c r="C2" s="536"/>
      <c r="D2" s="536"/>
      <c r="E2" s="536"/>
      <c r="F2" s="536"/>
      <c r="G2" s="536"/>
      <c r="H2" s="536"/>
      <c r="I2" s="536"/>
      <c r="J2" s="536"/>
      <c r="K2" s="536"/>
      <c r="L2" s="536"/>
      <c r="M2" s="536"/>
    </row>
    <row r="3" spans="1:13" ht="15.75" customHeight="1">
      <c r="A3" s="6"/>
      <c r="B3" s="7"/>
      <c r="C3" s="7"/>
      <c r="D3" s="7"/>
      <c r="E3" s="7"/>
      <c r="F3" s="7"/>
      <c r="G3" s="7"/>
      <c r="H3" s="7"/>
      <c r="I3" s="7"/>
      <c r="J3" s="7"/>
      <c r="K3" s="8"/>
      <c r="L3" s="8"/>
      <c r="M3" s="6"/>
    </row>
    <row r="5" spans="2:15" ht="23.25">
      <c r="B5" s="514" t="s">
        <v>129</v>
      </c>
      <c r="C5" s="514"/>
      <c r="D5" s="514"/>
      <c r="E5" s="514"/>
      <c r="F5" s="514"/>
      <c r="G5" s="514"/>
      <c r="H5" s="514"/>
      <c r="I5" s="514"/>
      <c r="J5" s="514"/>
      <c r="K5" s="514"/>
      <c r="L5" s="514"/>
      <c r="M5" s="514"/>
      <c r="N5" s="514"/>
      <c r="O5" s="514"/>
    </row>
    <row r="7" spans="2:15" ht="21">
      <c r="B7" s="537" t="s">
        <v>130</v>
      </c>
      <c r="C7" s="537"/>
      <c r="D7" s="537"/>
      <c r="E7" s="537" t="s">
        <v>131</v>
      </c>
      <c r="F7" s="537"/>
      <c r="G7" s="537"/>
      <c r="H7" s="537"/>
      <c r="I7" s="537"/>
      <c r="J7" s="537" t="s">
        <v>132</v>
      </c>
      <c r="K7" s="537"/>
      <c r="L7" s="537"/>
      <c r="M7" s="537" t="s">
        <v>133</v>
      </c>
      <c r="N7" s="537"/>
      <c r="O7" s="537"/>
    </row>
    <row r="8" spans="2:15" ht="92.25" customHeight="1">
      <c r="B8" s="517" t="str">
        <f>+'Introducción de datos'!B27</f>
        <v>F1: Presupuesto y desembolsos del Fondo Mundial</v>
      </c>
      <c r="C8" s="517"/>
      <c r="D8" s="517"/>
      <c r="E8" s="534" t="s">
        <v>134</v>
      </c>
      <c r="F8" s="534"/>
      <c r="G8" s="534"/>
      <c r="H8" s="534"/>
      <c r="I8" s="534"/>
      <c r="J8" s="535" t="s">
        <v>135</v>
      </c>
      <c r="K8" s="535"/>
      <c r="L8" s="535"/>
      <c r="M8" s="535" t="s">
        <v>136</v>
      </c>
      <c r="N8" s="535"/>
      <c r="O8" s="535"/>
    </row>
    <row r="9" spans="2:15" ht="117.75" customHeight="1">
      <c r="B9" s="517" t="str">
        <f>+'Introducción de datos'!B36</f>
        <v>F2: Presupuesto y gastos reales por objetivo de la subvención</v>
      </c>
      <c r="C9" s="517"/>
      <c r="D9" s="517"/>
      <c r="E9" s="528" t="s">
        <v>137</v>
      </c>
      <c r="F9" s="528"/>
      <c r="G9" s="528"/>
      <c r="H9" s="528"/>
      <c r="I9" s="528"/>
      <c r="J9" s="523" t="s">
        <v>138</v>
      </c>
      <c r="K9" s="523"/>
      <c r="L9" s="523"/>
      <c r="M9" s="523" t="s">
        <v>136</v>
      </c>
      <c r="N9" s="523"/>
      <c r="O9" s="523"/>
    </row>
    <row r="10" spans="2:15" ht="233.25" customHeight="1">
      <c r="B10" s="521" t="str">
        <f>+'Introducción de datos'!B49</f>
        <v>F3: Desembolsos y gastos</v>
      </c>
      <c r="C10" s="521"/>
      <c r="D10" s="521"/>
      <c r="E10" s="528" t="s">
        <v>139</v>
      </c>
      <c r="F10" s="528"/>
      <c r="G10" s="528"/>
      <c r="H10" s="528"/>
      <c r="I10" s="528"/>
      <c r="J10" s="526" t="s">
        <v>140</v>
      </c>
      <c r="K10" s="526"/>
      <c r="L10" s="526"/>
      <c r="M10" s="523" t="s">
        <v>141</v>
      </c>
      <c r="N10" s="523"/>
      <c r="O10" s="523"/>
    </row>
    <row r="11" spans="2:60" ht="279.75" customHeight="1">
      <c r="B11" s="521" t="str">
        <f>+'Introducción de datos'!B60</f>
        <v>F4: Último ciclo de información y desembolso del RP</v>
      </c>
      <c r="C11" s="521"/>
      <c r="D11" s="521"/>
      <c r="E11" s="528" t="s">
        <v>142</v>
      </c>
      <c r="F11" s="528"/>
      <c r="G11" s="528"/>
      <c r="H11" s="528"/>
      <c r="I11" s="528"/>
      <c r="J11" s="526" t="s">
        <v>143</v>
      </c>
      <c r="K11" s="526"/>
      <c r="L11" s="526"/>
      <c r="M11" s="523" t="s">
        <v>144</v>
      </c>
      <c r="N11" s="523"/>
      <c r="O11" s="523"/>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532"/>
      <c r="C12" s="532"/>
      <c r="D12" s="532"/>
      <c r="E12" s="533"/>
      <c r="F12" s="533"/>
      <c r="G12" s="533"/>
      <c r="H12" s="533"/>
      <c r="I12" s="533"/>
      <c r="J12" s="533"/>
      <c r="K12" s="533"/>
      <c r="L12" s="533"/>
      <c r="M12" s="533"/>
      <c r="N12" s="533"/>
      <c r="O12" s="533"/>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530"/>
      <c r="C13" s="530"/>
      <c r="D13" s="530"/>
      <c r="E13" s="531"/>
      <c r="F13" s="531"/>
      <c r="G13" s="531"/>
      <c r="H13" s="531"/>
      <c r="I13" s="531"/>
      <c r="J13" s="531"/>
      <c r="K13" s="531"/>
      <c r="L13" s="531"/>
      <c r="M13" s="531"/>
      <c r="N13" s="531"/>
      <c r="O13" s="53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530"/>
      <c r="C14" s="530"/>
      <c r="D14" s="530"/>
      <c r="E14" s="531"/>
      <c r="F14" s="531"/>
      <c r="G14" s="531"/>
      <c r="H14" s="531"/>
      <c r="I14" s="531"/>
      <c r="J14" s="531"/>
      <c r="K14" s="531"/>
      <c r="L14" s="531"/>
      <c r="M14" s="531"/>
      <c r="N14" s="531"/>
      <c r="O14" s="53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530"/>
      <c r="C15" s="530"/>
      <c r="D15" s="530"/>
      <c r="E15" s="531"/>
      <c r="F15" s="531"/>
      <c r="G15" s="531"/>
      <c r="H15" s="531"/>
      <c r="I15" s="531"/>
      <c r="J15" s="531"/>
      <c r="K15" s="531"/>
      <c r="L15" s="531"/>
      <c r="M15" s="531"/>
      <c r="N15" s="531"/>
      <c r="O15" s="53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514" t="s">
        <v>145</v>
      </c>
      <c r="C16" s="514"/>
      <c r="D16" s="514"/>
      <c r="E16" s="514"/>
      <c r="F16" s="514"/>
      <c r="G16" s="514"/>
      <c r="H16" s="514"/>
      <c r="I16" s="514"/>
      <c r="J16" s="514"/>
      <c r="K16" s="514"/>
      <c r="L16" s="514"/>
      <c r="M16" s="514"/>
      <c r="N16" s="514"/>
      <c r="O16" s="514"/>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29" t="s">
        <v>130</v>
      </c>
      <c r="C18" s="529"/>
      <c r="D18" s="529"/>
      <c r="E18" s="529" t="s">
        <v>131</v>
      </c>
      <c r="F18" s="529"/>
      <c r="G18" s="529"/>
      <c r="H18" s="529"/>
      <c r="I18" s="529"/>
      <c r="J18" s="529" t="s">
        <v>132</v>
      </c>
      <c r="K18" s="529"/>
      <c r="L18" s="529"/>
      <c r="M18" s="529" t="s">
        <v>146</v>
      </c>
      <c r="N18" s="529"/>
      <c r="O18" s="52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517" t="str">
        <f>+'Introducción de datos'!B71</f>
        <v>M1: Estado de las condiciones precedentes y acciones con fecha límite</v>
      </c>
      <c r="C19" s="517"/>
      <c r="D19" s="517"/>
      <c r="E19" s="528" t="s">
        <v>147</v>
      </c>
      <c r="F19" s="528"/>
      <c r="G19" s="528"/>
      <c r="H19" s="528"/>
      <c r="I19" s="528"/>
      <c r="J19" s="523" t="s">
        <v>148</v>
      </c>
      <c r="K19" s="523"/>
      <c r="L19" s="523"/>
      <c r="M19" s="523" t="s">
        <v>149</v>
      </c>
      <c r="N19" s="523"/>
      <c r="O19" s="523"/>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517" t="str">
        <f>+'Introducción de datos'!B78</f>
        <v>M2: Estado de los principales puestos directivos del RP</v>
      </c>
      <c r="C20" s="517"/>
      <c r="D20" s="517"/>
      <c r="E20" s="528" t="s">
        <v>150</v>
      </c>
      <c r="F20" s="528"/>
      <c r="G20" s="528"/>
      <c r="H20" s="528"/>
      <c r="I20" s="528"/>
      <c r="J20" s="523" t="s">
        <v>151</v>
      </c>
      <c r="K20" s="523"/>
      <c r="L20" s="523"/>
      <c r="M20" s="523" t="s">
        <v>152</v>
      </c>
      <c r="N20" s="523"/>
      <c r="O20" s="523"/>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517" t="str">
        <f>+'Introducción de datos'!B83</f>
        <v>M3: Acuerdos contractuales (subreceptores) </v>
      </c>
      <c r="C21" s="517"/>
      <c r="D21" s="517"/>
      <c r="E21" s="527" t="s">
        <v>153</v>
      </c>
      <c r="F21" s="527"/>
      <c r="G21" s="527"/>
      <c r="H21" s="527"/>
      <c r="I21" s="527"/>
      <c r="J21" s="523" t="s">
        <v>154</v>
      </c>
      <c r="K21" s="523"/>
      <c r="L21" s="523"/>
      <c r="M21" s="523" t="s">
        <v>155</v>
      </c>
      <c r="N21" s="523"/>
      <c r="O21" s="523"/>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517" t="str">
        <f>+'Introducción de datos'!B88</f>
        <v>M4: Número de informes completos recibidos a tiempo</v>
      </c>
      <c r="C22" s="517"/>
      <c r="D22" s="517"/>
      <c r="E22" s="525" t="s">
        <v>156</v>
      </c>
      <c r="F22" s="525"/>
      <c r="G22" s="525"/>
      <c r="H22" s="525"/>
      <c r="I22" s="525"/>
      <c r="J22" s="526" t="s">
        <v>157</v>
      </c>
      <c r="K22" s="526"/>
      <c r="L22" s="526"/>
      <c r="M22" s="523" t="s">
        <v>158</v>
      </c>
      <c r="N22" s="523"/>
      <c r="O22" s="523"/>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521" t="str">
        <f>+'Introducción de datos'!B95</f>
        <v>M5: Presupuesto y compra de productos y equipo sanitario, medicamentos y productos farmacéuticos</v>
      </c>
      <c r="C23" s="521"/>
      <c r="D23" s="521"/>
      <c r="E23" s="522" t="s">
        <v>159</v>
      </c>
      <c r="F23" s="522"/>
      <c r="G23" s="522"/>
      <c r="H23" s="522"/>
      <c r="I23" s="522"/>
      <c r="J23" s="523" t="s">
        <v>160</v>
      </c>
      <c r="K23" s="523"/>
      <c r="L23" s="523"/>
      <c r="M23" s="523" t="s">
        <v>161</v>
      </c>
      <c r="N23" s="523"/>
      <c r="O23" s="523"/>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521"/>
      <c r="C24" s="521"/>
      <c r="D24" s="521"/>
      <c r="E24" s="524" t="s">
        <v>162</v>
      </c>
      <c r="F24" s="524"/>
      <c r="G24" s="524"/>
      <c r="H24" s="524"/>
      <c r="I24" s="524"/>
      <c r="J24" s="523"/>
      <c r="K24" s="523"/>
      <c r="L24" s="523"/>
      <c r="M24" s="523"/>
      <c r="N24" s="523"/>
      <c r="O24" s="523"/>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517" t="str">
        <f>+'Introducción de datos'!B108</f>
        <v>M6: Diferencia entre existencias actuales y existencias de seguridad</v>
      </c>
      <c r="C25" s="517"/>
      <c r="D25" s="517"/>
      <c r="E25" s="518" t="s">
        <v>163</v>
      </c>
      <c r="F25" s="518"/>
      <c r="G25" s="518"/>
      <c r="H25" s="518"/>
      <c r="I25" s="518"/>
      <c r="J25" s="519" t="s">
        <v>164</v>
      </c>
      <c r="K25" s="519"/>
      <c r="L25" s="519"/>
      <c r="M25" s="520" t="s">
        <v>165</v>
      </c>
      <c r="N25" s="520"/>
      <c r="O25" s="520"/>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514" t="s">
        <v>166</v>
      </c>
      <c r="C30" s="514"/>
      <c r="D30" s="514"/>
      <c r="E30" s="514"/>
      <c r="F30" s="514"/>
      <c r="G30" s="514"/>
      <c r="H30" s="514"/>
      <c r="I30" s="514"/>
      <c r="J30" s="514"/>
      <c r="K30" s="514"/>
      <c r="L30" s="514"/>
      <c r="M30" s="514"/>
      <c r="N30" s="514"/>
      <c r="O30" s="514"/>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15" t="s">
        <v>167</v>
      </c>
      <c r="C32" s="515"/>
      <c r="D32" s="515"/>
      <c r="E32" s="516" t="s">
        <v>168</v>
      </c>
      <c r="F32" s="516"/>
      <c r="G32" s="516"/>
      <c r="H32" s="516"/>
      <c r="I32" s="516"/>
      <c r="J32" s="516" t="s">
        <v>132</v>
      </c>
      <c r="K32" s="516"/>
      <c r="L32" s="516"/>
      <c r="M32" s="516" t="s">
        <v>146</v>
      </c>
      <c r="N32" s="516"/>
      <c r="O32" s="516"/>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13"/>
      <c r="C33" s="513"/>
      <c r="D33" s="513"/>
      <c r="E33" s="507"/>
      <c r="F33" s="507"/>
      <c r="G33" s="507"/>
      <c r="H33" s="507"/>
      <c r="I33" s="507"/>
      <c r="J33" s="508"/>
      <c r="K33" s="508"/>
      <c r="L33" s="508"/>
      <c r="M33" s="508"/>
      <c r="N33" s="508"/>
      <c r="O33" s="508"/>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13"/>
      <c r="C34" s="513"/>
      <c r="D34" s="513"/>
      <c r="E34" s="507"/>
      <c r="F34" s="507"/>
      <c r="G34" s="507"/>
      <c r="H34" s="507"/>
      <c r="I34" s="507"/>
      <c r="J34" s="508"/>
      <c r="K34" s="508"/>
      <c r="L34" s="508"/>
      <c r="M34" s="508"/>
      <c r="N34" s="508"/>
      <c r="O34" s="508"/>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13"/>
      <c r="C35" s="513"/>
      <c r="D35" s="513"/>
      <c r="E35" s="508"/>
      <c r="F35" s="508"/>
      <c r="G35" s="508"/>
      <c r="H35" s="508"/>
      <c r="I35" s="508"/>
      <c r="J35" s="508"/>
      <c r="K35" s="508"/>
      <c r="L35" s="508"/>
      <c r="M35" s="508"/>
      <c r="N35" s="508"/>
      <c r="O35" s="508"/>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12"/>
      <c r="C36" s="512"/>
      <c r="D36" s="512"/>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13"/>
      <c r="C37" s="513"/>
      <c r="D37" s="513"/>
      <c r="E37" s="508"/>
      <c r="F37" s="508"/>
      <c r="G37" s="508"/>
      <c r="H37" s="508"/>
      <c r="I37" s="508"/>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13"/>
      <c r="C38" s="513"/>
      <c r="D38" s="513"/>
      <c r="E38" s="507"/>
      <c r="F38" s="507"/>
      <c r="G38" s="507"/>
      <c r="H38" s="507"/>
      <c r="I38" s="507"/>
      <c r="J38" s="508"/>
      <c r="K38" s="508"/>
      <c r="L38" s="508"/>
      <c r="M38" s="508"/>
      <c r="N38" s="508"/>
      <c r="O38" s="508"/>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10"/>
      <c r="C39" s="510"/>
      <c r="D39" s="510"/>
      <c r="E39" s="508"/>
      <c r="F39" s="508"/>
      <c r="G39" s="508"/>
      <c r="H39" s="508"/>
      <c r="I39" s="508"/>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06"/>
      <c r="C40" s="506"/>
      <c r="D40" s="506"/>
      <c r="E40" s="511"/>
      <c r="F40" s="511"/>
      <c r="G40" s="511"/>
      <c r="H40" s="511"/>
      <c r="I40" s="511"/>
      <c r="J40" s="508"/>
      <c r="K40" s="508"/>
      <c r="L40" s="508"/>
      <c r="M40" s="508"/>
      <c r="N40" s="508"/>
      <c r="O40" s="508"/>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10"/>
      <c r="C41" s="510"/>
      <c r="D41" s="510"/>
      <c r="E41" s="507"/>
      <c r="F41" s="507"/>
      <c r="G41" s="507"/>
      <c r="H41" s="507"/>
      <c r="I41" s="507"/>
      <c r="J41" s="508"/>
      <c r="K41" s="508"/>
      <c r="L41" s="508"/>
      <c r="M41" s="508"/>
      <c r="N41" s="508"/>
      <c r="O41" s="508"/>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10"/>
      <c r="C42" s="510"/>
      <c r="D42" s="510"/>
      <c r="E42" s="508"/>
      <c r="F42" s="508"/>
      <c r="G42" s="508"/>
      <c r="H42" s="508"/>
      <c r="I42" s="508"/>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10"/>
      <c r="C43" s="510"/>
      <c r="D43" s="510"/>
      <c r="E43" s="507"/>
      <c r="F43" s="507"/>
      <c r="G43" s="507"/>
      <c r="H43" s="507"/>
      <c r="I43" s="507"/>
      <c r="J43" s="508"/>
      <c r="K43" s="508"/>
      <c r="L43" s="508"/>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06"/>
      <c r="C44" s="506"/>
      <c r="D44" s="506"/>
      <c r="E44" s="507"/>
      <c r="F44" s="507"/>
      <c r="G44" s="507"/>
      <c r="H44" s="507"/>
      <c r="I44" s="507"/>
      <c r="J44" s="508"/>
      <c r="K44" s="508"/>
      <c r="L44" s="508"/>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06"/>
      <c r="C45" s="506"/>
      <c r="D45" s="506"/>
      <c r="E45" s="507"/>
      <c r="F45" s="507"/>
      <c r="G45" s="507"/>
      <c r="H45" s="507"/>
      <c r="I45" s="507"/>
      <c r="J45" s="508"/>
      <c r="K45" s="508"/>
      <c r="L45" s="508"/>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09"/>
      <c r="C46" s="509"/>
      <c r="D46" s="509"/>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04" t="s">
        <v>169</v>
      </c>
      <c r="C48" s="504"/>
      <c r="D48" s="504"/>
      <c r="E48" s="504"/>
      <c r="F48" s="504"/>
      <c r="G48" s="504"/>
      <c r="H48" s="504"/>
      <c r="I48" s="504"/>
      <c r="J48" s="504"/>
      <c r="K48" s="504"/>
      <c r="L48" s="504"/>
      <c r="M48" s="505" t="s">
        <v>170</v>
      </c>
      <c r="N48" s="505"/>
      <c r="O48" s="505"/>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8:D8"/>
    <mergeCell ref="E8:I8"/>
    <mergeCell ref="J8:L8"/>
    <mergeCell ref="M8:O8"/>
    <mergeCell ref="B2:M2"/>
    <mergeCell ref="B5:O5"/>
    <mergeCell ref="B7:D7"/>
    <mergeCell ref="E7:I7"/>
    <mergeCell ref="J7:L7"/>
    <mergeCell ref="M7:O7"/>
    <mergeCell ref="B10:D10"/>
    <mergeCell ref="E10:I10"/>
    <mergeCell ref="J10:L10"/>
    <mergeCell ref="M10:O10"/>
    <mergeCell ref="B9:D9"/>
    <mergeCell ref="E9:I9"/>
    <mergeCell ref="J9:L9"/>
    <mergeCell ref="M9:O9"/>
    <mergeCell ref="B12:D12"/>
    <mergeCell ref="E12:I12"/>
    <mergeCell ref="J12:L12"/>
    <mergeCell ref="M12:O12"/>
    <mergeCell ref="B11:D11"/>
    <mergeCell ref="E11:I11"/>
    <mergeCell ref="J11:L11"/>
    <mergeCell ref="M11:O11"/>
    <mergeCell ref="B14:D14"/>
    <mergeCell ref="E14:I14"/>
    <mergeCell ref="J14:L14"/>
    <mergeCell ref="M14:O14"/>
    <mergeCell ref="B13:D13"/>
    <mergeCell ref="E13:I13"/>
    <mergeCell ref="J13:L13"/>
    <mergeCell ref="M13:O13"/>
    <mergeCell ref="B16:O16"/>
    <mergeCell ref="B18:D18"/>
    <mergeCell ref="E18:I18"/>
    <mergeCell ref="J18:L18"/>
    <mergeCell ref="M18:O18"/>
    <mergeCell ref="B15:D15"/>
    <mergeCell ref="E15:I15"/>
    <mergeCell ref="J15:L15"/>
    <mergeCell ref="M15:O15"/>
    <mergeCell ref="B20:D20"/>
    <mergeCell ref="E20:I20"/>
    <mergeCell ref="J20:L20"/>
    <mergeCell ref="M20:O20"/>
    <mergeCell ref="B19:D19"/>
    <mergeCell ref="E19:I19"/>
    <mergeCell ref="J19:L19"/>
    <mergeCell ref="M19:O19"/>
    <mergeCell ref="B22:D22"/>
    <mergeCell ref="E22:I22"/>
    <mergeCell ref="J22:L22"/>
    <mergeCell ref="M22:O22"/>
    <mergeCell ref="B21:D21"/>
    <mergeCell ref="E21:I21"/>
    <mergeCell ref="J21:L21"/>
    <mergeCell ref="M21:O21"/>
    <mergeCell ref="B25:D25"/>
    <mergeCell ref="E25:I25"/>
    <mergeCell ref="J25:L25"/>
    <mergeCell ref="M25:O25"/>
    <mergeCell ref="B23:D24"/>
    <mergeCell ref="E23:I23"/>
    <mergeCell ref="J23:L24"/>
    <mergeCell ref="M23:O24"/>
    <mergeCell ref="E24:I24"/>
    <mergeCell ref="B33:D33"/>
    <mergeCell ref="E33:I33"/>
    <mergeCell ref="J33:L33"/>
    <mergeCell ref="M33:O33"/>
    <mergeCell ref="B30:O30"/>
    <mergeCell ref="B32:D32"/>
    <mergeCell ref="E32:I32"/>
    <mergeCell ref="J32:L32"/>
    <mergeCell ref="M32:O32"/>
    <mergeCell ref="B35:D35"/>
    <mergeCell ref="E35:I35"/>
    <mergeCell ref="J35:L35"/>
    <mergeCell ref="M35:O35"/>
    <mergeCell ref="B34:D34"/>
    <mergeCell ref="E34:I34"/>
    <mergeCell ref="J34:L34"/>
    <mergeCell ref="M34:O34"/>
    <mergeCell ref="J38:L38"/>
    <mergeCell ref="M38:O38"/>
    <mergeCell ref="B39:D39"/>
    <mergeCell ref="E39:I39"/>
    <mergeCell ref="B36:D36"/>
    <mergeCell ref="B37:D37"/>
    <mergeCell ref="E37:I37"/>
    <mergeCell ref="B38:D38"/>
    <mergeCell ref="E38:I38"/>
    <mergeCell ref="B41:D41"/>
    <mergeCell ref="E41:I41"/>
    <mergeCell ref="J41:L41"/>
    <mergeCell ref="M41:O41"/>
    <mergeCell ref="B40:D40"/>
    <mergeCell ref="E40:I40"/>
    <mergeCell ref="J40:L40"/>
    <mergeCell ref="M40:O40"/>
    <mergeCell ref="J43:L43"/>
    <mergeCell ref="B44:D44"/>
    <mergeCell ref="E44:I44"/>
    <mergeCell ref="J44:L44"/>
    <mergeCell ref="B42:D42"/>
    <mergeCell ref="E42:I42"/>
    <mergeCell ref="B43:D43"/>
    <mergeCell ref="E43:I43"/>
    <mergeCell ref="B48:L48"/>
    <mergeCell ref="M48:O48"/>
    <mergeCell ref="B45:D45"/>
    <mergeCell ref="E45:I45"/>
    <mergeCell ref="J45:L45"/>
    <mergeCell ref="B46:D46"/>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70" zoomScaleNormal="70" zoomScaleSheetLayoutView="100" zoomScalePageLayoutView="0" workbookViewId="0" topLeftCell="A7">
      <selection activeCell="B11" sqref="B11"/>
    </sheetView>
  </sheetViews>
  <sheetFormatPr defaultColWidth="11.421875" defaultRowHeight="15"/>
  <cols>
    <col min="1" max="1" width="21.140625" style="6" customWidth="1"/>
    <col min="2" max="2" width="12.57421875" style="6" customWidth="1"/>
    <col min="3" max="3" width="20.57421875" style="6" customWidth="1"/>
    <col min="4" max="4" width="15.28125" style="6" customWidth="1"/>
    <col min="5" max="5" width="11.7109375" style="6" customWidth="1"/>
    <col min="6" max="6" width="18.71093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7109375" style="6" customWidth="1"/>
    <col min="14" max="14" width="8.57421875" style="6" customWidth="1"/>
    <col min="15" max="15" width="7.140625" style="6" customWidth="1"/>
    <col min="16" max="16384" width="9.140625" style="6" customWidth="1"/>
  </cols>
  <sheetData>
    <row r="1" spans="1:10" ht="21" customHeight="1">
      <c r="A1" s="141"/>
      <c r="B1" s="141"/>
      <c r="C1" s="141"/>
      <c r="D1" s="141"/>
      <c r="E1" s="141"/>
      <c r="F1" s="141"/>
      <c r="G1" s="40"/>
      <c r="H1" s="141"/>
      <c r="I1" s="141"/>
      <c r="J1" s="141"/>
    </row>
    <row r="2" ht="25.5" customHeight="1"/>
    <row r="3" spans="2:20" ht="36">
      <c r="B3" s="543" t="str">
        <f>+"Tablero de mando: "&amp;" "&amp;+'Introducción de datos'!C4&amp;" - "&amp;+'Introducción de datos'!G6</f>
        <v>Tablero de mando:  El Salvador - VIH / SIDA</v>
      </c>
      <c r="C3" s="543"/>
      <c r="D3" s="543"/>
      <c r="E3" s="543"/>
      <c r="F3" s="543"/>
      <c r="G3" s="543"/>
      <c r="H3" s="543"/>
      <c r="I3" s="543"/>
      <c r="J3" s="543"/>
      <c r="K3" s="218"/>
      <c r="L3" s="218"/>
      <c r="M3" s="218"/>
      <c r="N3" s="219"/>
      <c r="O3" s="219"/>
      <c r="P3" s="219"/>
      <c r="Q3" s="219"/>
      <c r="R3" s="219"/>
      <c r="S3" s="219"/>
      <c r="T3" s="219"/>
    </row>
    <row r="4" spans="12:20" ht="15" customHeight="1">
      <c r="L4" s="219"/>
      <c r="M4" s="219"/>
      <c r="N4" s="219"/>
      <c r="O4" s="219"/>
      <c r="P4" s="219"/>
      <c r="Q4" s="219"/>
      <c r="R4" s="219"/>
      <c r="S4" s="219"/>
      <c r="T4" s="219"/>
    </row>
    <row r="5" spans="12:20" ht="15">
      <c r="L5" s="219"/>
      <c r="M5" s="219"/>
      <c r="N5" s="219"/>
      <c r="O5" s="219"/>
      <c r="P5" s="219"/>
      <c r="Q5" s="219"/>
      <c r="R5" s="219"/>
      <c r="S5" s="219"/>
      <c r="T5" s="219"/>
    </row>
    <row r="6" spans="1:21" ht="32.25" customHeight="1">
      <c r="A6" s="220" t="s">
        <v>172</v>
      </c>
      <c r="B6" s="544" t="str">
        <f>+'Introducción de datos'!C4</f>
        <v>El Salvador</v>
      </c>
      <c r="C6" s="544"/>
      <c r="D6" s="545" t="s">
        <v>174</v>
      </c>
      <c r="E6" s="545"/>
      <c r="F6" s="546" t="str">
        <f>+'Introducción de datos'!G4</f>
        <v>INNOVANDO SERVICIOS, REDUCIENDO RIESGOS, RENOVANDO VIDAS EN EL SALVADOR</v>
      </c>
      <c r="G6" s="546"/>
      <c r="H6" s="546"/>
      <c r="I6" s="546"/>
      <c r="J6" s="546"/>
      <c r="K6" s="221"/>
      <c r="L6" s="222"/>
      <c r="M6" s="221"/>
      <c r="N6" s="221"/>
      <c r="O6" s="221"/>
      <c r="P6" s="223"/>
      <c r="Q6" s="224"/>
      <c r="R6" s="224"/>
      <c r="S6" s="224"/>
      <c r="T6" s="224"/>
      <c r="U6" s="224"/>
    </row>
    <row r="7" spans="2:21" ht="8.25" customHeight="1">
      <c r="B7" s="225"/>
      <c r="C7" s="226"/>
      <c r="D7" s="226"/>
      <c r="E7" s="227"/>
      <c r="F7" s="227"/>
      <c r="G7" s="228"/>
      <c r="H7" s="228"/>
      <c r="K7" s="221"/>
      <c r="L7" s="221"/>
      <c r="M7" s="221"/>
      <c r="N7" s="221"/>
      <c r="O7" s="221"/>
      <c r="P7" s="223"/>
      <c r="Q7" s="224"/>
      <c r="R7" s="224"/>
      <c r="S7" s="224"/>
      <c r="T7" s="224"/>
      <c r="U7" s="224"/>
    </row>
    <row r="8" spans="3:21" ht="3.75" customHeight="1">
      <c r="C8" s="229"/>
      <c r="D8" s="229"/>
      <c r="E8" s="229"/>
      <c r="F8" s="229"/>
      <c r="G8" s="229"/>
      <c r="H8" s="229"/>
      <c r="I8" s="229"/>
      <c r="J8" s="229"/>
      <c r="K8" s="221"/>
      <c r="L8" s="221"/>
      <c r="M8" s="221"/>
      <c r="N8" s="221"/>
      <c r="O8" s="230"/>
      <c r="P8" s="223"/>
      <c r="Q8" s="230"/>
      <c r="R8" s="231"/>
      <c r="S8" s="224"/>
      <c r="T8" s="224"/>
      <c r="U8" s="224"/>
    </row>
    <row r="9" spans="1:24" ht="25.5" customHeight="1">
      <c r="A9" s="232" t="s">
        <v>176</v>
      </c>
      <c r="B9" s="233" t="str">
        <f>+'Introducción de datos'!G6</f>
        <v>VIH / SIDA</v>
      </c>
      <c r="C9" s="234" t="s">
        <v>175</v>
      </c>
      <c r="D9" s="235" t="str">
        <f>+'Introducción de datos'!C6</f>
        <v>SLV-H-PLAN</v>
      </c>
      <c r="E9" s="539" t="s">
        <v>283</v>
      </c>
      <c r="F9" s="539"/>
      <c r="G9" s="236">
        <f>+'Introducción de datos'!C10</f>
        <v>41640</v>
      </c>
      <c r="H9" s="232" t="s">
        <v>284</v>
      </c>
      <c r="I9" s="542" t="str">
        <f>+'Introducción de datos'!I6</f>
        <v>12,931,489</v>
      </c>
      <c r="J9" s="542"/>
      <c r="K9" s="221"/>
      <c r="L9" s="221"/>
      <c r="M9" s="221"/>
      <c r="N9" s="221"/>
      <c r="O9" s="230"/>
      <c r="P9" s="223"/>
      <c r="Q9" s="230"/>
      <c r="R9" s="231"/>
      <c r="S9" s="224"/>
      <c r="T9" s="237"/>
      <c r="U9" s="237"/>
      <c r="V9" s="229"/>
      <c r="W9" s="229"/>
      <c r="X9" s="229"/>
    </row>
    <row r="10" spans="1:21" ht="25.5" customHeight="1">
      <c r="A10" s="232" t="s">
        <v>180</v>
      </c>
      <c r="B10" s="238" t="str">
        <f>IF(ISBLANK('Introducción de datos'!G8),"",'Introducción de datos'!G8)</f>
        <v>Seleccionar</v>
      </c>
      <c r="C10" s="234" t="s">
        <v>182</v>
      </c>
      <c r="D10" s="239" t="str">
        <f>+'Introducción de datos'!I8</f>
        <v>Seleccionar</v>
      </c>
      <c r="E10" s="539" t="s">
        <v>285</v>
      </c>
      <c r="F10" s="539"/>
      <c r="G10" s="538" t="str">
        <f>+'Introducción de datos'!C8</f>
        <v>PLAN  INTERNACIONAL</v>
      </c>
      <c r="H10" s="538"/>
      <c r="I10" s="538"/>
      <c r="J10" s="538"/>
      <c r="K10" s="241"/>
      <c r="L10" s="241"/>
      <c r="M10" s="221"/>
      <c r="N10" s="241"/>
      <c r="O10" s="230"/>
      <c r="P10" s="223"/>
      <c r="Q10" s="237"/>
      <c r="R10" s="231"/>
      <c r="S10" s="224"/>
      <c r="T10" s="237"/>
      <c r="U10" s="237"/>
    </row>
    <row r="11" spans="1:21" ht="25.5" customHeight="1">
      <c r="A11" s="232" t="s">
        <v>286</v>
      </c>
      <c r="B11" s="240" t="str">
        <f>+'Introducción de datos'!C16</f>
        <v>P5</v>
      </c>
      <c r="C11" s="234" t="s">
        <v>287</v>
      </c>
      <c r="D11" s="242">
        <f>+'Introducción de datos'!E16</f>
        <v>42370</v>
      </c>
      <c r="E11" s="539" t="s">
        <v>288</v>
      </c>
      <c r="F11" s="539"/>
      <c r="G11" s="242">
        <f>+'Introducción de datos'!G16</f>
        <v>42551</v>
      </c>
      <c r="H11" s="232" t="s">
        <v>289</v>
      </c>
      <c r="I11" s="541" t="str">
        <f>+'Introducción de datos'!C12</f>
        <v>B1</v>
      </c>
      <c r="J11" s="541"/>
      <c r="K11" s="243"/>
      <c r="L11" s="241"/>
      <c r="M11" s="221"/>
      <c r="N11" s="241"/>
      <c r="O11" s="241"/>
      <c r="P11" s="223"/>
      <c r="Q11" s="237"/>
      <c r="R11" s="231"/>
      <c r="S11" s="224"/>
      <c r="T11" s="244"/>
      <c r="U11" s="237"/>
    </row>
    <row r="12" spans="1:24" ht="25.5" customHeight="1">
      <c r="A12" s="232" t="s">
        <v>185</v>
      </c>
      <c r="B12" s="538" t="str">
        <f>+'Introducción de datos'!G10</f>
        <v>GRUPO JACOBS</v>
      </c>
      <c r="C12" s="538"/>
      <c r="D12" s="538"/>
      <c r="E12" s="539" t="s">
        <v>189</v>
      </c>
      <c r="F12" s="539"/>
      <c r="G12" s="538" t="str">
        <f>+'Introducción de datos'!G12</f>
        <v>Serena Buccini</v>
      </c>
      <c r="H12" s="538"/>
      <c r="I12" s="538"/>
      <c r="J12" s="538"/>
      <c r="K12" s="241"/>
      <c r="L12" s="241"/>
      <c r="M12" s="221"/>
      <c r="N12" s="241"/>
      <c r="O12" s="224"/>
      <c r="P12" s="223"/>
      <c r="Q12" s="237"/>
      <c r="R12" s="231"/>
      <c r="S12" s="224"/>
      <c r="T12" s="237"/>
      <c r="U12" s="245"/>
      <c r="V12" s="237"/>
      <c r="W12" s="244"/>
      <c r="X12" s="237"/>
    </row>
    <row r="13" spans="1:21" ht="25.5" customHeight="1">
      <c r="A13" s="232" t="s">
        <v>196</v>
      </c>
      <c r="B13" s="538" t="str">
        <f>+'Introducción de datos'!D18</f>
        <v>UCP/PLAN </v>
      </c>
      <c r="C13" s="538"/>
      <c r="D13" s="538"/>
      <c r="E13" s="539" t="s">
        <v>290</v>
      </c>
      <c r="F13" s="539"/>
      <c r="G13" s="540">
        <f>+'Introducción de datos'!J16</f>
        <v>0</v>
      </c>
      <c r="H13" s="540"/>
      <c r="I13" s="540"/>
      <c r="J13" s="540"/>
      <c r="K13" s="224"/>
      <c r="L13" s="246"/>
      <c r="M13" s="246"/>
      <c r="N13" s="246"/>
      <c r="O13" s="224"/>
      <c r="P13" s="246"/>
      <c r="Q13" s="246"/>
      <c r="R13" s="231"/>
      <c r="S13" s="224"/>
      <c r="T13" s="246"/>
      <c r="U13" s="247"/>
    </row>
  </sheetData>
  <sheetProtection/>
  <mergeCells count="16">
    <mergeCell ref="E9:F9"/>
    <mergeCell ref="I9:J9"/>
    <mergeCell ref="E10:F10"/>
    <mergeCell ref="G10:J10"/>
    <mergeCell ref="B3:J3"/>
    <mergeCell ref="B6:C6"/>
    <mergeCell ref="D6:E6"/>
    <mergeCell ref="F6:J6"/>
    <mergeCell ref="B13:D13"/>
    <mergeCell ref="E13:F13"/>
    <mergeCell ref="G13:J13"/>
    <mergeCell ref="E11:F11"/>
    <mergeCell ref="I11:J11"/>
    <mergeCell ref="B12:D12"/>
    <mergeCell ref="E12:F12"/>
    <mergeCell ref="G12:J12"/>
  </mergeCells>
  <conditionalFormatting sqref="I11:J11">
    <cfRule type="cellIs" priority="1" dxfId="42" operator="equal" stopIfTrue="1">
      <formula>"C"</formula>
    </cfRule>
    <cfRule type="cellIs" priority="2" dxfId="43" operator="equal" stopIfTrue="1">
      <formula>"B2"</formula>
    </cfRule>
    <cfRule type="cellIs" priority="3" dxfId="44" operator="equal" stopIfTrue="1">
      <formula>"B1"</formula>
    </cfRule>
  </conditionalFormatting>
  <dataValidations count="2">
    <dataValidation type="date" operator="greaterThan" allowBlank="1" showErrorMessage="1" error="the date can´t be earlier than the start date" sqref="G11">
      <formula1>D11</formula1>
    </dataValidation>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AD172"/>
  <sheetViews>
    <sheetView showGridLines="0" zoomScale="80" zoomScaleNormal="80" zoomScalePageLayoutView="0" workbookViewId="0" topLeftCell="A126">
      <selection activeCell="F111" sqref="F111:F113"/>
    </sheetView>
  </sheetViews>
  <sheetFormatPr defaultColWidth="11.421875" defaultRowHeight="15"/>
  <cols>
    <col min="1" max="1" width="2.71093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9" width="17.57421875" style="0" customWidth="1"/>
    <col min="10" max="10" width="16.8515625" style="0" customWidth="1"/>
    <col min="11" max="11" width="18.57421875" style="0" customWidth="1"/>
    <col min="12" max="12" width="15.28125" style="0" customWidth="1"/>
    <col min="13" max="13" width="20.57421875" style="0" customWidth="1"/>
    <col min="14" max="14" width="14.28125" style="5" customWidth="1"/>
    <col min="15" max="15" width="16.140625" style="0" customWidth="1"/>
    <col min="16" max="16" width="13.7109375" style="0" customWidth="1"/>
    <col min="17" max="17" width="13.421875" style="0" customWidth="1"/>
    <col min="18" max="18" width="11.421875" style="0" customWidth="1"/>
    <col min="19" max="19" width="2.28125" style="0" customWidth="1"/>
    <col min="20" max="20" width="1.1484375" style="0" customWidth="1"/>
    <col min="21" max="21" width="3.28125" style="0" customWidth="1"/>
    <col min="22" max="22" width="17.00390625" style="0" customWidth="1"/>
    <col min="23" max="23" width="15.00390625" style="0" customWidth="1"/>
    <col min="24" max="24" width="11.421875" style="0" customWidth="1"/>
    <col min="25" max="25" width="13.57421875" style="0" customWidth="1"/>
    <col min="26" max="26" width="16.8515625" style="0" customWidth="1"/>
    <col min="27" max="27" width="11.421875" style="0" customWidth="1"/>
    <col min="28" max="28" width="2.00390625" style="5" customWidth="1"/>
    <col min="29" max="29" width="3.28125" style="5" customWidth="1"/>
    <col min="30" max="30" width="2.28125" style="5" customWidth="1"/>
    <col min="31" max="31" width="40.7109375" style="0" customWidth="1"/>
    <col min="32" max="32" width="15.421875" style="0" customWidth="1"/>
    <col min="33" max="16384" width="9.140625" style="0" customWidth="1"/>
  </cols>
  <sheetData>
    <row r="1" spans="1:13" ht="29.25" customHeight="1">
      <c r="A1" s="6"/>
      <c r="B1" s="6"/>
      <c r="C1" s="6"/>
      <c r="D1" s="6"/>
      <c r="E1" s="6"/>
      <c r="F1" s="6"/>
      <c r="G1" s="6"/>
      <c r="H1" s="6"/>
      <c r="I1" s="6"/>
      <c r="J1" s="6"/>
      <c r="K1" s="6"/>
      <c r="L1" s="6"/>
      <c r="M1" s="6"/>
    </row>
    <row r="2" spans="1:13" ht="15.75" customHeight="1">
      <c r="A2" s="6"/>
      <c r="B2" s="623" t="s">
        <v>171</v>
      </c>
      <c r="C2" s="623"/>
      <c r="D2" s="623"/>
      <c r="E2" s="623"/>
      <c r="F2" s="623"/>
      <c r="G2" s="623"/>
      <c r="H2" s="623"/>
      <c r="I2" s="623"/>
      <c r="J2" s="623"/>
      <c r="K2" s="33"/>
      <c r="L2" s="33"/>
      <c r="M2" s="33"/>
    </row>
    <row r="3" spans="1:13" ht="4.5" customHeight="1">
      <c r="A3" s="6"/>
      <c r="B3" s="6"/>
      <c r="C3" s="6"/>
      <c r="D3" s="6"/>
      <c r="E3" s="6"/>
      <c r="F3" s="6"/>
      <c r="G3" s="6"/>
      <c r="H3" s="6"/>
      <c r="I3" s="6"/>
      <c r="J3" s="6"/>
      <c r="K3" s="6"/>
      <c r="L3" s="6"/>
      <c r="M3" s="6"/>
    </row>
    <row r="4" spans="1:13" ht="28.5" customHeight="1">
      <c r="A4" s="6"/>
      <c r="B4" s="34" t="s">
        <v>172</v>
      </c>
      <c r="C4" s="626" t="s">
        <v>173</v>
      </c>
      <c r="D4" s="626"/>
      <c r="E4" s="627" t="s">
        <v>174</v>
      </c>
      <c r="F4" s="627"/>
      <c r="G4" s="628" t="s">
        <v>319</v>
      </c>
      <c r="H4" s="628"/>
      <c r="I4" s="628"/>
      <c r="J4" s="628"/>
      <c r="K4" s="6"/>
      <c r="L4" s="6"/>
      <c r="M4" s="6"/>
    </row>
    <row r="5" spans="1:13" ht="3" customHeight="1">
      <c r="A5" s="6"/>
      <c r="B5" s="37"/>
      <c r="C5" s="6"/>
      <c r="D5" s="6"/>
      <c r="E5" s="38"/>
      <c r="F5" s="38"/>
      <c r="G5" s="6"/>
      <c r="H5" s="6"/>
      <c r="I5" s="6"/>
      <c r="J5" s="6"/>
      <c r="K5" s="6"/>
      <c r="L5" s="6"/>
      <c r="M5" s="6"/>
    </row>
    <row r="6" spans="1:13" ht="15">
      <c r="A6" s="6"/>
      <c r="B6" s="34" t="s">
        <v>175</v>
      </c>
      <c r="C6" s="631" t="s">
        <v>317</v>
      </c>
      <c r="D6" s="631"/>
      <c r="E6" s="627" t="s">
        <v>176</v>
      </c>
      <c r="F6" s="627"/>
      <c r="G6" s="35" t="s">
        <v>45</v>
      </c>
      <c r="H6" s="39" t="s">
        <v>178</v>
      </c>
      <c r="I6" s="632" t="s">
        <v>361</v>
      </c>
      <c r="J6" s="632"/>
      <c r="K6" s="6"/>
      <c r="L6" s="6"/>
      <c r="M6" s="6"/>
    </row>
    <row r="7" spans="1:13" ht="3" customHeight="1">
      <c r="A7" s="6"/>
      <c r="B7" s="37"/>
      <c r="C7" s="6"/>
      <c r="D7" s="6"/>
      <c r="E7" s="38"/>
      <c r="F7" s="38"/>
      <c r="G7" s="6"/>
      <c r="H7" s="37"/>
      <c r="I7" s="6"/>
      <c r="J7" s="6"/>
      <c r="K7" s="6"/>
      <c r="L7" s="6"/>
      <c r="M7" s="6"/>
    </row>
    <row r="8" spans="1:13" ht="15">
      <c r="A8" s="6"/>
      <c r="B8" s="34" t="s">
        <v>179</v>
      </c>
      <c r="C8" s="631" t="s">
        <v>318</v>
      </c>
      <c r="D8" s="631"/>
      <c r="E8" s="40"/>
      <c r="F8" s="36" t="s">
        <v>180</v>
      </c>
      <c r="G8" s="35" t="s">
        <v>44</v>
      </c>
      <c r="H8" s="36" t="s">
        <v>182</v>
      </c>
      <c r="I8" s="626" t="s">
        <v>44</v>
      </c>
      <c r="J8" s="626"/>
      <c r="K8" s="6"/>
      <c r="L8" s="6"/>
      <c r="M8" s="6"/>
    </row>
    <row r="9" spans="1:13" ht="3" customHeight="1">
      <c r="A9" s="6"/>
      <c r="B9" s="38"/>
      <c r="C9" s="41">
        <v>39825</v>
      </c>
      <c r="D9" s="6"/>
      <c r="E9" s="38"/>
      <c r="F9" s="38"/>
      <c r="G9" s="6"/>
      <c r="H9" s="6"/>
      <c r="I9" s="6"/>
      <c r="J9" s="6"/>
      <c r="K9" s="6"/>
      <c r="L9" s="6"/>
      <c r="M9" s="6"/>
    </row>
    <row r="10" spans="1:13" ht="15">
      <c r="A10" s="6"/>
      <c r="B10" s="34" t="s">
        <v>184</v>
      </c>
      <c r="C10" s="629">
        <v>41640</v>
      </c>
      <c r="D10" s="629"/>
      <c r="E10" s="630" t="s">
        <v>185</v>
      </c>
      <c r="F10" s="630"/>
      <c r="G10" s="626" t="s">
        <v>320</v>
      </c>
      <c r="H10" s="626"/>
      <c r="I10" s="626"/>
      <c r="J10" s="626"/>
      <c r="K10" s="6"/>
      <c r="L10" s="6"/>
      <c r="M10" s="6"/>
    </row>
    <row r="11" spans="1:13" ht="5.25" customHeight="1">
      <c r="A11" s="6"/>
      <c r="B11" s="6"/>
      <c r="C11" s="6"/>
      <c r="D11" s="6"/>
      <c r="E11" s="6"/>
      <c r="F11" s="6"/>
      <c r="G11" s="6"/>
      <c r="H11" s="6"/>
      <c r="I11" s="6"/>
      <c r="J11" s="6"/>
      <c r="K11" s="6"/>
      <c r="L11" s="6"/>
      <c r="M11" s="6"/>
    </row>
    <row r="12" spans="1:13" ht="15" customHeight="1">
      <c r="A12" s="6"/>
      <c r="B12" s="34" t="s">
        <v>187</v>
      </c>
      <c r="C12" s="634" t="s">
        <v>58</v>
      </c>
      <c r="D12" s="634"/>
      <c r="E12" s="635" t="s">
        <v>189</v>
      </c>
      <c r="F12" s="635"/>
      <c r="G12" s="636" t="s">
        <v>367</v>
      </c>
      <c r="H12" s="636"/>
      <c r="I12" s="636"/>
      <c r="J12" s="636"/>
      <c r="K12" s="6"/>
      <c r="L12" s="6"/>
      <c r="M12" s="6"/>
    </row>
    <row r="13" spans="1:13" ht="5.25" customHeight="1">
      <c r="A13" s="6"/>
      <c r="B13" s="6"/>
      <c r="C13" s="6"/>
      <c r="D13" s="6"/>
      <c r="E13" s="6"/>
      <c r="F13" s="6"/>
      <c r="G13" s="6"/>
      <c r="H13" s="6"/>
      <c r="I13" s="6"/>
      <c r="J13" s="6"/>
      <c r="K13" s="6"/>
      <c r="L13" s="6"/>
      <c r="M13" s="6"/>
    </row>
    <row r="14" spans="1:13" ht="15.75" customHeight="1">
      <c r="A14" s="6"/>
      <c r="B14" s="623" t="s">
        <v>190</v>
      </c>
      <c r="C14" s="623"/>
      <c r="D14" s="623"/>
      <c r="E14" s="623"/>
      <c r="F14" s="623"/>
      <c r="G14" s="623"/>
      <c r="H14" s="623"/>
      <c r="I14" s="623"/>
      <c r="J14" s="623"/>
      <c r="K14" s="6"/>
      <c r="L14" s="6"/>
      <c r="M14" s="6"/>
    </row>
    <row r="15" spans="1:13" ht="3" customHeight="1">
      <c r="A15" s="6"/>
      <c r="B15" s="6"/>
      <c r="C15" s="6"/>
      <c r="D15" s="6"/>
      <c r="E15" s="6"/>
      <c r="F15" s="6"/>
      <c r="G15" s="6"/>
      <c r="H15" s="6"/>
      <c r="I15" s="6"/>
      <c r="J15" s="6"/>
      <c r="K15" s="6"/>
      <c r="L15" s="6"/>
      <c r="M15" s="6"/>
    </row>
    <row r="16" spans="1:13" ht="15">
      <c r="A16" s="6"/>
      <c r="B16" s="34" t="s">
        <v>191</v>
      </c>
      <c r="C16" s="35" t="s">
        <v>20</v>
      </c>
      <c r="D16" s="36" t="s">
        <v>193</v>
      </c>
      <c r="E16" s="42">
        <v>42370</v>
      </c>
      <c r="F16" s="43" t="s">
        <v>194</v>
      </c>
      <c r="G16" s="42">
        <v>42551</v>
      </c>
      <c r="H16" s="620" t="s">
        <v>195</v>
      </c>
      <c r="I16" s="620"/>
      <c r="J16" s="42"/>
      <c r="K16" s="6"/>
      <c r="L16" s="6"/>
      <c r="M16" s="6"/>
    </row>
    <row r="17" spans="1:13" ht="3" customHeight="1">
      <c r="A17" s="6"/>
      <c r="B17" s="6"/>
      <c r="C17" s="6"/>
      <c r="D17" s="6"/>
      <c r="E17" s="6"/>
      <c r="F17" s="6"/>
      <c r="G17" s="6"/>
      <c r="H17" s="6"/>
      <c r="I17" s="6"/>
      <c r="J17" s="6"/>
      <c r="K17" s="6"/>
      <c r="L17" s="6"/>
      <c r="M17" s="6"/>
    </row>
    <row r="18" spans="1:13" ht="15">
      <c r="A18" s="6"/>
      <c r="B18" s="621" t="s">
        <v>196</v>
      </c>
      <c r="C18" s="621"/>
      <c r="D18" s="622" t="s">
        <v>321</v>
      </c>
      <c r="E18" s="622"/>
      <c r="F18" s="622"/>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623" t="s">
        <v>197</v>
      </c>
      <c r="C21" s="623"/>
      <c r="D21" s="623"/>
      <c r="E21" s="623"/>
      <c r="F21" s="623"/>
      <c r="G21" s="623"/>
      <c r="H21" s="623"/>
      <c r="I21" s="623"/>
      <c r="J21" s="623"/>
      <c r="K21" s="6"/>
      <c r="L21" s="6"/>
      <c r="M21" s="6"/>
    </row>
    <row r="22" spans="1:13" ht="15">
      <c r="A22" s="6"/>
      <c r="B22" s="45" t="s">
        <v>198</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75" thickBot="1">
      <c r="A24" s="6"/>
      <c r="B24" s="34" t="s">
        <v>199</v>
      </c>
      <c r="C24" s="47"/>
      <c r="D24" s="627" t="s">
        <v>200</v>
      </c>
      <c r="E24" s="627"/>
      <c r="F24" s="48"/>
      <c r="G24" s="627" t="s">
        <v>201</v>
      </c>
      <c r="H24" s="627"/>
      <c r="I24" s="637"/>
      <c r="J24" s="637"/>
      <c r="K24" s="6"/>
      <c r="L24" s="6"/>
      <c r="M24" s="6"/>
      <c r="N24" s="49"/>
    </row>
    <row r="25" spans="1:29" ht="19.5" thickBot="1">
      <c r="A25" s="6"/>
      <c r="B25" s="50" t="s">
        <v>199</v>
      </c>
      <c r="C25" s="51"/>
      <c r="D25" s="51"/>
      <c r="E25" s="51"/>
      <c r="F25" s="51"/>
      <c r="G25" s="51"/>
      <c r="H25" s="52"/>
      <c r="I25" s="52"/>
      <c r="J25" s="52" t="s">
        <v>202</v>
      </c>
      <c r="K25" s="52"/>
      <c r="L25" s="51"/>
      <c r="M25" s="51"/>
      <c r="N25" s="53"/>
      <c r="AC25" s="54"/>
    </row>
    <row r="26" spans="1:29" ht="15">
      <c r="A26" s="6"/>
      <c r="B26" s="609" t="s">
        <v>203</v>
      </c>
      <c r="C26" s="609"/>
      <c r="D26" s="55" t="s">
        <v>204</v>
      </c>
      <c r="E26" s="56"/>
      <c r="F26" s="56"/>
      <c r="G26" s="56"/>
      <c r="H26" s="56"/>
      <c r="I26" s="56"/>
      <c r="J26" s="57"/>
      <c r="K26" s="56"/>
      <c r="L26" s="56"/>
      <c r="M26" s="56"/>
      <c r="N26" s="58"/>
      <c r="AC26" s="54"/>
    </row>
    <row r="27" spans="1:29" ht="18.75">
      <c r="A27" s="6"/>
      <c r="B27" s="59" t="s">
        <v>205</v>
      </c>
      <c r="C27" s="56"/>
      <c r="D27" s="56"/>
      <c r="E27" s="56"/>
      <c r="F27" s="56"/>
      <c r="G27" s="56"/>
      <c r="H27" s="56"/>
      <c r="I27" s="56"/>
      <c r="J27" s="57"/>
      <c r="K27" s="56"/>
      <c r="L27" s="56"/>
      <c r="M27" s="56"/>
      <c r="N27" s="58"/>
      <c r="AC27" s="54"/>
    </row>
    <row r="28" spans="1:13" ht="15.75" thickBot="1">
      <c r="A28" s="6"/>
      <c r="B28" s="6"/>
      <c r="C28" s="6"/>
      <c r="D28" s="6"/>
      <c r="E28" s="6"/>
      <c r="F28" s="6"/>
      <c r="G28" s="6"/>
      <c r="H28" s="6"/>
      <c r="I28" s="6"/>
      <c r="J28" s="6"/>
      <c r="K28" s="6"/>
      <c r="L28" s="6"/>
      <c r="M28" s="6"/>
    </row>
    <row r="29" spans="1:17" ht="15">
      <c r="A29" s="6"/>
      <c r="B29" s="610" t="s">
        <v>206</v>
      </c>
      <c r="C29" s="610"/>
      <c r="D29" s="610"/>
      <c r="E29" s="610"/>
      <c r="F29" s="610"/>
      <c r="G29" s="610"/>
      <c r="H29" s="610"/>
      <c r="I29" s="610"/>
      <c r="J29" s="610"/>
      <c r="K29" s="610"/>
      <c r="L29" s="610"/>
      <c r="M29" s="610"/>
      <c r="N29" s="610"/>
      <c r="O29" s="60"/>
      <c r="P29" s="61">
        <f>+C33</f>
        <v>1203071</v>
      </c>
      <c r="Q29" s="62"/>
    </row>
    <row r="30" spans="1:17" ht="45" customHeight="1">
      <c r="A30" s="6"/>
      <c r="B30" s="63" t="s">
        <v>207</v>
      </c>
      <c r="C30" s="64" t="s">
        <v>16</v>
      </c>
      <c r="D30" s="64" t="s">
        <v>17</v>
      </c>
      <c r="E30" s="64" t="s">
        <v>18</v>
      </c>
      <c r="F30" s="64" t="s">
        <v>19</v>
      </c>
      <c r="G30" s="64" t="s">
        <v>20</v>
      </c>
      <c r="H30" s="64" t="s">
        <v>21</v>
      </c>
      <c r="I30" s="64" t="s">
        <v>22</v>
      </c>
      <c r="J30" s="64" t="s">
        <v>23</v>
      </c>
      <c r="K30" s="64" t="s">
        <v>208</v>
      </c>
      <c r="L30" s="64" t="s">
        <v>209</v>
      </c>
      <c r="M30" s="64" t="s">
        <v>210</v>
      </c>
      <c r="N30" s="64" t="s">
        <v>192</v>
      </c>
      <c r="O30" s="60"/>
      <c r="P30" s="61">
        <f>+D33</f>
        <v>3380881</v>
      </c>
      <c r="Q30" s="62"/>
    </row>
    <row r="31" spans="1:17" ht="14.25" customHeight="1">
      <c r="A31" s="6"/>
      <c r="B31" s="65" t="str">
        <f>CONCATENATE("Presupuesto (en ",'Introducción de datos'!$D$26,")")</f>
        <v>Presupuesto (en $)</v>
      </c>
      <c r="C31" s="401">
        <v>1203071</v>
      </c>
      <c r="D31" s="402">
        <v>2177810</v>
      </c>
      <c r="E31" s="402">
        <v>2284432</v>
      </c>
      <c r="F31" s="402">
        <v>3231060</v>
      </c>
      <c r="G31" s="402">
        <v>2098152</v>
      </c>
      <c r="H31" s="402">
        <v>1936964</v>
      </c>
      <c r="I31" s="402"/>
      <c r="J31" s="402"/>
      <c r="K31" s="66"/>
      <c r="L31" s="66"/>
      <c r="M31" s="66"/>
      <c r="N31" s="66"/>
      <c r="O31" s="60"/>
      <c r="P31" s="61">
        <f>+E33</f>
        <v>5665313</v>
      </c>
      <c r="Q31" s="62"/>
    </row>
    <row r="32" spans="1:17" ht="14.25" customHeight="1">
      <c r="A32" s="6"/>
      <c r="B32" s="67" t="str">
        <f>CONCATENATE("Desembolsos por el Fondo Mundial (en ",$D$26,")")</f>
        <v>Desembolsos por el Fondo Mundial (en $)</v>
      </c>
      <c r="C32" s="401">
        <v>4765803</v>
      </c>
      <c r="D32" s="401"/>
      <c r="E32" s="401">
        <v>1649002</v>
      </c>
      <c r="F32" s="401">
        <v>3024864</v>
      </c>
      <c r="G32" s="401">
        <v>649572</v>
      </c>
      <c r="H32" s="401"/>
      <c r="I32" s="402"/>
      <c r="J32" s="402"/>
      <c r="K32" s="66"/>
      <c r="L32" s="66"/>
      <c r="M32" s="66"/>
      <c r="N32" s="66"/>
      <c r="O32" s="60"/>
      <c r="P32" s="61">
        <f>+F33</f>
        <v>8896373</v>
      </c>
      <c r="Q32" s="62"/>
    </row>
    <row r="33" spans="1:17" ht="14.25" customHeight="1">
      <c r="A33" s="6"/>
      <c r="B33" s="68" t="s">
        <v>211</v>
      </c>
      <c r="C33" s="69">
        <f>+C31</f>
        <v>1203071</v>
      </c>
      <c r="D33" s="69">
        <f>IF(AND(D31=0,D32=0),0,+C33+D31)</f>
        <v>3380881</v>
      </c>
      <c r="E33" s="69">
        <f aca="true" t="shared" si="0" ref="E33:N33">IF(AND(E31=0,E32=0),0,+D33+E31)</f>
        <v>5665313</v>
      </c>
      <c r="F33" s="69">
        <f t="shared" si="0"/>
        <v>8896373</v>
      </c>
      <c r="G33" s="69">
        <f t="shared" si="0"/>
        <v>10994525</v>
      </c>
      <c r="H33" s="69">
        <f t="shared" si="0"/>
        <v>12931489</v>
      </c>
      <c r="I33" s="69">
        <f t="shared" si="0"/>
        <v>0</v>
      </c>
      <c r="J33" s="404">
        <f t="shared" si="0"/>
        <v>0</v>
      </c>
      <c r="K33" s="69">
        <f t="shared" si="0"/>
        <v>0</v>
      </c>
      <c r="L33" s="69">
        <f t="shared" si="0"/>
        <v>0</v>
      </c>
      <c r="M33" s="69">
        <f t="shared" si="0"/>
        <v>0</v>
      </c>
      <c r="N33" s="69">
        <f t="shared" si="0"/>
        <v>0</v>
      </c>
      <c r="O33" s="60"/>
      <c r="P33" s="61">
        <f>+G33</f>
        <v>10994525</v>
      </c>
      <c r="Q33" s="62"/>
    </row>
    <row r="34" spans="1:17" ht="15" customHeight="1" thickBot="1">
      <c r="A34" s="6"/>
      <c r="B34" s="70" t="s">
        <v>212</v>
      </c>
      <c r="C34" s="71">
        <f>+C32</f>
        <v>4765803</v>
      </c>
      <c r="D34" s="71">
        <f>IF(AND(D31=0,D32=0),0,+C34+D32)</f>
        <v>4765803</v>
      </c>
      <c r="E34" s="71">
        <f aca="true" t="shared" si="1" ref="E34:N34">IF(AND(E31=0,E32=0),0,+D34+E32)</f>
        <v>6414805</v>
      </c>
      <c r="F34" s="71">
        <f t="shared" si="1"/>
        <v>9439669</v>
      </c>
      <c r="G34" s="71">
        <f t="shared" si="1"/>
        <v>10089241</v>
      </c>
      <c r="H34" s="71">
        <f t="shared" si="1"/>
        <v>10089241</v>
      </c>
      <c r="I34" s="71">
        <f t="shared" si="1"/>
        <v>0</v>
      </c>
      <c r="J34" s="71">
        <f t="shared" si="1"/>
        <v>0</v>
      </c>
      <c r="K34" s="71">
        <f t="shared" si="1"/>
        <v>0</v>
      </c>
      <c r="L34" s="71">
        <f t="shared" si="1"/>
        <v>0</v>
      </c>
      <c r="M34" s="71">
        <f t="shared" si="1"/>
        <v>0</v>
      </c>
      <c r="N34" s="71">
        <f t="shared" si="1"/>
        <v>0</v>
      </c>
      <c r="O34" s="60"/>
      <c r="P34" s="61">
        <f>+H33</f>
        <v>12931489</v>
      </c>
      <c r="Q34" s="62"/>
    </row>
    <row r="35" spans="1:17" ht="15">
      <c r="A35" s="6"/>
      <c r="B35" s="6"/>
      <c r="C35" s="72">
        <f>+IF(AND(C30=$C$16,C33&lt;&gt;0),C34/C33,0)</f>
        <v>0</v>
      </c>
      <c r="D35" s="72">
        <f aca="true" t="shared" si="2" ref="D35:N35">+IF(AND(D30=$C$16,D33&lt;&gt;0),D34/D33,0)</f>
        <v>0</v>
      </c>
      <c r="E35" s="72">
        <f t="shared" si="2"/>
        <v>0</v>
      </c>
      <c r="F35" s="72">
        <f t="shared" si="2"/>
        <v>0</v>
      </c>
      <c r="G35" s="72">
        <f t="shared" si="2"/>
        <v>0.917660471916704</v>
      </c>
      <c r="H35" s="72">
        <f t="shared" si="2"/>
        <v>0</v>
      </c>
      <c r="I35" s="72">
        <f t="shared" si="2"/>
        <v>0</v>
      </c>
      <c r="J35" s="72">
        <f t="shared" si="2"/>
        <v>0</v>
      </c>
      <c r="K35" s="72">
        <f t="shared" si="2"/>
        <v>0</v>
      </c>
      <c r="L35" s="72">
        <f t="shared" si="2"/>
        <v>0</v>
      </c>
      <c r="M35" s="72">
        <f t="shared" si="2"/>
        <v>0</v>
      </c>
      <c r="N35" s="72">
        <f t="shared" si="2"/>
        <v>0</v>
      </c>
      <c r="O35" s="73"/>
      <c r="P35" s="61">
        <f>+I33</f>
        <v>0</v>
      </c>
      <c r="Q35" s="62"/>
    </row>
    <row r="36" spans="1:29" ht="18.75">
      <c r="A36" s="6"/>
      <c r="B36" s="59" t="s">
        <v>213</v>
      </c>
      <c r="C36" s="6"/>
      <c r="D36" s="6"/>
      <c r="E36" s="74"/>
      <c r="F36" s="6"/>
      <c r="G36" s="75"/>
      <c r="H36" s="6"/>
      <c r="I36" s="6"/>
      <c r="J36" s="6"/>
      <c r="K36" s="6"/>
      <c r="L36" s="6"/>
      <c r="M36" s="6"/>
      <c r="N36" s="76"/>
      <c r="AC36" s="49"/>
    </row>
    <row r="37" spans="1:14" ht="15.75" thickBot="1">
      <c r="A37" s="6"/>
      <c r="B37" s="6"/>
      <c r="C37" s="6"/>
      <c r="D37" s="6"/>
      <c r="E37" s="6"/>
      <c r="F37" s="6"/>
      <c r="G37" s="6"/>
      <c r="H37" s="6"/>
      <c r="I37" s="6"/>
      <c r="J37" s="6"/>
      <c r="K37" s="6"/>
      <c r="L37" s="6"/>
      <c r="M37" s="6"/>
      <c r="N37" s="77"/>
    </row>
    <row r="38" spans="1:26" ht="30" customHeight="1">
      <c r="A38" s="6"/>
      <c r="B38" s="78" t="s">
        <v>214</v>
      </c>
      <c r="C38" s="79" t="str">
        <f>CONCATENATE("Presupuesto acumulado (en ",'Introducción de datos'!$D$26,")")</f>
        <v>Presupuesto acumulado (en $)</v>
      </c>
      <c r="D38" s="80" t="str">
        <f>CONCATENATE("Gastos acumulados (en ",'Introducción de datos'!$D$26,")")</f>
        <v>Gastos acumulados (en $)</v>
      </c>
      <c r="E38" s="81"/>
      <c r="F38" s="82"/>
      <c r="G38" s="6"/>
      <c r="H38" s="6"/>
      <c r="I38" s="6"/>
      <c r="J38" s="83"/>
      <c r="K38" s="84"/>
      <c r="N38"/>
      <c r="Y38" s="49"/>
      <c r="Z38" s="5"/>
    </row>
    <row r="39" spans="1:26" ht="14.25" customHeight="1">
      <c r="A39" s="6"/>
      <c r="B39" s="85" t="s">
        <v>215</v>
      </c>
      <c r="C39" s="86">
        <f>497515.09+1416724.19+1295419.47+2042589.19+1111486.4</f>
        <v>6363734.34</v>
      </c>
      <c r="D39" s="87">
        <f>4556829+934481.78</f>
        <v>5491310.78</v>
      </c>
      <c r="E39" s="435"/>
      <c r="F39" s="88"/>
      <c r="G39" s="89"/>
      <c r="H39" s="6"/>
      <c r="I39" s="6"/>
      <c r="J39" s="90"/>
      <c r="K39" s="91"/>
      <c r="N39"/>
      <c r="Y39" s="49"/>
      <c r="Z39" s="5"/>
    </row>
    <row r="40" spans="1:26" ht="14.25" customHeight="1">
      <c r="A40" s="6"/>
      <c r="B40" s="85" t="s">
        <v>216</v>
      </c>
      <c r="C40" s="86">
        <f>4915.01+129746.77+138106.38+152386.88+160994.14</f>
        <v>586149.18</v>
      </c>
      <c r="D40" s="87">
        <f>352400+122108.63</f>
        <v>474508.63</v>
      </c>
      <c r="E40" s="435"/>
      <c r="F40" s="88"/>
      <c r="G40" s="89"/>
      <c r="H40" s="6"/>
      <c r="I40" s="6"/>
      <c r="J40" s="6"/>
      <c r="K40" s="91"/>
      <c r="N40"/>
      <c r="Y40" s="49"/>
      <c r="Z40" s="5"/>
    </row>
    <row r="41" spans="1:26" ht="15">
      <c r="A41" s="6"/>
      <c r="B41" s="93" t="s">
        <v>217</v>
      </c>
      <c r="C41" s="86">
        <f>700640.85+631339.09+850906.57+1036083.93+825671.23</f>
        <v>4044641.67</v>
      </c>
      <c r="D41" s="87">
        <f>2700063+667714.19</f>
        <v>3367777.19</v>
      </c>
      <c r="E41" s="435"/>
      <c r="F41" s="94"/>
      <c r="G41" s="6"/>
      <c r="H41" s="6"/>
      <c r="I41" s="6"/>
      <c r="J41" s="6"/>
      <c r="K41" s="91"/>
      <c r="N41"/>
      <c r="Y41" s="49"/>
      <c r="Z41" s="5"/>
    </row>
    <row r="42" spans="1:26" ht="15" customHeight="1">
      <c r="A42" s="6"/>
      <c r="B42" s="85"/>
      <c r="C42" s="86"/>
      <c r="D42" s="87"/>
      <c r="E42" s="479"/>
      <c r="F42" s="95"/>
      <c r="G42" s="6"/>
      <c r="H42" s="6"/>
      <c r="I42" s="6"/>
      <c r="J42" s="6"/>
      <c r="K42" s="49"/>
      <c r="N42"/>
      <c r="Y42" s="49"/>
      <c r="Z42" s="5"/>
    </row>
    <row r="43" spans="1:26" ht="15">
      <c r="A43" s="6"/>
      <c r="B43" s="85"/>
      <c r="C43" s="86"/>
      <c r="D43" s="87"/>
      <c r="E43" s="92"/>
      <c r="F43" s="96"/>
      <c r="G43" s="6"/>
      <c r="H43" s="6"/>
      <c r="I43" s="6"/>
      <c r="J43" s="6"/>
      <c r="K43" s="49"/>
      <c r="N43"/>
      <c r="Y43" s="49"/>
      <c r="Z43" s="5"/>
    </row>
    <row r="44" spans="1:26" ht="15">
      <c r="A44" s="6"/>
      <c r="B44" s="85"/>
      <c r="C44" s="97"/>
      <c r="D44" s="98"/>
      <c r="E44" s="92"/>
      <c r="F44" s="99"/>
      <c r="G44" s="6"/>
      <c r="H44" s="6"/>
      <c r="I44" s="6"/>
      <c r="J44" s="6"/>
      <c r="K44" s="49"/>
      <c r="N44"/>
      <c r="Y44" s="49"/>
      <c r="Z44" s="5"/>
    </row>
    <row r="45" spans="1:26" ht="15">
      <c r="A45" s="6"/>
      <c r="B45" s="100"/>
      <c r="C45" s="97"/>
      <c r="D45" s="98"/>
      <c r="E45" s="92"/>
      <c r="F45" s="96"/>
      <c r="G45" s="92"/>
      <c r="H45" s="92"/>
      <c r="I45" s="92"/>
      <c r="J45" s="92"/>
      <c r="K45" s="49"/>
      <c r="N45"/>
      <c r="Y45" s="5"/>
      <c r="Z45" s="5"/>
    </row>
    <row r="46" spans="1:26" ht="15.75" thickBot="1">
      <c r="A46" s="6"/>
      <c r="B46" s="101"/>
      <c r="C46" s="97"/>
      <c r="D46" s="98"/>
      <c r="E46" s="92"/>
      <c r="F46" s="92"/>
      <c r="G46" s="92"/>
      <c r="H46" s="92"/>
      <c r="I46" s="92"/>
      <c r="J46" s="92"/>
      <c r="K46" s="49"/>
      <c r="N46"/>
      <c r="Y46" s="5"/>
      <c r="Z46" s="5"/>
    </row>
    <row r="47" spans="1:26" ht="15.75" thickBot="1">
      <c r="A47" s="6"/>
      <c r="B47" s="102" t="s">
        <v>218</v>
      </c>
      <c r="C47" s="403">
        <f>SUM(C39:C43)</f>
        <v>10994525.19</v>
      </c>
      <c r="D47" s="103">
        <f>SUM(D39:D43)</f>
        <v>9333596.6</v>
      </c>
      <c r="E47" s="104"/>
      <c r="F47" s="611" t="str">
        <f ca="1">+IF((ROUND(C47,0)=ROUND(OFFSET(B33,0,RIGHT('Introducción de datos'!$C$16,LEN('Introducción de datos'!$C$16)-1),1,1),0)),"OK: Datos corresponden","Atención: Datos no corresponden")</f>
        <v>OK: Datos corresponden</v>
      </c>
      <c r="G47" s="611"/>
      <c r="H47" s="611"/>
      <c r="I47" s="611"/>
      <c r="J47" s="105"/>
      <c r="K47" s="105"/>
      <c r="L47" s="105"/>
      <c r="M47" s="106"/>
      <c r="N47" s="73"/>
      <c r="Y47" s="5"/>
      <c r="Z47" s="5"/>
    </row>
    <row r="48" spans="1:17" ht="15">
      <c r="A48" s="6"/>
      <c r="B48" s="6"/>
      <c r="C48" s="105"/>
      <c r="D48" s="105"/>
      <c r="E48" s="107"/>
      <c r="F48" s="105"/>
      <c r="G48" s="105"/>
      <c r="H48" s="105"/>
      <c r="I48" s="105"/>
      <c r="J48" s="105"/>
      <c r="K48" s="105"/>
      <c r="L48" s="105"/>
      <c r="M48" s="105"/>
      <c r="N48" s="105"/>
      <c r="O48" s="73"/>
      <c r="P48" s="61"/>
      <c r="Q48" s="62"/>
    </row>
    <row r="49" spans="1:17" ht="18.75">
      <c r="A49" s="6"/>
      <c r="B49" s="59" t="s">
        <v>219</v>
      </c>
      <c r="C49" s="6"/>
      <c r="D49" s="6"/>
      <c r="E49" s="6"/>
      <c r="F49" s="6"/>
      <c r="G49" s="6"/>
      <c r="H49" s="6"/>
      <c r="I49" s="6"/>
      <c r="J49" s="6"/>
      <c r="K49" s="6"/>
      <c r="L49" s="6"/>
      <c r="M49" s="6"/>
      <c r="O49" s="60"/>
      <c r="P49" s="61">
        <f>+J33</f>
        <v>0</v>
      </c>
      <c r="Q49" s="62"/>
    </row>
    <row r="50" spans="1:17" ht="15.75" thickBot="1">
      <c r="A50" s="6"/>
      <c r="B50" s="6"/>
      <c r="C50" s="6"/>
      <c r="D50" s="6"/>
      <c r="E50" s="6"/>
      <c r="F50" s="6"/>
      <c r="G50" s="6"/>
      <c r="H50" s="6"/>
      <c r="I50" s="6"/>
      <c r="J50" s="6"/>
      <c r="K50" s="6"/>
      <c r="L50" s="6"/>
      <c r="M50" s="6"/>
      <c r="O50" s="60"/>
      <c r="P50" s="61">
        <f>+K33</f>
        <v>0</v>
      </c>
      <c r="Q50" s="62"/>
    </row>
    <row r="51" spans="1:28" ht="46.5" customHeight="1">
      <c r="A51" s="6"/>
      <c r="B51" s="465"/>
      <c r="C51" s="466" t="s">
        <v>220</v>
      </c>
      <c r="D51" s="466" t="s">
        <v>221</v>
      </c>
      <c r="E51" s="467" t="str">
        <f>CONCATENATE("Total gastado y desembolso (en ",D26,")")</f>
        <v>Total gastado y desembolso (en $)</v>
      </c>
      <c r="F51" s="6"/>
      <c r="G51" s="108"/>
      <c r="H51" s="82"/>
      <c r="I51" s="109"/>
      <c r="J51" s="109"/>
      <c r="K51" s="109"/>
      <c r="L51" s="109"/>
      <c r="M51" s="110"/>
      <c r="N51" s="110"/>
      <c r="O51" s="61">
        <f>+M33</f>
        <v>0</v>
      </c>
      <c r="P51" s="62"/>
      <c r="AB51" s="49"/>
    </row>
    <row r="52" spans="1:28" ht="15">
      <c r="A52" s="6"/>
      <c r="B52" s="468" t="s">
        <v>222</v>
      </c>
      <c r="C52" s="463">
        <v>9439669</v>
      </c>
      <c r="D52" s="463">
        <v>649572</v>
      </c>
      <c r="E52" s="480">
        <f>+D52+C52</f>
        <v>10089241</v>
      </c>
      <c r="F52" s="6"/>
      <c r="G52" s="111"/>
      <c r="H52" s="112"/>
      <c r="I52" s="478"/>
      <c r="J52" s="114"/>
      <c r="K52" s="114"/>
      <c r="L52" s="115"/>
      <c r="M52" s="115"/>
      <c r="N52" s="115"/>
      <c r="O52" s="62"/>
      <c r="P52" s="62"/>
      <c r="AB52" s="49"/>
    </row>
    <row r="53" spans="1:28" ht="15">
      <c r="A53" s="6"/>
      <c r="B53" s="468" t="s">
        <v>223</v>
      </c>
      <c r="C53" s="463">
        <v>7717294</v>
      </c>
      <c r="D53" s="464">
        <f>880761.27+1003156.5</f>
        <v>1883917.77</v>
      </c>
      <c r="E53" s="480">
        <f>+D53+C53</f>
        <v>9601211.77</v>
      </c>
      <c r="F53" s="436"/>
      <c r="G53" s="435"/>
      <c r="H53" s="112"/>
      <c r="I53" s="113"/>
      <c r="J53" s="114"/>
      <c r="K53" s="114"/>
      <c r="L53" s="115"/>
      <c r="M53" s="117"/>
      <c r="N53" s="117"/>
      <c r="O53" s="62"/>
      <c r="P53" s="62"/>
      <c r="AB53" s="49"/>
    </row>
    <row r="54" spans="1:28" ht="15">
      <c r="A54" s="6"/>
      <c r="B54" s="468" t="s">
        <v>224</v>
      </c>
      <c r="C54" s="463">
        <v>3531797</v>
      </c>
      <c r="D54" s="464">
        <v>1003156.5</v>
      </c>
      <c r="E54" s="480">
        <f>+D54+C54</f>
        <v>4534953.5</v>
      </c>
      <c r="F54" s="6"/>
      <c r="G54" s="111"/>
      <c r="H54" s="112"/>
      <c r="I54" s="113"/>
      <c r="J54" s="114"/>
      <c r="K54" s="114"/>
      <c r="L54" s="115"/>
      <c r="M54" s="115"/>
      <c r="N54" s="115"/>
      <c r="AB54" s="49"/>
    </row>
    <row r="55" spans="1:28" ht="15">
      <c r="A55" s="6"/>
      <c r="B55" s="468" t="s">
        <v>225</v>
      </c>
      <c r="C55" s="463">
        <v>3423795</v>
      </c>
      <c r="D55" s="464">
        <v>843543.33</v>
      </c>
      <c r="E55" s="480">
        <f>+D55+C55</f>
        <v>4267338.33</v>
      </c>
      <c r="F55" s="6"/>
      <c r="G55" s="111"/>
      <c r="H55" s="112"/>
      <c r="I55" s="113"/>
      <c r="J55" s="114"/>
      <c r="K55" s="114"/>
      <c r="L55" s="115"/>
      <c r="M55" s="115"/>
      <c r="N55" s="115"/>
      <c r="AB55" s="49"/>
    </row>
    <row r="56" spans="1:28" ht="15.75" thickBot="1">
      <c r="A56" s="6"/>
      <c r="B56" s="469" t="s">
        <v>364</v>
      </c>
      <c r="C56" s="470"/>
      <c r="D56" s="471">
        <f>506901.84+25816.87+18556.28+47953.14+156819.48+11792.14-2366.47+3912.85+3153.04+1122.11-6896.04</f>
        <v>766765.2400000001</v>
      </c>
      <c r="E56" s="481">
        <f>+D56+C56</f>
        <v>766765.2400000001</v>
      </c>
      <c r="F56" s="436"/>
      <c r="G56" s="116"/>
      <c r="H56" s="118"/>
      <c r="I56" s="119"/>
      <c r="J56" s="119"/>
      <c r="K56" s="119"/>
      <c r="L56" s="115"/>
      <c r="M56" s="117"/>
      <c r="N56" s="117"/>
      <c r="AB56" s="49"/>
    </row>
    <row r="57" spans="1:29" ht="15.75" customHeight="1">
      <c r="A57" s="6"/>
      <c r="B57" s="462"/>
      <c r="C57" s="6"/>
      <c r="D57" s="6"/>
      <c r="E57" s="6"/>
      <c r="F57" s="6"/>
      <c r="G57" s="6"/>
      <c r="H57" s="6"/>
      <c r="I57" s="6"/>
      <c r="J57" s="6"/>
      <c r="K57" s="6"/>
      <c r="L57" s="6"/>
      <c r="M57" s="6"/>
      <c r="AC57" s="49"/>
    </row>
    <row r="58" spans="1:13" ht="15">
      <c r="A58" s="6"/>
      <c r="B58" s="462" t="s">
        <v>368</v>
      </c>
      <c r="C58" s="6"/>
      <c r="D58" s="6"/>
      <c r="E58" s="6"/>
      <c r="F58" s="6"/>
      <c r="G58" s="6"/>
      <c r="H58" s="6"/>
      <c r="I58" s="6"/>
      <c r="J58" s="6"/>
      <c r="K58" s="6"/>
      <c r="L58" s="6"/>
      <c r="M58" s="6"/>
    </row>
    <row r="59" spans="1:13" ht="15">
      <c r="A59" s="6"/>
      <c r="B59" s="461"/>
      <c r="C59" s="6"/>
      <c r="D59" s="6"/>
      <c r="E59" s="6"/>
      <c r="F59" s="6"/>
      <c r="G59" s="6"/>
      <c r="H59" s="6"/>
      <c r="I59" s="6"/>
      <c r="J59" s="6"/>
      <c r="K59" s="6"/>
      <c r="L59" s="6"/>
      <c r="M59" s="6"/>
    </row>
    <row r="60" spans="1:13" ht="18.75">
      <c r="A60" s="6"/>
      <c r="B60" s="59" t="s">
        <v>226</v>
      </c>
      <c r="C60" s="6"/>
      <c r="D60" s="6"/>
      <c r="E60" s="6"/>
      <c r="F60" s="6"/>
      <c r="G60" s="6"/>
      <c r="H60" s="6"/>
      <c r="I60" s="6"/>
      <c r="J60" s="6"/>
      <c r="K60" s="6"/>
      <c r="L60" s="6"/>
      <c r="M60" s="6"/>
    </row>
    <row r="61" spans="1:13" ht="15.75" thickBot="1">
      <c r="A61" s="6"/>
      <c r="B61" s="6"/>
      <c r="C61" s="6"/>
      <c r="D61" s="6"/>
      <c r="E61" s="6"/>
      <c r="F61" s="6"/>
      <c r="G61" s="6"/>
      <c r="H61" s="6"/>
      <c r="I61" s="6"/>
      <c r="J61" s="6"/>
      <c r="K61" s="6"/>
      <c r="L61" s="6"/>
      <c r="M61" s="6"/>
    </row>
    <row r="62" spans="1:13" ht="14.25" customHeight="1">
      <c r="A62" s="6"/>
      <c r="B62" s="612" t="s">
        <v>227</v>
      </c>
      <c r="C62" s="612"/>
      <c r="D62" s="612"/>
      <c r="E62" s="6"/>
      <c r="F62" s="6"/>
      <c r="G62" s="6"/>
      <c r="H62" s="6"/>
      <c r="I62" s="6"/>
      <c r="J62" s="6"/>
      <c r="K62" s="6"/>
      <c r="L62" s="6"/>
      <c r="M62" s="5"/>
    </row>
    <row r="63" spans="1:13" ht="15">
      <c r="A63" s="6"/>
      <c r="B63" s="120"/>
      <c r="C63" s="121" t="s">
        <v>228</v>
      </c>
      <c r="D63" s="122" t="s">
        <v>229</v>
      </c>
      <c r="E63" s="6"/>
      <c r="F63" s="6"/>
      <c r="G63" s="6"/>
      <c r="H63" s="6"/>
      <c r="I63" s="6"/>
      <c r="J63" s="6"/>
      <c r="K63" s="6"/>
      <c r="L63" s="6"/>
      <c r="M63" s="5"/>
    </row>
    <row r="64" spans="1:13" ht="15">
      <c r="A64" s="6"/>
      <c r="B64" s="123" t="s">
        <v>362</v>
      </c>
      <c r="C64" s="124">
        <v>45</v>
      </c>
      <c r="D64" s="125">
        <v>45</v>
      </c>
      <c r="E64" s="6"/>
      <c r="F64" s="6"/>
      <c r="G64" s="6"/>
      <c r="H64" s="6"/>
      <c r="I64" s="6"/>
      <c r="J64" s="6"/>
      <c r="K64" s="6"/>
      <c r="L64" s="6"/>
      <c r="M64" s="5"/>
    </row>
    <row r="65" spans="1:13" ht="15">
      <c r="A65" s="6"/>
      <c r="B65" s="126" t="s">
        <v>230</v>
      </c>
      <c r="C65" s="124">
        <v>45</v>
      </c>
      <c r="D65" s="125">
        <v>24</v>
      </c>
      <c r="E65" s="6"/>
      <c r="F65" s="6"/>
      <c r="G65" s="6"/>
      <c r="H65" s="112"/>
      <c r="I65" s="112"/>
      <c r="J65" s="6"/>
      <c r="K65" s="6"/>
      <c r="L65" s="6"/>
      <c r="M65" s="5"/>
    </row>
    <row r="66" spans="1:13" ht="15.75" thickBot="1">
      <c r="A66" s="6"/>
      <c r="B66" s="127" t="s">
        <v>231</v>
      </c>
      <c r="C66" s="128">
        <v>15</v>
      </c>
      <c r="D66" s="129">
        <v>15</v>
      </c>
      <c r="E66" s="6"/>
      <c r="F66" s="6"/>
      <c r="G66" s="6"/>
      <c r="H66" s="112"/>
      <c r="I66" s="112"/>
      <c r="J66" s="6"/>
      <c r="K66" s="6"/>
      <c r="L66" s="6"/>
      <c r="M66" s="5"/>
    </row>
    <row r="67" spans="1:13" ht="15">
      <c r="A67" s="6"/>
      <c r="B67" s="473" t="s">
        <v>369</v>
      </c>
      <c r="C67" s="6"/>
      <c r="D67" s="6"/>
      <c r="E67" s="6"/>
      <c r="F67" s="6"/>
      <c r="G67" s="6"/>
      <c r="H67" s="6"/>
      <c r="I67" s="6"/>
      <c r="J67" s="6"/>
      <c r="K67" s="6"/>
      <c r="L67" s="6"/>
      <c r="M67" s="6"/>
    </row>
    <row r="68" spans="1:24" ht="15.75" thickBot="1">
      <c r="A68" s="6"/>
      <c r="B68" s="6"/>
      <c r="C68" s="6"/>
      <c r="D68" s="6"/>
      <c r="E68" s="6"/>
      <c r="F68" s="6"/>
      <c r="G68" s="6"/>
      <c r="H68" s="6"/>
      <c r="I68" s="6"/>
      <c r="J68" s="6"/>
      <c r="K68" s="6"/>
      <c r="L68" s="130"/>
      <c r="M68" s="6"/>
      <c r="W68" s="10"/>
      <c r="X68" s="10"/>
    </row>
    <row r="69" spans="1:24" ht="19.5" thickBot="1">
      <c r="A69" s="6"/>
      <c r="B69" s="131" t="s">
        <v>232</v>
      </c>
      <c r="C69" s="132"/>
      <c r="D69" s="132"/>
      <c r="E69" s="132"/>
      <c r="F69" s="132"/>
      <c r="G69" s="132"/>
      <c r="H69" s="133" t="s">
        <v>233</v>
      </c>
      <c r="I69" s="132"/>
      <c r="J69" s="134"/>
      <c r="K69" s="134"/>
      <c r="L69" s="135"/>
      <c r="M69" s="136"/>
      <c r="N69" s="137"/>
      <c r="Q69" s="54"/>
      <c r="W69" s="10"/>
      <c r="X69" s="10"/>
    </row>
    <row r="70" spans="1:24" ht="18.75">
      <c r="A70" s="6"/>
      <c r="B70" s="138"/>
      <c r="C70" s="139"/>
      <c r="D70" s="139"/>
      <c r="E70" s="139"/>
      <c r="F70" s="139"/>
      <c r="G70" s="139"/>
      <c r="H70" s="139"/>
      <c r="I70" s="139"/>
      <c r="J70" s="139"/>
      <c r="K70" s="140"/>
      <c r="L70" s="140"/>
      <c r="M70" s="139"/>
      <c r="N70" s="137"/>
      <c r="Q70" s="54"/>
      <c r="W70" s="10"/>
      <c r="X70" s="10"/>
    </row>
    <row r="71" spans="1:24" ht="18.75">
      <c r="A71" s="6"/>
      <c r="B71" s="138" t="s">
        <v>234</v>
      </c>
      <c r="C71" s="139"/>
      <c r="D71" s="139"/>
      <c r="E71" s="139"/>
      <c r="F71" s="139"/>
      <c r="G71" s="139"/>
      <c r="H71" s="139"/>
      <c r="I71" s="139"/>
      <c r="J71" s="139"/>
      <c r="K71" s="140"/>
      <c r="L71" s="140"/>
      <c r="M71" s="139"/>
      <c r="N71" s="137"/>
      <c r="Q71" s="54"/>
      <c r="W71" s="10"/>
      <c r="X71" s="10"/>
    </row>
    <row r="72" spans="1:24" ht="15.75" thickBot="1">
      <c r="A72" s="6"/>
      <c r="B72" s="141"/>
      <c r="C72" s="142"/>
      <c r="D72" s="142"/>
      <c r="E72" s="142"/>
      <c r="F72" s="142"/>
      <c r="G72" s="142"/>
      <c r="H72" s="141"/>
      <c r="I72" s="142"/>
      <c r="J72" s="141"/>
      <c r="K72" s="141"/>
      <c r="L72" s="141"/>
      <c r="M72" s="141"/>
      <c r="N72" s="49"/>
      <c r="O72" s="10"/>
      <c r="P72" s="10"/>
      <c r="Q72" s="10"/>
      <c r="X72" s="10"/>
    </row>
    <row r="73" spans="1:17" ht="75">
      <c r="A73" s="6"/>
      <c r="B73" s="624"/>
      <c r="C73" s="624"/>
      <c r="D73" s="143" t="s">
        <v>235</v>
      </c>
      <c r="E73" s="144" t="s">
        <v>236</v>
      </c>
      <c r="F73" s="144" t="s">
        <v>237</v>
      </c>
      <c r="G73" s="145" t="s">
        <v>218</v>
      </c>
      <c r="H73" s="146"/>
      <c r="I73" s="147"/>
      <c r="J73" s="92"/>
      <c r="K73" s="141"/>
      <c r="L73" s="141"/>
      <c r="M73" s="141"/>
      <c r="N73" s="49"/>
      <c r="O73" s="10"/>
      <c r="P73" s="10"/>
      <c r="Q73" s="10"/>
    </row>
    <row r="74" spans="1:17" ht="15">
      <c r="A74" s="6"/>
      <c r="B74" s="625" t="s">
        <v>238</v>
      </c>
      <c r="C74" s="625"/>
      <c r="D74" s="149"/>
      <c r="E74" s="149">
        <v>0</v>
      </c>
      <c r="F74" s="149">
        <v>0</v>
      </c>
      <c r="G74" s="150">
        <f>SUM(D74:F74)</f>
        <v>0</v>
      </c>
      <c r="H74" s="96"/>
      <c r="I74" s="151"/>
      <c r="J74" s="151"/>
      <c r="K74" s="141"/>
      <c r="L74" s="141"/>
      <c r="M74" s="141"/>
      <c r="N74" s="49"/>
      <c r="O74" s="10"/>
      <c r="P74" s="10"/>
      <c r="Q74" s="10"/>
    </row>
    <row r="75" spans="1:17" ht="15.75" thickBot="1">
      <c r="A75" s="6"/>
      <c r="B75" s="608" t="s">
        <v>239</v>
      </c>
      <c r="C75" s="608"/>
      <c r="D75" s="153"/>
      <c r="E75" s="153">
        <v>0</v>
      </c>
      <c r="F75" s="153">
        <v>0</v>
      </c>
      <c r="G75" s="154">
        <f>SUM(D75:F75)</f>
        <v>0</v>
      </c>
      <c r="H75" s="96"/>
      <c r="I75" s="92"/>
      <c r="J75" s="92"/>
      <c r="K75" s="141"/>
      <c r="L75" s="141"/>
      <c r="M75" s="141"/>
      <c r="N75" s="10"/>
      <c r="O75" s="10"/>
      <c r="P75" s="10"/>
      <c r="Q75" s="10"/>
    </row>
    <row r="76" spans="1:17" ht="15">
      <c r="A76" s="6"/>
      <c r="B76" s="141"/>
      <c r="C76" s="141"/>
      <c r="D76" s="141"/>
      <c r="E76" s="141"/>
      <c r="F76" s="141"/>
      <c r="G76" s="141"/>
      <c r="H76" s="141"/>
      <c r="I76" s="141"/>
      <c r="J76" s="141"/>
      <c r="K76" s="141"/>
      <c r="L76" s="141"/>
      <c r="M76" s="141"/>
      <c r="N76" s="10"/>
      <c r="O76" s="10"/>
      <c r="P76" s="10"/>
      <c r="Q76" s="10"/>
    </row>
    <row r="77" spans="1:17" ht="15">
      <c r="A77" s="6"/>
      <c r="B77" s="141"/>
      <c r="C77" s="141"/>
      <c r="D77" s="141"/>
      <c r="E77" s="141"/>
      <c r="F77" s="141"/>
      <c r="G77" s="141"/>
      <c r="H77" s="141"/>
      <c r="I77" s="141"/>
      <c r="J77" s="141"/>
      <c r="K77" s="141"/>
      <c r="L77" s="141"/>
      <c r="M77" s="141"/>
      <c r="N77" s="10"/>
      <c r="Q77" s="10"/>
    </row>
    <row r="78" spans="1:17" ht="18.75">
      <c r="A78" s="6"/>
      <c r="B78" s="138" t="s">
        <v>240</v>
      </c>
      <c r="C78" s="141"/>
      <c r="D78" s="141"/>
      <c r="E78" s="141"/>
      <c r="F78" s="141"/>
      <c r="G78" s="141"/>
      <c r="H78" s="141"/>
      <c r="I78" s="141"/>
      <c r="J78" s="141"/>
      <c r="K78" s="141"/>
      <c r="L78" s="141"/>
      <c r="M78" s="141"/>
      <c r="N78" s="10"/>
      <c r="Q78" s="10"/>
    </row>
    <row r="79" spans="1:17" ht="15.75" thickBot="1">
      <c r="A79" s="6"/>
      <c r="B79" s="141"/>
      <c r="C79" s="141"/>
      <c r="D79" s="141"/>
      <c r="E79" s="141"/>
      <c r="F79" s="141"/>
      <c r="G79" s="141"/>
      <c r="H79" s="141"/>
      <c r="I79" s="141"/>
      <c r="J79" s="141"/>
      <c r="K79" s="141"/>
      <c r="L79" s="141"/>
      <c r="M79" s="141"/>
      <c r="N79" s="10"/>
      <c r="Q79" s="10"/>
    </row>
    <row r="80" spans="1:17" ht="15">
      <c r="A80" s="6"/>
      <c r="B80" s="155"/>
      <c r="C80" s="156" t="s">
        <v>241</v>
      </c>
      <c r="D80" s="156" t="s">
        <v>242</v>
      </c>
      <c r="E80" s="157" t="s">
        <v>243</v>
      </c>
      <c r="F80" s="92"/>
      <c r="G80" s="92"/>
      <c r="H80" s="92"/>
      <c r="I80" s="147"/>
      <c r="J80" s="141"/>
      <c r="K80" s="141"/>
      <c r="L80" s="141"/>
      <c r="M80" s="141"/>
      <c r="N80" s="10"/>
      <c r="Q80" s="10"/>
    </row>
    <row r="81" spans="1:17" ht="15.75" thickBot="1">
      <c r="A81" s="6"/>
      <c r="B81" s="152" t="s">
        <v>244</v>
      </c>
      <c r="C81" s="158">
        <v>6</v>
      </c>
      <c r="D81" s="158">
        <v>6</v>
      </c>
      <c r="E81" s="159">
        <f>+C81-D81</f>
        <v>0</v>
      </c>
      <c r="F81" s="160"/>
      <c r="G81" s="161"/>
      <c r="H81" s="92"/>
      <c r="I81" s="151"/>
      <c r="J81" s="141"/>
      <c r="K81" s="141"/>
      <c r="L81" s="141"/>
      <c r="M81" s="141"/>
      <c r="N81" s="10"/>
      <c r="Q81" s="10"/>
    </row>
    <row r="82" spans="1:17" ht="15">
      <c r="A82" s="6"/>
      <c r="B82" s="141"/>
      <c r="C82" s="141"/>
      <c r="D82" s="141"/>
      <c r="E82" s="141"/>
      <c r="F82" s="141"/>
      <c r="G82" s="141"/>
      <c r="H82" s="141"/>
      <c r="I82" s="141"/>
      <c r="J82" s="141"/>
      <c r="K82" s="141"/>
      <c r="L82" s="141"/>
      <c r="M82" s="141"/>
      <c r="N82" s="10"/>
      <c r="Q82" s="10"/>
    </row>
    <row r="83" spans="1:17" ht="18.75">
      <c r="A83" s="6"/>
      <c r="B83" s="138" t="s">
        <v>245</v>
      </c>
      <c r="C83" s="141"/>
      <c r="D83" s="141"/>
      <c r="E83" s="141"/>
      <c r="F83" s="141"/>
      <c r="G83" s="141"/>
      <c r="H83" s="141"/>
      <c r="I83" s="141"/>
      <c r="J83" s="141"/>
      <c r="K83" s="141"/>
      <c r="L83" s="141"/>
      <c r="M83" s="141"/>
      <c r="N83" s="10"/>
      <c r="Q83" s="10"/>
    </row>
    <row r="84" spans="1:17" ht="15.75" thickBot="1">
      <c r="A84" s="6"/>
      <c r="B84" s="141"/>
      <c r="C84" s="141"/>
      <c r="D84" s="141"/>
      <c r="E84" s="141"/>
      <c r="F84" s="141"/>
      <c r="G84" s="141"/>
      <c r="H84" s="141"/>
      <c r="I84" s="141"/>
      <c r="J84" s="141"/>
      <c r="K84" s="141"/>
      <c r="L84" s="141"/>
      <c r="M84" s="141"/>
      <c r="N84" s="10"/>
      <c r="Q84" s="10"/>
    </row>
    <row r="85" spans="1:17" ht="30">
      <c r="A85" s="6"/>
      <c r="B85" s="155"/>
      <c r="C85" s="156" t="s">
        <v>246</v>
      </c>
      <c r="D85" s="156" t="s">
        <v>247</v>
      </c>
      <c r="E85" s="156" t="s">
        <v>248</v>
      </c>
      <c r="F85" s="156" t="s">
        <v>249</v>
      </c>
      <c r="G85" s="162" t="s">
        <v>250</v>
      </c>
      <c r="H85" s="437"/>
      <c r="I85" s="147"/>
      <c r="J85" s="141"/>
      <c r="K85" s="141"/>
      <c r="L85" s="141"/>
      <c r="M85" s="141"/>
      <c r="N85" s="10"/>
      <c r="Q85" s="10"/>
    </row>
    <row r="86" spans="1:17" ht="15.75" thickBot="1">
      <c r="A86" s="6"/>
      <c r="B86" s="152" t="s">
        <v>251</v>
      </c>
      <c r="C86" s="158">
        <v>11</v>
      </c>
      <c r="D86" s="158">
        <v>11</v>
      </c>
      <c r="E86" s="158">
        <v>10</v>
      </c>
      <c r="F86" s="158">
        <v>10</v>
      </c>
      <c r="G86" s="163">
        <v>10</v>
      </c>
      <c r="H86" s="164"/>
      <c r="I86" s="96"/>
      <c r="J86" s="141"/>
      <c r="K86" s="141"/>
      <c r="L86" s="141"/>
      <c r="M86" s="141"/>
      <c r="N86" s="10"/>
      <c r="Q86" s="10"/>
    </row>
    <row r="87" spans="1:17" ht="15">
      <c r="A87" s="6"/>
      <c r="B87" s="141" t="s">
        <v>360</v>
      </c>
      <c r="C87" s="141"/>
      <c r="D87" s="141"/>
      <c r="E87" s="141"/>
      <c r="F87" s="141"/>
      <c r="G87" s="141"/>
      <c r="H87" s="141"/>
      <c r="J87" s="141"/>
      <c r="K87" s="141"/>
      <c r="L87" s="141"/>
      <c r="M87" s="141"/>
      <c r="N87" s="10"/>
      <c r="Q87" s="10"/>
    </row>
    <row r="88" spans="1:17" ht="18.75">
      <c r="A88" s="6"/>
      <c r="B88" s="138" t="s">
        <v>252</v>
      </c>
      <c r="C88" s="141"/>
      <c r="D88" s="141"/>
      <c r="E88" s="141"/>
      <c r="F88" s="141"/>
      <c r="G88" s="141"/>
      <c r="H88" s="141"/>
      <c r="I88" s="141"/>
      <c r="J88" s="141"/>
      <c r="K88" s="141"/>
      <c r="L88" s="141"/>
      <c r="M88" s="141"/>
      <c r="N88" s="10"/>
      <c r="Q88" s="10"/>
    </row>
    <row r="89" spans="1:17" ht="15.75" thickBot="1">
      <c r="A89" s="6"/>
      <c r="B89" s="141"/>
      <c r="C89" s="141"/>
      <c r="D89" s="141"/>
      <c r="E89" s="141"/>
      <c r="F89" s="141"/>
      <c r="G89" s="141"/>
      <c r="H89" s="141"/>
      <c r="I89" s="141"/>
      <c r="J89" s="141"/>
      <c r="K89" s="141"/>
      <c r="L89" s="141"/>
      <c r="M89" s="141"/>
      <c r="N89" s="10"/>
      <c r="Q89" s="10"/>
    </row>
    <row r="90" spans="1:30" ht="15">
      <c r="A90" s="6"/>
      <c r="B90" s="155"/>
      <c r="C90" s="165" t="s">
        <v>253</v>
      </c>
      <c r="D90" s="165" t="s">
        <v>254</v>
      </c>
      <c r="E90" s="166" t="s">
        <v>255</v>
      </c>
      <c r="F90" s="141"/>
      <c r="G90" s="141"/>
      <c r="H90" s="141"/>
      <c r="I90" s="141"/>
      <c r="J90" s="10"/>
      <c r="K90" s="10"/>
      <c r="L90" s="10"/>
      <c r="N90"/>
      <c r="AA90" s="5"/>
      <c r="AD90"/>
    </row>
    <row r="91" spans="1:30" ht="15">
      <c r="A91" s="6"/>
      <c r="B91" s="148" t="s">
        <v>256</v>
      </c>
      <c r="C91" s="149">
        <v>0</v>
      </c>
      <c r="D91" s="167">
        <v>0</v>
      </c>
      <c r="E91" s="168">
        <f>C91-D91</f>
        <v>0</v>
      </c>
      <c r="F91" s="141"/>
      <c r="G91" s="141"/>
      <c r="H91" s="141"/>
      <c r="I91" s="141"/>
      <c r="J91" s="10"/>
      <c r="K91" s="10"/>
      <c r="L91" s="10"/>
      <c r="N91"/>
      <c r="AA91" s="5"/>
      <c r="AD91"/>
    </row>
    <row r="92" spans="1:30" ht="15.75" thickBot="1">
      <c r="A92" s="6"/>
      <c r="B92" s="152" t="s">
        <v>322</v>
      </c>
      <c r="C92" s="153">
        <v>20</v>
      </c>
      <c r="D92" s="169">
        <v>20</v>
      </c>
      <c r="E92" s="168">
        <f>C92-D92</f>
        <v>0</v>
      </c>
      <c r="F92" s="141"/>
      <c r="G92" s="141"/>
      <c r="H92" s="141"/>
      <c r="I92" s="141"/>
      <c r="J92" s="10"/>
      <c r="K92" s="10"/>
      <c r="L92" s="10"/>
      <c r="N92"/>
      <c r="AA92" s="5"/>
      <c r="AD92"/>
    </row>
    <row r="93" spans="1:17" ht="15">
      <c r="A93" s="6"/>
      <c r="B93" s="141"/>
      <c r="C93" s="141"/>
      <c r="D93" s="141"/>
      <c r="E93" s="141"/>
      <c r="F93" s="141"/>
      <c r="G93" s="141"/>
      <c r="H93" s="141"/>
      <c r="I93" s="141"/>
      <c r="J93" s="141"/>
      <c r="K93" s="141"/>
      <c r="L93" s="141"/>
      <c r="M93" s="141"/>
      <c r="N93" s="10"/>
      <c r="Q93" s="10"/>
    </row>
    <row r="94" spans="1:17" ht="15">
      <c r="A94" s="6"/>
      <c r="B94" s="141"/>
      <c r="C94" s="141"/>
      <c r="D94" s="141"/>
      <c r="E94" s="141"/>
      <c r="F94" s="141"/>
      <c r="G94" s="141"/>
      <c r="H94" s="141"/>
      <c r="I94" s="141"/>
      <c r="J94" s="141"/>
      <c r="K94" s="141"/>
      <c r="L94" s="141"/>
      <c r="M94" s="141"/>
      <c r="N94" s="10"/>
      <c r="Q94" s="10"/>
    </row>
    <row r="95" spans="1:17" ht="18.75">
      <c r="A95" s="6"/>
      <c r="B95" s="138" t="s">
        <v>257</v>
      </c>
      <c r="C95" s="141"/>
      <c r="D95" s="141"/>
      <c r="E95" s="141"/>
      <c r="F95" s="141"/>
      <c r="G95" s="141"/>
      <c r="H95" s="141"/>
      <c r="I95" s="141"/>
      <c r="J95" s="141"/>
      <c r="K95" s="141"/>
      <c r="L95" s="141"/>
      <c r="M95" s="141"/>
      <c r="N95" s="10"/>
      <c r="Q95" s="10"/>
    </row>
    <row r="96" spans="1:17" ht="15.75" thickBot="1">
      <c r="A96" s="6"/>
      <c r="B96" s="141"/>
      <c r="C96" s="141"/>
      <c r="D96" s="141"/>
      <c r="E96" s="141"/>
      <c r="F96" s="141"/>
      <c r="G96" s="141"/>
      <c r="H96" s="141"/>
      <c r="I96" s="92"/>
      <c r="J96" s="92"/>
      <c r="K96" s="92"/>
      <c r="L96" s="92"/>
      <c r="M96" s="92"/>
      <c r="N96" s="49"/>
      <c r="Q96" s="10"/>
    </row>
    <row r="97" spans="1:17" ht="15">
      <c r="A97" s="6"/>
      <c r="B97" s="170"/>
      <c r="C97" s="171" t="s">
        <v>16</v>
      </c>
      <c r="D97" s="171" t="s">
        <v>17</v>
      </c>
      <c r="E97" s="171" t="s">
        <v>18</v>
      </c>
      <c r="F97" s="171" t="s">
        <v>19</v>
      </c>
      <c r="G97" s="171" t="s">
        <v>20</v>
      </c>
      <c r="H97" s="171" t="s">
        <v>21</v>
      </c>
      <c r="I97" s="171" t="s">
        <v>22</v>
      </c>
      <c r="J97" s="171" t="s">
        <v>23</v>
      </c>
      <c r="K97" s="171" t="s">
        <v>208</v>
      </c>
      <c r="L97" s="171" t="s">
        <v>209</v>
      </c>
      <c r="M97" s="171" t="s">
        <v>210</v>
      </c>
      <c r="N97" s="172" t="s">
        <v>192</v>
      </c>
      <c r="Q97" s="10"/>
    </row>
    <row r="98" spans="1:17" ht="15" customHeight="1">
      <c r="A98" s="6"/>
      <c r="B98" s="173" t="s">
        <v>258</v>
      </c>
      <c r="C98" s="174">
        <v>0</v>
      </c>
      <c r="D98" s="174">
        <v>160268</v>
      </c>
      <c r="E98" s="174">
        <v>0</v>
      </c>
      <c r="F98" s="174">
        <v>1029828</v>
      </c>
      <c r="G98" s="174">
        <v>12000</v>
      </c>
      <c r="H98" s="174"/>
      <c r="I98" s="174"/>
      <c r="J98" s="174"/>
      <c r="K98" s="175"/>
      <c r="L98" s="175"/>
      <c r="M98" s="175"/>
      <c r="N98" s="175"/>
      <c r="Q98" s="10"/>
    </row>
    <row r="99" spans="1:17" ht="15" customHeight="1">
      <c r="A99" s="6"/>
      <c r="B99" s="173" t="s">
        <v>259</v>
      </c>
      <c r="C99" s="174">
        <v>0</v>
      </c>
      <c r="D99" s="174">
        <v>0</v>
      </c>
      <c r="E99" s="174">
        <v>0</v>
      </c>
      <c r="F99" s="174">
        <v>48622</v>
      </c>
      <c r="G99" s="174"/>
      <c r="H99" s="174"/>
      <c r="I99" s="174"/>
      <c r="J99" s="174"/>
      <c r="K99" s="175"/>
      <c r="L99" s="175"/>
      <c r="M99" s="175"/>
      <c r="N99" s="175"/>
      <c r="Q99" s="10"/>
    </row>
    <row r="100" spans="1:17" ht="15" customHeight="1">
      <c r="A100" s="6"/>
      <c r="B100" s="173" t="s">
        <v>260</v>
      </c>
      <c r="C100" s="174"/>
      <c r="D100" s="174">
        <v>160268</v>
      </c>
      <c r="E100" s="174">
        <v>0</v>
      </c>
      <c r="F100" s="174">
        <v>696105</v>
      </c>
      <c r="G100" s="174">
        <v>62223</v>
      </c>
      <c r="H100" s="174"/>
      <c r="I100" s="174"/>
      <c r="J100" s="174"/>
      <c r="K100" s="175"/>
      <c r="L100" s="175"/>
      <c r="M100" s="175"/>
      <c r="N100" s="175"/>
      <c r="Q100" s="10"/>
    </row>
    <row r="101" spans="1:17" ht="15" customHeight="1">
      <c r="A101" s="6"/>
      <c r="B101" s="176" t="s">
        <v>261</v>
      </c>
      <c r="C101" s="177">
        <f>+C98</f>
        <v>0</v>
      </c>
      <c r="D101" s="177">
        <f>+C101+D98</f>
        <v>160268</v>
      </c>
      <c r="E101" s="177">
        <f aca="true" t="shared" si="3" ref="E101:L101">+D101+E98</f>
        <v>160268</v>
      </c>
      <c r="F101" s="177">
        <f t="shared" si="3"/>
        <v>1190096</v>
      </c>
      <c r="G101" s="177">
        <f t="shared" si="3"/>
        <v>1202096</v>
      </c>
      <c r="H101" s="177">
        <f t="shared" si="3"/>
        <v>1202096</v>
      </c>
      <c r="I101" s="177">
        <f t="shared" si="3"/>
        <v>1202096</v>
      </c>
      <c r="J101" s="177">
        <f t="shared" si="3"/>
        <v>1202096</v>
      </c>
      <c r="K101" s="177">
        <f t="shared" si="3"/>
        <v>1202096</v>
      </c>
      <c r="L101" s="177">
        <f t="shared" si="3"/>
        <v>1202096</v>
      </c>
      <c r="M101" s="178">
        <f aca="true" t="shared" si="4" ref="M101:N103">+L101+M98</f>
        <v>1202096</v>
      </c>
      <c r="N101" s="178">
        <f t="shared" si="4"/>
        <v>1202096</v>
      </c>
      <c r="Q101" s="10"/>
    </row>
    <row r="102" spans="1:17" ht="15" customHeight="1">
      <c r="A102" s="6"/>
      <c r="B102" s="176" t="s">
        <v>262</v>
      </c>
      <c r="C102" s="177">
        <f>+C99</f>
        <v>0</v>
      </c>
      <c r="D102" s="177">
        <f aca="true" t="shared" si="5" ref="D102:L102">+C102+D99</f>
        <v>0</v>
      </c>
      <c r="E102" s="177">
        <f>+D102+E99</f>
        <v>0</v>
      </c>
      <c r="F102" s="177">
        <f t="shared" si="5"/>
        <v>48622</v>
      </c>
      <c r="G102" s="177">
        <f t="shared" si="5"/>
        <v>48622</v>
      </c>
      <c r="H102" s="177">
        <f t="shared" si="5"/>
        <v>48622</v>
      </c>
      <c r="I102" s="177">
        <f t="shared" si="5"/>
        <v>48622</v>
      </c>
      <c r="J102" s="177">
        <f t="shared" si="5"/>
        <v>48622</v>
      </c>
      <c r="K102" s="177">
        <f t="shared" si="5"/>
        <v>48622</v>
      </c>
      <c r="L102" s="177">
        <f t="shared" si="5"/>
        <v>48622</v>
      </c>
      <c r="M102" s="178">
        <f t="shared" si="4"/>
        <v>48622</v>
      </c>
      <c r="N102" s="178">
        <f t="shared" si="4"/>
        <v>48622</v>
      </c>
      <c r="Q102" s="10"/>
    </row>
    <row r="103" spans="1:17" ht="15">
      <c r="A103" s="6"/>
      <c r="B103" s="179" t="s">
        <v>263</v>
      </c>
      <c r="C103" s="180">
        <f>+C100</f>
        <v>0</v>
      </c>
      <c r="D103" s="177">
        <f aca="true" t="shared" si="6" ref="D103:L103">+C103+D100</f>
        <v>160268</v>
      </c>
      <c r="E103" s="177">
        <f t="shared" si="6"/>
        <v>160268</v>
      </c>
      <c r="F103" s="177">
        <f t="shared" si="6"/>
        <v>856373</v>
      </c>
      <c r="G103" s="177">
        <f t="shared" si="6"/>
        <v>918596</v>
      </c>
      <c r="H103" s="177">
        <f t="shared" si="6"/>
        <v>918596</v>
      </c>
      <c r="I103" s="177">
        <f t="shared" si="6"/>
        <v>918596</v>
      </c>
      <c r="J103" s="177">
        <f t="shared" si="6"/>
        <v>918596</v>
      </c>
      <c r="K103" s="177">
        <f t="shared" si="6"/>
        <v>918596</v>
      </c>
      <c r="L103" s="177">
        <f t="shared" si="6"/>
        <v>918596</v>
      </c>
      <c r="M103" s="178">
        <f t="shared" si="4"/>
        <v>918596</v>
      </c>
      <c r="N103" s="178">
        <f t="shared" si="4"/>
        <v>918596</v>
      </c>
      <c r="Q103" s="10"/>
    </row>
    <row r="104" spans="1:17" ht="15">
      <c r="A104" s="6"/>
      <c r="B104" s="6"/>
      <c r="C104" s="141"/>
      <c r="D104" s="141"/>
      <c r="E104" s="438"/>
      <c r="F104" s="141"/>
      <c r="G104" s="141"/>
      <c r="H104" s="141"/>
      <c r="I104" s="92"/>
      <c r="J104" s="181"/>
      <c r="K104" s="182"/>
      <c r="L104" s="92"/>
      <c r="M104" s="183"/>
      <c r="N104" s="49"/>
      <c r="Q104" s="10"/>
    </row>
    <row r="105" spans="1:17" ht="15">
      <c r="A105" s="6"/>
      <c r="B105" s="184" t="s">
        <v>264</v>
      </c>
      <c r="C105" s="141"/>
      <c r="D105" s="141"/>
      <c r="E105" s="141"/>
      <c r="F105" s="141"/>
      <c r="G105" s="141"/>
      <c r="H105" s="141"/>
      <c r="I105" s="92"/>
      <c r="J105" s="181"/>
      <c r="K105" s="182"/>
      <c r="L105" s="92"/>
      <c r="M105" s="183"/>
      <c r="N105" s="49"/>
      <c r="Q105" s="10"/>
    </row>
    <row r="106" spans="1:17" ht="15">
      <c r="A106" s="6"/>
      <c r="B106" s="476" t="s">
        <v>363</v>
      </c>
      <c r="C106" s="141"/>
      <c r="D106" s="141"/>
      <c r="E106" s="141"/>
      <c r="F106" s="141"/>
      <c r="G106" s="141"/>
      <c r="H106" s="141"/>
      <c r="I106" s="92"/>
      <c r="J106" s="181"/>
      <c r="K106" s="183"/>
      <c r="L106" s="92"/>
      <c r="M106" s="183"/>
      <c r="N106" s="49"/>
      <c r="Q106" s="10"/>
    </row>
    <row r="107" spans="1:14" ht="15">
      <c r="A107" s="6"/>
      <c r="B107" s="6"/>
      <c r="C107" s="6"/>
      <c r="D107" s="6"/>
      <c r="E107" s="6"/>
      <c r="F107" s="6"/>
      <c r="G107" s="6"/>
      <c r="H107" s="6"/>
      <c r="I107" s="92"/>
      <c r="J107" s="92"/>
      <c r="K107" s="92"/>
      <c r="L107" s="92"/>
      <c r="M107" s="92"/>
      <c r="N107" s="49"/>
    </row>
    <row r="108" spans="1:14" ht="18.75">
      <c r="A108" s="6"/>
      <c r="B108" s="138" t="s">
        <v>265</v>
      </c>
      <c r="C108" s="6"/>
      <c r="D108" s="6"/>
      <c r="E108" s="6"/>
      <c r="F108" s="6"/>
      <c r="G108" s="6"/>
      <c r="H108" s="6"/>
      <c r="I108" s="92"/>
      <c r="J108" s="92"/>
      <c r="K108" s="92"/>
      <c r="L108" s="92"/>
      <c r="M108" s="92"/>
      <c r="N108" s="49"/>
    </row>
    <row r="109" spans="1:17" ht="15.75" thickBot="1">
      <c r="A109" s="6"/>
      <c r="B109" s="6"/>
      <c r="C109" s="92"/>
      <c r="D109" s="92"/>
      <c r="E109" s="92"/>
      <c r="F109" s="92"/>
      <c r="G109" s="141"/>
      <c r="H109" s="141"/>
      <c r="I109" s="141"/>
      <c r="J109" s="92"/>
      <c r="K109" s="141"/>
      <c r="L109" s="92"/>
      <c r="M109" s="92"/>
      <c r="N109" s="49"/>
      <c r="O109" s="10"/>
      <c r="Q109" s="49"/>
    </row>
    <row r="110" spans="1:16" ht="121.5" customHeight="1">
      <c r="A110" s="6"/>
      <c r="B110" s="446" t="s">
        <v>266</v>
      </c>
      <c r="C110" s="447" t="s">
        <v>267</v>
      </c>
      <c r="D110" s="448" t="s">
        <v>379</v>
      </c>
      <c r="E110" s="448" t="s">
        <v>383</v>
      </c>
      <c r="F110" s="449" t="s">
        <v>384</v>
      </c>
      <c r="G110" s="491" t="s">
        <v>385</v>
      </c>
      <c r="H110" s="474" t="s">
        <v>342</v>
      </c>
      <c r="I110" s="449" t="s">
        <v>386</v>
      </c>
      <c r="J110" s="474" t="s">
        <v>344</v>
      </c>
      <c r="K110" s="475" t="s">
        <v>268</v>
      </c>
      <c r="L110" s="141"/>
      <c r="M110" s="49"/>
      <c r="N110" s="49"/>
      <c r="P110" s="49"/>
    </row>
    <row r="111" spans="1:16" ht="29.25" customHeight="1" thickBot="1">
      <c r="A111" s="6"/>
      <c r="B111" s="560" t="s">
        <v>45</v>
      </c>
      <c r="C111" s="442" t="s">
        <v>350</v>
      </c>
      <c r="D111" s="440">
        <v>60</v>
      </c>
      <c r="E111" s="440">
        <v>120</v>
      </c>
      <c r="F111" s="489">
        <v>2861</v>
      </c>
      <c r="G111" s="492">
        <v>761828</v>
      </c>
      <c r="H111" s="614">
        <v>7295127</v>
      </c>
      <c r="I111" s="564">
        <f>IF(AND((G111+G112+G113)&gt;0,H111&gt;0),H111/(G111+G112+G113),"")*6</f>
        <v>10.645621763289952</v>
      </c>
      <c r="J111" s="617">
        <v>5</v>
      </c>
      <c r="K111" s="562">
        <f>IF(AND(I111&gt;0,J111&gt;0),I111-J111,"")</f>
        <v>5.645621763289952</v>
      </c>
      <c r="L111" s="633"/>
      <c r="M111" s="633"/>
      <c r="N111" s="49"/>
      <c r="P111" s="49"/>
    </row>
    <row r="112" spans="1:16" ht="30.75" thickBot="1">
      <c r="A112" s="6"/>
      <c r="B112" s="560"/>
      <c r="C112" s="442" t="s">
        <v>351</v>
      </c>
      <c r="D112" s="440">
        <v>288</v>
      </c>
      <c r="E112" s="440">
        <v>576</v>
      </c>
      <c r="F112" s="489">
        <v>2771</v>
      </c>
      <c r="G112" s="492">
        <v>3216887</v>
      </c>
      <c r="H112" s="557"/>
      <c r="I112" s="565" t="e">
        <f>IF(AND(G112&gt;0,H112&gt;0),H112/G112,"")*12</f>
        <v>#VALUE!</v>
      </c>
      <c r="J112" s="559"/>
      <c r="K112" s="563"/>
      <c r="L112" s="633"/>
      <c r="M112" s="633"/>
      <c r="N112" s="49"/>
      <c r="P112" s="49"/>
    </row>
    <row r="113" spans="1:16" ht="31.5" customHeight="1" thickBot="1">
      <c r="A113" s="6"/>
      <c r="B113" s="560"/>
      <c r="C113" s="442" t="s">
        <v>352</v>
      </c>
      <c r="D113" s="440">
        <v>72</v>
      </c>
      <c r="E113" s="440">
        <v>144</v>
      </c>
      <c r="F113" s="489">
        <v>414</v>
      </c>
      <c r="G113" s="492">
        <v>132906</v>
      </c>
      <c r="H113" s="615"/>
      <c r="I113" s="616" t="e">
        <f>IF(AND(G113&gt;0,H113&gt;0),H113/G113,"")*12</f>
        <v>#VALUE!</v>
      </c>
      <c r="J113" s="618"/>
      <c r="K113" s="619"/>
      <c r="L113" s="633"/>
      <c r="M113" s="633"/>
      <c r="N113" s="49"/>
      <c r="P113" s="49"/>
    </row>
    <row r="114" spans="1:14" ht="30.75" thickBot="1">
      <c r="A114" s="6"/>
      <c r="B114" s="560"/>
      <c r="C114" s="442" t="s">
        <v>332</v>
      </c>
      <c r="D114" s="486">
        <v>9</v>
      </c>
      <c r="E114" s="440">
        <v>18</v>
      </c>
      <c r="F114" s="489">
        <v>2771</v>
      </c>
      <c r="G114" s="492">
        <v>96069</v>
      </c>
      <c r="H114" s="490">
        <v>185039</v>
      </c>
      <c r="I114" s="472">
        <f>IF(AND(G114&gt;0,H114&gt;0),H114/G114,"")*6</f>
        <v>11.556631171345595</v>
      </c>
      <c r="J114" s="405">
        <v>5</v>
      </c>
      <c r="K114" s="450">
        <f>IF(AND(I114&gt;0,J114&gt;0),I114-J114,"")</f>
        <v>6.556631171345595</v>
      </c>
      <c r="L114" s="141"/>
      <c r="M114" s="49"/>
      <c r="N114" s="49"/>
    </row>
    <row r="115" spans="1:14" ht="15.75" thickBot="1">
      <c r="A115" s="6"/>
      <c r="B115" s="560"/>
      <c r="C115" s="442" t="s">
        <v>353</v>
      </c>
      <c r="D115" s="440"/>
      <c r="E115" s="440">
        <v>1</v>
      </c>
      <c r="F115" s="489">
        <v>5466</v>
      </c>
      <c r="G115" s="493">
        <f>IF(AND(E115&gt;0,F115&gt;0),(F115*E115),"")</f>
        <v>5466</v>
      </c>
      <c r="H115" s="490">
        <v>1134</v>
      </c>
      <c r="I115" s="472">
        <f>IF(AND(G115&gt;0,H115&gt;0),H115/G115,"")*12</f>
        <v>2.4895718990120748</v>
      </c>
      <c r="J115" s="405">
        <v>5</v>
      </c>
      <c r="K115" s="450">
        <f>IF(AND(I115&gt;0,J115&gt;0),I115-J115,"")</f>
        <v>-2.5104281009879252</v>
      </c>
      <c r="L115" s="141"/>
      <c r="M115" s="49"/>
      <c r="N115" s="49"/>
    </row>
    <row r="116" spans="1:16" ht="15.75" thickBot="1">
      <c r="A116" s="6"/>
      <c r="B116" s="560"/>
      <c r="C116" s="443" t="s">
        <v>345</v>
      </c>
      <c r="D116" s="440">
        <v>4</v>
      </c>
      <c r="E116" s="440">
        <v>9</v>
      </c>
      <c r="F116" s="489">
        <v>2771</v>
      </c>
      <c r="G116" s="492">
        <v>36477</v>
      </c>
      <c r="H116" s="490">
        <v>137000</v>
      </c>
      <c r="I116" s="472">
        <f>IF(AND(G116&gt;0,H116&gt;0),H116/G116,"")*6</f>
        <v>22.53474792334896</v>
      </c>
      <c r="J116" s="405">
        <v>5</v>
      </c>
      <c r="K116" s="450">
        <f>IF(AND(I116&gt;0,J116&gt;0),I116-J116,"")</f>
        <v>17.53474792334896</v>
      </c>
      <c r="L116" s="141"/>
      <c r="M116" s="49"/>
      <c r="N116" s="49"/>
      <c r="P116" s="49"/>
    </row>
    <row r="117" spans="1:16" ht="30.75" thickBot="1">
      <c r="A117" s="6"/>
      <c r="B117" s="560"/>
      <c r="C117" s="444" t="s">
        <v>354</v>
      </c>
      <c r="D117" s="440">
        <v>2</v>
      </c>
      <c r="E117" s="440">
        <v>5</v>
      </c>
      <c r="F117" s="489">
        <v>2861</v>
      </c>
      <c r="G117" s="492">
        <v>32540</v>
      </c>
      <c r="H117" s="556">
        <v>172881</v>
      </c>
      <c r="I117" s="564">
        <f>IF(AND((G117+G118+G119)&gt;0,H117&gt;0),H117/(G117+G118+G119),"")*6</f>
        <v>19.290089822029643</v>
      </c>
      <c r="J117" s="558">
        <v>5</v>
      </c>
      <c r="K117" s="562">
        <f>IF(AND(I117&gt;0,J117&gt;0),I117-J117,"")</f>
        <v>14.290089822029643</v>
      </c>
      <c r="L117" s="141"/>
      <c r="M117" s="49"/>
      <c r="N117" s="49"/>
      <c r="P117" s="49"/>
    </row>
    <row r="118" spans="1:16" ht="33" customHeight="1" thickBot="1">
      <c r="A118" s="6"/>
      <c r="B118" s="560"/>
      <c r="C118" s="444" t="s">
        <v>355</v>
      </c>
      <c r="D118" s="440">
        <v>2</v>
      </c>
      <c r="E118" s="441">
        <v>4</v>
      </c>
      <c r="F118" s="489">
        <v>2771</v>
      </c>
      <c r="G118" s="492">
        <v>15641</v>
      </c>
      <c r="H118" s="557"/>
      <c r="I118" s="565" t="e">
        <f>IF(AND(G118&gt;0,H118&gt;0),H118/G118,"")*12</f>
        <v>#VALUE!</v>
      </c>
      <c r="J118" s="559"/>
      <c r="K118" s="563"/>
      <c r="L118" s="141"/>
      <c r="M118" s="439"/>
      <c r="N118" s="49"/>
      <c r="P118" s="49"/>
    </row>
    <row r="119" spans="1:16" ht="30.75" thickBot="1">
      <c r="A119" s="6"/>
      <c r="B119" s="560"/>
      <c r="C119" s="444" t="s">
        <v>356</v>
      </c>
      <c r="D119" s="440">
        <v>3</v>
      </c>
      <c r="E119" s="441">
        <v>6</v>
      </c>
      <c r="F119" s="489">
        <v>414</v>
      </c>
      <c r="G119" s="492">
        <v>5592</v>
      </c>
      <c r="H119" s="557"/>
      <c r="I119" s="565" t="e">
        <f>IF(AND(G119&gt;0,H119&gt;0),H119/G119,"")*12</f>
        <v>#VALUE!</v>
      </c>
      <c r="J119" s="559"/>
      <c r="K119" s="563"/>
      <c r="L119" s="141"/>
      <c r="M119" s="49"/>
      <c r="N119" s="49"/>
      <c r="P119" s="49"/>
    </row>
    <row r="120" spans="1:16" ht="30.75" thickBot="1">
      <c r="A120" s="6"/>
      <c r="B120" s="560"/>
      <c r="C120" s="445" t="s">
        <v>357</v>
      </c>
      <c r="D120" s="440">
        <v>4</v>
      </c>
      <c r="E120" s="441">
        <v>8</v>
      </c>
      <c r="F120" s="489">
        <v>2861</v>
      </c>
      <c r="G120" s="492">
        <v>51696</v>
      </c>
      <c r="H120" s="547">
        <v>270856</v>
      </c>
      <c r="I120" s="549">
        <f>IF(AND((G120+G121+G122)&gt;0,H120&gt;0),H120/(G120+G121+G122),"")*6</f>
        <v>14.762422106353213</v>
      </c>
      <c r="J120" s="551">
        <v>5</v>
      </c>
      <c r="K120" s="553">
        <f>IF(AND(I120&gt;0,J120&gt;0),I120-J120,"")</f>
        <v>9.762422106353213</v>
      </c>
      <c r="L120" s="141"/>
      <c r="M120" s="49"/>
      <c r="N120" s="49"/>
      <c r="P120" s="49"/>
    </row>
    <row r="121" spans="1:16" ht="30.75" thickBot="1">
      <c r="A121" s="6"/>
      <c r="B121" s="560"/>
      <c r="C121" s="445" t="s">
        <v>358</v>
      </c>
      <c r="D121" s="440">
        <v>4</v>
      </c>
      <c r="E121" s="441">
        <v>9</v>
      </c>
      <c r="F121" s="489">
        <v>2771</v>
      </c>
      <c r="G121" s="492">
        <v>50086</v>
      </c>
      <c r="H121" s="547"/>
      <c r="I121" s="549"/>
      <c r="J121" s="551"/>
      <c r="K121" s="553"/>
      <c r="L121" s="141"/>
      <c r="M121" s="49"/>
      <c r="N121" s="49"/>
      <c r="P121" s="49"/>
    </row>
    <row r="122" spans="1:16" ht="30.75" thickBot="1">
      <c r="A122" s="6"/>
      <c r="B122" s="561"/>
      <c r="C122" s="451" t="s">
        <v>359</v>
      </c>
      <c r="D122" s="452">
        <v>4</v>
      </c>
      <c r="E122" s="452">
        <v>9</v>
      </c>
      <c r="F122" s="495">
        <v>414</v>
      </c>
      <c r="G122" s="496">
        <v>8304</v>
      </c>
      <c r="H122" s="548"/>
      <c r="I122" s="550"/>
      <c r="J122" s="552"/>
      <c r="K122" s="554"/>
      <c r="L122" s="141"/>
      <c r="M122" s="49"/>
      <c r="N122" s="49"/>
      <c r="P122" s="49"/>
    </row>
    <row r="123" spans="1:17" ht="15">
      <c r="A123" s="6"/>
      <c r="B123" s="6" t="s">
        <v>387</v>
      </c>
      <c r="C123" s="6"/>
      <c r="D123" s="185"/>
      <c r="E123" s="6"/>
      <c r="F123" s="6"/>
      <c r="G123" s="141"/>
      <c r="H123" s="141"/>
      <c r="I123" s="141"/>
      <c r="J123" s="6"/>
      <c r="K123" s="6"/>
      <c r="L123" s="141"/>
      <c r="M123" s="141"/>
      <c r="N123" s="49"/>
      <c r="O123" s="10"/>
      <c r="Q123" s="49"/>
    </row>
    <row r="124" spans="1:13" ht="35.25" customHeight="1">
      <c r="A124" s="6"/>
      <c r="B124" s="555" t="s">
        <v>388</v>
      </c>
      <c r="C124" s="555"/>
      <c r="L124" s="6"/>
      <c r="M124" s="6"/>
    </row>
    <row r="125" spans="1:15" ht="19.5" thickBot="1">
      <c r="A125" s="6"/>
      <c r="B125" s="186" t="s">
        <v>273</v>
      </c>
      <c r="C125" s="187"/>
      <c r="D125" s="187"/>
      <c r="E125" s="188"/>
      <c r="F125" s="188"/>
      <c r="G125" s="188"/>
      <c r="H125" s="189"/>
      <c r="I125" s="190"/>
      <c r="J125" s="191"/>
      <c r="K125" s="192" t="s">
        <v>274</v>
      </c>
      <c r="L125" s="188"/>
      <c r="M125" s="193"/>
      <c r="N125" s="194"/>
      <c r="O125" s="5"/>
    </row>
    <row r="126" spans="1:15" ht="15.75" thickBot="1">
      <c r="A126" s="6"/>
      <c r="B126" s="6"/>
      <c r="C126" s="6"/>
      <c r="D126" s="6"/>
      <c r="E126" s="6"/>
      <c r="F126" s="6"/>
      <c r="G126" s="6"/>
      <c r="H126" s="6"/>
      <c r="I126" s="6"/>
      <c r="J126" s="6"/>
      <c r="K126" s="6"/>
      <c r="L126" s="6"/>
      <c r="M126" s="6"/>
      <c r="N126"/>
      <c r="O126" s="5"/>
    </row>
    <row r="127" spans="1:17" ht="25.5">
      <c r="A127" s="6"/>
      <c r="B127" s="613" t="s">
        <v>275</v>
      </c>
      <c r="C127" s="613"/>
      <c r="D127" s="613"/>
      <c r="E127" s="195" t="s">
        <v>276</v>
      </c>
      <c r="F127" s="196" t="s">
        <v>277</v>
      </c>
      <c r="G127" s="197"/>
      <c r="H127" s="198" t="s">
        <v>16</v>
      </c>
      <c r="I127" s="198" t="s">
        <v>17</v>
      </c>
      <c r="J127" s="198" t="s">
        <v>18</v>
      </c>
      <c r="K127" s="198" t="s">
        <v>19</v>
      </c>
      <c r="L127" s="198" t="s">
        <v>20</v>
      </c>
      <c r="M127" s="198" t="s">
        <v>21</v>
      </c>
      <c r="N127" s="198" t="s">
        <v>22</v>
      </c>
      <c r="O127" s="198" t="s">
        <v>23</v>
      </c>
      <c r="P127" s="198" t="s">
        <v>208</v>
      </c>
      <c r="Q127" s="198" t="s">
        <v>209</v>
      </c>
    </row>
    <row r="128" spans="1:17" ht="15">
      <c r="A128" s="6"/>
      <c r="B128" s="199"/>
      <c r="C128" s="200"/>
      <c r="D128" s="200"/>
      <c r="E128" s="201"/>
      <c r="F128" s="202"/>
      <c r="G128" s="203"/>
      <c r="H128" s="407"/>
      <c r="I128" s="407"/>
      <c r="J128" s="407"/>
      <c r="K128" s="407"/>
      <c r="L128" s="407"/>
      <c r="M128" s="407"/>
      <c r="N128" s="407"/>
      <c r="O128" s="407"/>
      <c r="P128" s="407"/>
      <c r="Q128" s="408"/>
    </row>
    <row r="129" spans="1:17" ht="15" customHeight="1">
      <c r="A129" s="607" t="s">
        <v>278</v>
      </c>
      <c r="B129" s="589" t="s">
        <v>324</v>
      </c>
      <c r="C129" s="590"/>
      <c r="D129" s="591"/>
      <c r="E129" s="579" t="s">
        <v>330</v>
      </c>
      <c r="F129" s="581" t="s">
        <v>279</v>
      </c>
      <c r="G129" s="416" t="s">
        <v>280</v>
      </c>
      <c r="H129" s="204">
        <v>1558</v>
      </c>
      <c r="I129" s="204">
        <v>2336</v>
      </c>
      <c r="J129" s="204">
        <v>2878</v>
      </c>
      <c r="K129" s="410">
        <v>6254</v>
      </c>
      <c r="L129" s="205">
        <v>6923</v>
      </c>
      <c r="M129" s="409"/>
      <c r="N129" s="418"/>
      <c r="O129" s="418"/>
      <c r="P129" s="411"/>
      <c r="Q129" s="411"/>
    </row>
    <row r="130" spans="1:17" ht="15">
      <c r="A130" s="607"/>
      <c r="B130" s="592"/>
      <c r="C130" s="593"/>
      <c r="D130" s="594"/>
      <c r="E130" s="580"/>
      <c r="F130" s="582"/>
      <c r="G130" s="416" t="s">
        <v>281</v>
      </c>
      <c r="H130" s="204">
        <v>155</v>
      </c>
      <c r="I130" s="204">
        <v>3973</v>
      </c>
      <c r="J130" s="204">
        <v>3198</v>
      </c>
      <c r="K130" s="410">
        <v>6892</v>
      </c>
      <c r="L130" s="204">
        <v>6181</v>
      </c>
      <c r="M130" s="409"/>
      <c r="N130" s="418"/>
      <c r="O130" s="418"/>
      <c r="P130" s="411"/>
      <c r="Q130" s="411"/>
    </row>
    <row r="131" spans="1:17" ht="15" customHeight="1">
      <c r="A131" s="607"/>
      <c r="B131" s="583" t="s">
        <v>325</v>
      </c>
      <c r="C131" s="584"/>
      <c r="D131" s="585"/>
      <c r="E131" s="579" t="s">
        <v>330</v>
      </c>
      <c r="F131" s="581" t="s">
        <v>279</v>
      </c>
      <c r="G131" s="417" t="s">
        <v>280</v>
      </c>
      <c r="H131" s="204">
        <v>1171</v>
      </c>
      <c r="I131" s="204">
        <v>1175</v>
      </c>
      <c r="J131" s="204">
        <v>2196</v>
      </c>
      <c r="K131" s="410">
        <v>4754</v>
      </c>
      <c r="L131" s="204">
        <v>5324</v>
      </c>
      <c r="M131" s="409"/>
      <c r="N131" s="419"/>
      <c r="O131" s="419"/>
      <c r="P131" s="412"/>
      <c r="Q131" s="412"/>
    </row>
    <row r="132" spans="1:17" ht="15">
      <c r="A132" s="607"/>
      <c r="B132" s="586"/>
      <c r="C132" s="587"/>
      <c r="D132" s="588"/>
      <c r="E132" s="580"/>
      <c r="F132" s="582"/>
      <c r="G132" s="417" t="s">
        <v>281</v>
      </c>
      <c r="H132" s="204">
        <v>44</v>
      </c>
      <c r="I132" s="204">
        <v>2918</v>
      </c>
      <c r="J132" s="204">
        <v>2582</v>
      </c>
      <c r="K132" s="410">
        <v>4017</v>
      </c>
      <c r="L132" s="204">
        <v>4030</v>
      </c>
      <c r="M132" s="409"/>
      <c r="N132" s="419"/>
      <c r="O132" s="419"/>
      <c r="P132" s="412"/>
      <c r="Q132" s="412"/>
    </row>
    <row r="133" spans="1:17" ht="15" customHeight="1">
      <c r="A133" s="607"/>
      <c r="B133" s="589" t="s">
        <v>326</v>
      </c>
      <c r="C133" s="590"/>
      <c r="D133" s="591"/>
      <c r="E133" s="579" t="s">
        <v>330</v>
      </c>
      <c r="F133" s="581" t="s">
        <v>279</v>
      </c>
      <c r="G133" s="416" t="s">
        <v>280</v>
      </c>
      <c r="H133" s="204">
        <v>220</v>
      </c>
      <c r="I133" s="204">
        <v>331</v>
      </c>
      <c r="J133" s="204">
        <v>279</v>
      </c>
      <c r="K133" s="410">
        <v>819</v>
      </c>
      <c r="L133" s="204">
        <v>735</v>
      </c>
      <c r="M133" s="409"/>
      <c r="N133" s="418"/>
      <c r="O133" s="418"/>
      <c r="P133" s="411"/>
      <c r="Q133" s="411"/>
    </row>
    <row r="134" spans="1:17" ht="15">
      <c r="A134" s="607"/>
      <c r="B134" s="592"/>
      <c r="C134" s="593"/>
      <c r="D134" s="594"/>
      <c r="E134" s="580"/>
      <c r="F134" s="582"/>
      <c r="G134" s="416" t="s">
        <v>281</v>
      </c>
      <c r="H134" s="204">
        <v>34</v>
      </c>
      <c r="I134" s="204">
        <v>524</v>
      </c>
      <c r="J134" s="204">
        <v>280</v>
      </c>
      <c r="K134" s="410">
        <v>719</v>
      </c>
      <c r="L134" s="204">
        <v>773</v>
      </c>
      <c r="M134" s="414"/>
      <c r="N134" s="418"/>
      <c r="O134" s="418"/>
      <c r="P134" s="411"/>
      <c r="Q134" s="411"/>
    </row>
    <row r="135" spans="1:17" ht="15" customHeight="1">
      <c r="A135" s="6"/>
      <c r="B135" s="583" t="s">
        <v>327</v>
      </c>
      <c r="C135" s="584"/>
      <c r="D135" s="585"/>
      <c r="E135" s="579" t="s">
        <v>331</v>
      </c>
      <c r="F135" s="581" t="s">
        <v>279</v>
      </c>
      <c r="G135" s="417" t="s">
        <v>280</v>
      </c>
      <c r="H135" s="204">
        <v>453</v>
      </c>
      <c r="I135" s="204">
        <v>410</v>
      </c>
      <c r="J135" s="204">
        <v>179</v>
      </c>
      <c r="K135" s="410">
        <v>1005</v>
      </c>
      <c r="L135" s="204">
        <v>1098</v>
      </c>
      <c r="M135" s="409"/>
      <c r="N135" s="418"/>
      <c r="O135" s="418"/>
      <c r="P135" s="412"/>
      <c r="Q135" s="412"/>
    </row>
    <row r="136" spans="1:17" ht="15">
      <c r="A136" s="6"/>
      <c r="B136" s="586"/>
      <c r="C136" s="587"/>
      <c r="D136" s="588"/>
      <c r="E136" s="580"/>
      <c r="F136" s="582"/>
      <c r="G136" s="417" t="s">
        <v>281</v>
      </c>
      <c r="H136" s="204">
        <v>273</v>
      </c>
      <c r="I136" s="204">
        <v>1901</v>
      </c>
      <c r="J136" s="204">
        <v>1803</v>
      </c>
      <c r="K136" s="410">
        <v>3097</v>
      </c>
      <c r="L136" s="204">
        <v>799</v>
      </c>
      <c r="M136" s="414"/>
      <c r="N136" s="418"/>
      <c r="O136" s="418"/>
      <c r="P136" s="412"/>
      <c r="Q136" s="412"/>
    </row>
    <row r="137" spans="1:17" ht="15" customHeight="1">
      <c r="A137" s="6"/>
      <c r="B137" s="601" t="s">
        <v>328</v>
      </c>
      <c r="C137" s="602"/>
      <c r="D137" s="603"/>
      <c r="E137" s="579" t="s">
        <v>331</v>
      </c>
      <c r="F137" s="581" t="s">
        <v>279</v>
      </c>
      <c r="G137" s="416" t="s">
        <v>280</v>
      </c>
      <c r="H137" s="204">
        <v>1200</v>
      </c>
      <c r="I137" s="204">
        <v>176</v>
      </c>
      <c r="J137" s="204">
        <v>351</v>
      </c>
      <c r="K137" s="410">
        <v>840</v>
      </c>
      <c r="L137" s="204">
        <v>1535</v>
      </c>
      <c r="M137" s="409"/>
      <c r="N137" s="418"/>
      <c r="O137" s="418"/>
      <c r="P137" s="411"/>
      <c r="Q137" s="411"/>
    </row>
    <row r="138" spans="1:17" ht="15">
      <c r="A138" s="6"/>
      <c r="B138" s="604"/>
      <c r="C138" s="605"/>
      <c r="D138" s="606"/>
      <c r="E138" s="580"/>
      <c r="F138" s="582"/>
      <c r="G138" s="416" t="s">
        <v>281</v>
      </c>
      <c r="H138" s="204">
        <v>276</v>
      </c>
      <c r="I138" s="204">
        <v>2624</v>
      </c>
      <c r="J138" s="204">
        <v>1247</v>
      </c>
      <c r="K138" s="410">
        <v>829</v>
      </c>
      <c r="L138" s="204">
        <v>1746</v>
      </c>
      <c r="M138" s="414"/>
      <c r="N138" s="418"/>
      <c r="O138" s="418"/>
      <c r="P138" s="411"/>
      <c r="Q138" s="411"/>
    </row>
    <row r="139" spans="1:17" ht="15" customHeight="1">
      <c r="A139" s="6"/>
      <c r="B139" s="583" t="s">
        <v>329</v>
      </c>
      <c r="C139" s="584"/>
      <c r="D139" s="585"/>
      <c r="E139" s="579" t="s">
        <v>331</v>
      </c>
      <c r="F139" s="581" t="s">
        <v>279</v>
      </c>
      <c r="G139" s="417" t="s">
        <v>280</v>
      </c>
      <c r="H139" s="204">
        <v>225</v>
      </c>
      <c r="I139" s="204">
        <v>51</v>
      </c>
      <c r="J139" s="204">
        <v>193</v>
      </c>
      <c r="K139" s="410">
        <v>296</v>
      </c>
      <c r="L139" s="204">
        <v>269</v>
      </c>
      <c r="M139" s="409"/>
      <c r="N139" s="420"/>
      <c r="O139" s="420"/>
      <c r="P139" s="413"/>
      <c r="Q139" s="413"/>
    </row>
    <row r="140" spans="1:17" ht="15">
      <c r="A140" s="6"/>
      <c r="B140" s="586"/>
      <c r="C140" s="587"/>
      <c r="D140" s="588"/>
      <c r="E140" s="580"/>
      <c r="F140" s="582"/>
      <c r="G140" s="417" t="s">
        <v>281</v>
      </c>
      <c r="H140" s="204">
        <v>90</v>
      </c>
      <c r="I140" s="204">
        <v>243</v>
      </c>
      <c r="J140" s="204">
        <v>62</v>
      </c>
      <c r="K140" s="410">
        <v>321</v>
      </c>
      <c r="L140" s="204">
        <v>349</v>
      </c>
      <c r="M140" s="409"/>
      <c r="N140" s="420"/>
      <c r="O140" s="420"/>
      <c r="P140" s="413"/>
      <c r="Q140" s="413"/>
    </row>
    <row r="141" spans="1:17" ht="14.25" customHeight="1">
      <c r="A141" s="6"/>
      <c r="B141" s="589"/>
      <c r="C141" s="590"/>
      <c r="D141" s="591"/>
      <c r="E141" s="579"/>
      <c r="F141" s="581" t="s">
        <v>279</v>
      </c>
      <c r="G141" s="416" t="s">
        <v>280</v>
      </c>
      <c r="H141" s="204"/>
      <c r="I141" s="204"/>
      <c r="J141" s="204"/>
      <c r="K141" s="410"/>
      <c r="L141" s="204"/>
      <c r="M141" s="409"/>
      <c r="N141" s="419"/>
      <c r="O141" s="419"/>
      <c r="P141" s="411"/>
      <c r="Q141" s="411"/>
    </row>
    <row r="142" spans="1:17" ht="15">
      <c r="A142" s="6"/>
      <c r="B142" s="592"/>
      <c r="C142" s="593"/>
      <c r="D142" s="594"/>
      <c r="E142" s="580"/>
      <c r="F142" s="582"/>
      <c r="G142" s="416" t="s">
        <v>281</v>
      </c>
      <c r="H142" s="204"/>
      <c r="I142" s="204"/>
      <c r="J142" s="204"/>
      <c r="K142" s="410"/>
      <c r="L142" s="204"/>
      <c r="M142" s="409"/>
      <c r="N142" s="419"/>
      <c r="O142" s="419"/>
      <c r="P142" s="411"/>
      <c r="Q142" s="411"/>
    </row>
    <row r="143" spans="1:17" ht="14.25" customHeight="1">
      <c r="A143" s="6"/>
      <c r="B143" s="589"/>
      <c r="C143" s="590"/>
      <c r="D143" s="591"/>
      <c r="E143" s="579"/>
      <c r="F143" s="581" t="s">
        <v>279</v>
      </c>
      <c r="G143" s="417" t="s">
        <v>280</v>
      </c>
      <c r="H143" s="204"/>
      <c r="I143" s="204"/>
      <c r="J143" s="204"/>
      <c r="K143" s="410"/>
      <c r="L143" s="204"/>
      <c r="M143" s="409"/>
      <c r="N143" s="418"/>
      <c r="O143" s="418"/>
      <c r="P143" s="413"/>
      <c r="Q143" s="413"/>
    </row>
    <row r="144" spans="1:17" ht="15">
      <c r="A144" s="6"/>
      <c r="B144" s="592"/>
      <c r="C144" s="593"/>
      <c r="D144" s="594"/>
      <c r="E144" s="580"/>
      <c r="F144" s="582"/>
      <c r="G144" s="417" t="s">
        <v>281</v>
      </c>
      <c r="H144" s="204"/>
      <c r="I144" s="204"/>
      <c r="J144" s="204"/>
      <c r="K144" s="410"/>
      <c r="L144" s="204"/>
      <c r="M144" s="414"/>
      <c r="N144" s="418"/>
      <c r="O144" s="418"/>
      <c r="P144" s="413"/>
      <c r="Q144" s="413"/>
    </row>
    <row r="145" spans="1:17" ht="14.25" customHeight="1">
      <c r="A145" s="6"/>
      <c r="B145" s="589"/>
      <c r="C145" s="590"/>
      <c r="D145" s="591"/>
      <c r="E145" s="579"/>
      <c r="F145" s="581" t="s">
        <v>279</v>
      </c>
      <c r="G145" s="416" t="s">
        <v>280</v>
      </c>
      <c r="H145" s="204"/>
      <c r="I145" s="204"/>
      <c r="J145" s="204"/>
      <c r="K145" s="410"/>
      <c r="L145" s="205"/>
      <c r="M145" s="409"/>
      <c r="N145" s="418"/>
      <c r="O145" s="418"/>
      <c r="P145" s="411"/>
      <c r="Q145" s="411"/>
    </row>
    <row r="146" spans="1:17" ht="15">
      <c r="A146" s="6"/>
      <c r="B146" s="592"/>
      <c r="C146" s="593"/>
      <c r="D146" s="594"/>
      <c r="E146" s="580"/>
      <c r="F146" s="582"/>
      <c r="G146" s="416" t="s">
        <v>281</v>
      </c>
      <c r="H146" s="204"/>
      <c r="I146" s="204"/>
      <c r="J146" s="204"/>
      <c r="K146" s="410"/>
      <c r="L146" s="205"/>
      <c r="M146" s="414"/>
      <c r="N146" s="418"/>
      <c r="O146" s="418"/>
      <c r="P146" s="411"/>
      <c r="Q146" s="411"/>
    </row>
    <row r="147" spans="1:17" ht="14.25" customHeight="1">
      <c r="A147" s="6"/>
      <c r="B147" s="595"/>
      <c r="C147" s="596"/>
      <c r="D147" s="597"/>
      <c r="E147" s="579"/>
      <c r="F147" s="581" t="s">
        <v>279</v>
      </c>
      <c r="G147" s="417" t="s">
        <v>280</v>
      </c>
      <c r="H147" s="204"/>
      <c r="I147" s="204"/>
      <c r="J147" s="204"/>
      <c r="K147" s="410"/>
      <c r="L147" s="204"/>
      <c r="M147" s="409"/>
      <c r="N147" s="420"/>
      <c r="O147" s="420"/>
      <c r="P147" s="413"/>
      <c r="Q147" s="413"/>
    </row>
    <row r="148" spans="1:17" ht="15">
      <c r="A148" s="6"/>
      <c r="B148" s="598"/>
      <c r="C148" s="599"/>
      <c r="D148" s="600"/>
      <c r="E148" s="580"/>
      <c r="F148" s="582"/>
      <c r="G148" s="417" t="s">
        <v>281</v>
      </c>
      <c r="H148" s="204"/>
      <c r="I148" s="204"/>
      <c r="J148" s="204"/>
      <c r="K148" s="410"/>
      <c r="L148" s="204"/>
      <c r="M148" s="414"/>
      <c r="N148" s="420"/>
      <c r="O148" s="420"/>
      <c r="P148" s="413"/>
      <c r="Q148" s="413"/>
    </row>
    <row r="149" spans="1:17" ht="15" customHeight="1">
      <c r="A149" s="6"/>
      <c r="B149" s="573"/>
      <c r="C149" s="574"/>
      <c r="D149" s="575"/>
      <c r="E149" s="579"/>
      <c r="F149" s="581" t="s">
        <v>279</v>
      </c>
      <c r="G149" s="416" t="s">
        <v>280</v>
      </c>
      <c r="H149" s="204"/>
      <c r="I149" s="204"/>
      <c r="J149" s="204"/>
      <c r="K149" s="410"/>
      <c r="L149" s="204"/>
      <c r="M149" s="409"/>
      <c r="N149" s="420"/>
      <c r="O149" s="420"/>
      <c r="P149" s="413"/>
      <c r="Q149" s="413"/>
    </row>
    <row r="150" spans="1:17" ht="15">
      <c r="A150" s="6"/>
      <c r="B150" s="576"/>
      <c r="C150" s="577"/>
      <c r="D150" s="578"/>
      <c r="E150" s="580"/>
      <c r="F150" s="582"/>
      <c r="G150" s="416" t="s">
        <v>281</v>
      </c>
      <c r="H150" s="204"/>
      <c r="I150" s="204"/>
      <c r="J150" s="204"/>
      <c r="K150" s="410"/>
      <c r="L150" s="204"/>
      <c r="M150" s="414"/>
      <c r="N150" s="420"/>
      <c r="O150" s="420"/>
      <c r="P150" s="413"/>
      <c r="Q150" s="413"/>
    </row>
    <row r="151" spans="1:17" ht="15" customHeight="1">
      <c r="A151" s="6"/>
      <c r="B151" s="583"/>
      <c r="C151" s="584"/>
      <c r="D151" s="585"/>
      <c r="E151" s="579"/>
      <c r="F151" s="581" t="s">
        <v>279</v>
      </c>
      <c r="G151" s="417" t="s">
        <v>280</v>
      </c>
      <c r="H151" s="204"/>
      <c r="I151" s="204"/>
      <c r="J151" s="204"/>
      <c r="K151" s="410"/>
      <c r="L151" s="204"/>
      <c r="M151" s="409"/>
      <c r="N151" s="420"/>
      <c r="O151" s="420"/>
      <c r="P151" s="413"/>
      <c r="Q151" s="413"/>
    </row>
    <row r="152" spans="1:17" ht="15">
      <c r="A152" s="6"/>
      <c r="B152" s="586"/>
      <c r="C152" s="587"/>
      <c r="D152" s="588"/>
      <c r="E152" s="580"/>
      <c r="F152" s="582"/>
      <c r="G152" s="417" t="s">
        <v>281</v>
      </c>
      <c r="H152" s="204"/>
      <c r="I152" s="204"/>
      <c r="J152" s="204"/>
      <c r="K152" s="410"/>
      <c r="L152" s="204"/>
      <c r="M152" s="409"/>
      <c r="N152" s="418"/>
      <c r="O152" s="418"/>
      <c r="P152" s="413"/>
      <c r="Q152" s="413"/>
    </row>
    <row r="153" spans="1:17" ht="15" customHeight="1">
      <c r="A153" s="6"/>
      <c r="B153" s="573"/>
      <c r="C153" s="574"/>
      <c r="D153" s="575"/>
      <c r="E153" s="579"/>
      <c r="F153" s="581" t="s">
        <v>279</v>
      </c>
      <c r="G153" s="416" t="s">
        <v>280</v>
      </c>
      <c r="H153" s="204"/>
      <c r="I153" s="204"/>
      <c r="J153" s="204"/>
      <c r="K153" s="410"/>
      <c r="L153" s="204"/>
      <c r="M153" s="409"/>
      <c r="N153" s="418"/>
      <c r="O153" s="418"/>
      <c r="P153" s="413"/>
      <c r="Q153" s="413"/>
    </row>
    <row r="154" spans="1:17" ht="15">
      <c r="A154" s="6"/>
      <c r="B154" s="576"/>
      <c r="C154" s="577"/>
      <c r="D154" s="578"/>
      <c r="E154" s="580"/>
      <c r="F154" s="582"/>
      <c r="G154" s="416" t="s">
        <v>281</v>
      </c>
      <c r="H154" s="204"/>
      <c r="I154" s="204"/>
      <c r="J154" s="204"/>
      <c r="K154" s="410"/>
      <c r="L154" s="204"/>
      <c r="M154" s="414"/>
      <c r="N154" s="418"/>
      <c r="O154" s="418"/>
      <c r="P154" s="413"/>
      <c r="Q154" s="413"/>
    </row>
    <row r="155" spans="1:17" ht="15" customHeight="1">
      <c r="A155" s="6"/>
      <c r="B155" s="583"/>
      <c r="C155" s="584"/>
      <c r="D155" s="585"/>
      <c r="E155" s="579"/>
      <c r="F155" s="581" t="s">
        <v>279</v>
      </c>
      <c r="G155" s="417" t="s">
        <v>280</v>
      </c>
      <c r="H155" s="204"/>
      <c r="I155" s="204"/>
      <c r="J155" s="204"/>
      <c r="K155" s="410"/>
      <c r="L155" s="204"/>
      <c r="M155" s="409"/>
      <c r="N155" s="420"/>
      <c r="O155" s="420"/>
      <c r="P155" s="413"/>
      <c r="Q155" s="413"/>
    </row>
    <row r="156" spans="1:17" ht="15">
      <c r="A156" s="6"/>
      <c r="B156" s="586"/>
      <c r="C156" s="587"/>
      <c r="D156" s="588"/>
      <c r="E156" s="580"/>
      <c r="F156" s="582"/>
      <c r="G156" s="417" t="s">
        <v>281</v>
      </c>
      <c r="H156" s="204"/>
      <c r="I156" s="204"/>
      <c r="J156" s="204"/>
      <c r="K156" s="410"/>
      <c r="L156" s="204"/>
      <c r="M156" s="414"/>
      <c r="N156" s="420"/>
      <c r="O156" s="420"/>
      <c r="P156" s="413"/>
      <c r="Q156" s="413"/>
    </row>
    <row r="157" spans="1:17" ht="15" customHeight="1">
      <c r="A157" s="6"/>
      <c r="B157" s="573"/>
      <c r="C157" s="574"/>
      <c r="D157" s="575"/>
      <c r="E157" s="579"/>
      <c r="F157" s="581" t="s">
        <v>279</v>
      </c>
      <c r="G157" s="416" t="s">
        <v>280</v>
      </c>
      <c r="H157" s="204"/>
      <c r="I157" s="204"/>
      <c r="J157" s="204"/>
      <c r="K157" s="410"/>
      <c r="L157" s="204"/>
      <c r="M157" s="415"/>
      <c r="N157" s="419"/>
      <c r="O157" s="419"/>
      <c r="P157" s="413"/>
      <c r="Q157" s="413"/>
    </row>
    <row r="158" spans="1:17" ht="15">
      <c r="A158" s="6"/>
      <c r="B158" s="576"/>
      <c r="C158" s="577"/>
      <c r="D158" s="578"/>
      <c r="E158" s="580"/>
      <c r="F158" s="582"/>
      <c r="G158" s="416" t="s">
        <v>281</v>
      </c>
      <c r="H158" s="204"/>
      <c r="I158" s="204"/>
      <c r="J158" s="204"/>
      <c r="K158" s="410"/>
      <c r="L158" s="204"/>
      <c r="M158" s="415"/>
      <c r="N158" s="419"/>
      <c r="O158" s="419"/>
      <c r="P158" s="413"/>
      <c r="Q158" s="413"/>
    </row>
    <row r="159" spans="1:17" ht="15" customHeight="1">
      <c r="A159" s="6"/>
      <c r="B159" s="583"/>
      <c r="C159" s="584"/>
      <c r="D159" s="585"/>
      <c r="E159" s="579"/>
      <c r="F159" s="581" t="s">
        <v>279</v>
      </c>
      <c r="G159" s="417" t="s">
        <v>280</v>
      </c>
      <c r="H159" s="204"/>
      <c r="I159" s="204"/>
      <c r="J159" s="204"/>
      <c r="K159" s="410"/>
      <c r="L159" s="204"/>
      <c r="M159" s="415"/>
      <c r="N159" s="420"/>
      <c r="O159" s="420"/>
      <c r="P159" s="413"/>
      <c r="Q159" s="413"/>
    </row>
    <row r="160" spans="1:17" ht="15">
      <c r="A160" s="6"/>
      <c r="B160" s="586"/>
      <c r="C160" s="587"/>
      <c r="D160" s="588"/>
      <c r="E160" s="580"/>
      <c r="F160" s="582"/>
      <c r="G160" s="417" t="s">
        <v>281</v>
      </c>
      <c r="H160" s="204"/>
      <c r="I160" s="204"/>
      <c r="J160" s="204"/>
      <c r="K160" s="410"/>
      <c r="L160" s="204"/>
      <c r="M160" s="415"/>
      <c r="N160" s="420"/>
      <c r="O160" s="420"/>
      <c r="P160" s="413"/>
      <c r="Q160" s="413"/>
    </row>
    <row r="161" spans="1:17" ht="15">
      <c r="A161" s="6"/>
      <c r="B161" s="6"/>
      <c r="C161" s="6"/>
      <c r="D161" s="6"/>
      <c r="E161" s="6"/>
      <c r="F161" s="6"/>
      <c r="G161" s="141"/>
      <c r="H161" s="6"/>
      <c r="I161" s="6"/>
      <c r="J161" s="6"/>
      <c r="K161" s="6"/>
      <c r="L161" s="6"/>
      <c r="M161" s="6"/>
      <c r="N161" s="6"/>
      <c r="P161" s="5"/>
      <c r="Q161" s="5"/>
    </row>
    <row r="162" spans="1:17" ht="15">
      <c r="A162" s="6"/>
      <c r="B162" s="6"/>
      <c r="C162" s="6"/>
      <c r="D162" s="6"/>
      <c r="E162" s="6"/>
      <c r="F162" s="6"/>
      <c r="G162" s="141"/>
      <c r="H162" s="6"/>
      <c r="I162" s="6"/>
      <c r="J162" s="6"/>
      <c r="K162" s="6"/>
      <c r="L162" s="6"/>
      <c r="M162" s="6"/>
      <c r="N162" s="6"/>
      <c r="P162" s="5"/>
      <c r="Q162" s="5"/>
    </row>
    <row r="163" spans="1:17" ht="15">
      <c r="A163" s="6"/>
      <c r="B163" s="6"/>
      <c r="C163" s="6"/>
      <c r="D163" s="6"/>
      <c r="E163" s="6"/>
      <c r="F163" s="6"/>
      <c r="G163" s="141"/>
      <c r="H163" s="6"/>
      <c r="I163" s="6"/>
      <c r="J163" s="6"/>
      <c r="K163" s="6"/>
      <c r="L163" s="6"/>
      <c r="M163" s="6"/>
      <c r="N163" s="6"/>
      <c r="P163" s="5"/>
      <c r="Q163" s="5"/>
    </row>
    <row r="164" spans="1:17" ht="14.25" customHeight="1">
      <c r="A164" s="6"/>
      <c r="B164" s="6"/>
      <c r="C164" s="6"/>
      <c r="D164" s="6"/>
      <c r="E164" s="6"/>
      <c r="F164" s="6"/>
      <c r="G164" s="141"/>
      <c r="H164" s="6"/>
      <c r="I164" s="6"/>
      <c r="J164" s="6"/>
      <c r="K164" s="6"/>
      <c r="L164" s="6"/>
      <c r="M164" s="6"/>
      <c r="N164" s="6"/>
      <c r="P164" s="5"/>
      <c r="Q164" s="5"/>
    </row>
    <row r="165" spans="1:17" ht="16.5" thickBot="1">
      <c r="A165" s="6"/>
      <c r="B165" s="206"/>
      <c r="C165" s="6"/>
      <c r="D165" s="6"/>
      <c r="E165" s="6"/>
      <c r="F165" s="6"/>
      <c r="G165" s="141"/>
      <c r="H165" s="6"/>
      <c r="I165" s="6"/>
      <c r="J165" s="6"/>
      <c r="K165" s="6"/>
      <c r="L165" s="6"/>
      <c r="M165" s="6"/>
      <c r="N165" s="6"/>
      <c r="P165" s="5"/>
      <c r="Q165" s="5"/>
    </row>
    <row r="166" spans="1:17" ht="25.5">
      <c r="A166" s="6"/>
      <c r="B166" s="207" t="s">
        <v>282</v>
      </c>
      <c r="C166" s="6"/>
      <c r="D166" s="6"/>
      <c r="E166" s="208" t="s">
        <v>276</v>
      </c>
      <c r="F166" s="209" t="s">
        <v>277</v>
      </c>
      <c r="G166" s="197"/>
      <c r="H166" s="198" t="str">
        <f aca="true" t="shared" si="7" ref="H166:N166">C30</f>
        <v>P1</v>
      </c>
      <c r="I166" s="198" t="str">
        <f t="shared" si="7"/>
        <v>P2</v>
      </c>
      <c r="J166" s="198" t="str">
        <f t="shared" si="7"/>
        <v>P3</v>
      </c>
      <c r="K166" s="198" t="str">
        <f t="shared" si="7"/>
        <v>P4</v>
      </c>
      <c r="L166" s="198" t="str">
        <f t="shared" si="7"/>
        <v>P5</v>
      </c>
      <c r="M166" s="198" t="str">
        <f t="shared" si="7"/>
        <v>P6</v>
      </c>
      <c r="N166" s="198" t="str">
        <f t="shared" si="7"/>
        <v>P7</v>
      </c>
      <c r="O166" s="198" t="str">
        <f>L30</f>
        <v>P10</v>
      </c>
      <c r="P166" s="198" t="str">
        <f>M30</f>
        <v>P11</v>
      </c>
      <c r="Q166" s="198" t="str">
        <f>N30</f>
        <v>P12</v>
      </c>
    </row>
    <row r="167" spans="1:17" ht="14.25" customHeight="1" thickBot="1">
      <c r="A167" s="6"/>
      <c r="B167" s="569" t="str">
        <f>IF(ISBLANK(B129),"",(B129))</f>
        <v>% Y Número de personas HSH alcanzadas con el paquete básico de prevención de VIH</v>
      </c>
      <c r="C167" s="569"/>
      <c r="D167" s="569"/>
      <c r="E167" s="567" t="str">
        <f>IF(ISBLANK(E129),"",(E129))</f>
        <v>TOP TEN</v>
      </c>
      <c r="F167" s="568" t="str">
        <f>IF(ISBLANK(F129),"",(F129))</f>
        <v>Yes</v>
      </c>
      <c r="G167" s="210" t="s">
        <v>280</v>
      </c>
      <c r="H167" s="211">
        <f aca="true" t="shared" si="8" ref="H167:H172">H129</f>
        <v>1558</v>
      </c>
      <c r="I167" s="211">
        <f aca="true" t="shared" si="9" ref="I167:I172">+I129</f>
        <v>2336</v>
      </c>
      <c r="J167" s="211">
        <f aca="true" t="shared" si="10" ref="J167:J172">J135</f>
        <v>179</v>
      </c>
      <c r="K167" s="211">
        <f aca="true" t="shared" si="11" ref="K167:K172">+K129</f>
        <v>6254</v>
      </c>
      <c r="L167" s="211">
        <f aca="true" t="shared" si="12" ref="L167:L172">L135</f>
        <v>1098</v>
      </c>
      <c r="M167" s="211">
        <f aca="true" t="shared" si="13" ref="M167:M172">+M129</f>
        <v>0</v>
      </c>
      <c r="N167" s="212">
        <f aca="true" t="shared" si="14" ref="N167:Q172">N129</f>
        <v>0</v>
      </c>
      <c r="O167" s="212">
        <f t="shared" si="14"/>
        <v>0</v>
      </c>
      <c r="P167" s="212">
        <f t="shared" si="14"/>
        <v>0</v>
      </c>
      <c r="Q167" s="212">
        <f t="shared" si="14"/>
        <v>0</v>
      </c>
    </row>
    <row r="168" spans="1:17" ht="15.75" thickBot="1">
      <c r="A168" s="6"/>
      <c r="B168" s="569"/>
      <c r="C168" s="569"/>
      <c r="D168" s="569"/>
      <c r="E168" s="567"/>
      <c r="F168" s="568"/>
      <c r="G168" s="213" t="s">
        <v>281</v>
      </c>
      <c r="H168" s="211">
        <f t="shared" si="8"/>
        <v>155</v>
      </c>
      <c r="I168" s="211">
        <f t="shared" si="9"/>
        <v>3973</v>
      </c>
      <c r="J168" s="211">
        <f t="shared" si="10"/>
        <v>1803</v>
      </c>
      <c r="K168" s="211">
        <f t="shared" si="11"/>
        <v>6892</v>
      </c>
      <c r="L168" s="211">
        <f t="shared" si="12"/>
        <v>799</v>
      </c>
      <c r="M168" s="211">
        <f t="shared" si="13"/>
        <v>0</v>
      </c>
      <c r="N168" s="212">
        <f t="shared" si="14"/>
        <v>0</v>
      </c>
      <c r="O168" s="212">
        <f t="shared" si="14"/>
        <v>0</v>
      </c>
      <c r="P168" s="212">
        <f t="shared" si="14"/>
        <v>0</v>
      </c>
      <c r="Q168" s="212">
        <f t="shared" si="14"/>
        <v>0</v>
      </c>
    </row>
    <row r="169" spans="1:17" ht="15.75" thickBot="1">
      <c r="A169" s="6"/>
      <c r="B169" s="570" t="str">
        <f>IF(ISBLANK(B131),"",(B131))</f>
        <v>% Y Número de personas TS alcanzadas con el paquete básico de prevención de VIH</v>
      </c>
      <c r="C169" s="570"/>
      <c r="D169" s="570"/>
      <c r="E169" s="571" t="str">
        <f>IF(ISBLANK(E131),"",(E131))</f>
        <v>TOP TEN</v>
      </c>
      <c r="F169" s="572" t="str">
        <f>IF(ISBLANK(F131),"",(F131))</f>
        <v>Yes</v>
      </c>
      <c r="G169" s="214" t="s">
        <v>280</v>
      </c>
      <c r="H169" s="211">
        <f t="shared" si="8"/>
        <v>1171</v>
      </c>
      <c r="I169" s="211">
        <f t="shared" si="9"/>
        <v>1175</v>
      </c>
      <c r="J169" s="211">
        <f t="shared" si="10"/>
        <v>351</v>
      </c>
      <c r="K169" s="211">
        <f t="shared" si="11"/>
        <v>4754</v>
      </c>
      <c r="L169" s="211">
        <f t="shared" si="12"/>
        <v>1535</v>
      </c>
      <c r="M169" s="211">
        <f t="shared" si="13"/>
        <v>0</v>
      </c>
      <c r="N169" s="215">
        <f t="shared" si="14"/>
        <v>0</v>
      </c>
      <c r="O169" s="215">
        <f t="shared" si="14"/>
        <v>0</v>
      </c>
      <c r="P169" s="215">
        <f t="shared" si="14"/>
        <v>0</v>
      </c>
      <c r="Q169" s="215">
        <f t="shared" si="14"/>
        <v>0</v>
      </c>
    </row>
    <row r="170" spans="1:17" ht="14.25" customHeight="1" thickBot="1">
      <c r="A170" s="6"/>
      <c r="B170" s="570"/>
      <c r="C170" s="570"/>
      <c r="D170" s="570"/>
      <c r="E170" s="571"/>
      <c r="F170" s="572"/>
      <c r="G170" s="214" t="s">
        <v>281</v>
      </c>
      <c r="H170" s="211">
        <f t="shared" si="8"/>
        <v>44</v>
      </c>
      <c r="I170" s="211">
        <f t="shared" si="9"/>
        <v>2918</v>
      </c>
      <c r="J170" s="211">
        <f t="shared" si="10"/>
        <v>1247</v>
      </c>
      <c r="K170" s="211">
        <f t="shared" si="11"/>
        <v>4017</v>
      </c>
      <c r="L170" s="211">
        <f t="shared" si="12"/>
        <v>1746</v>
      </c>
      <c r="M170" s="211">
        <f t="shared" si="13"/>
        <v>0</v>
      </c>
      <c r="N170" s="215">
        <f t="shared" si="14"/>
        <v>0</v>
      </c>
      <c r="O170" s="215">
        <f t="shared" si="14"/>
        <v>0</v>
      </c>
      <c r="P170" s="215">
        <f t="shared" si="14"/>
        <v>0</v>
      </c>
      <c r="Q170" s="215">
        <f t="shared" si="14"/>
        <v>0</v>
      </c>
    </row>
    <row r="171" spans="1:17" ht="14.25" customHeight="1" thickBot="1">
      <c r="A171" s="6"/>
      <c r="B171" s="566" t="str">
        <f>IF(ISBLANK(B133),"",(B133))</f>
        <v>% Y Número de personas TRANS alcanzadas con el paquete básico de prevención de VIH</v>
      </c>
      <c r="C171" s="566"/>
      <c r="D171" s="566"/>
      <c r="E171" s="567" t="str">
        <f>IF(ISBLANK(E133),"",(E133))</f>
        <v>TOP TEN</v>
      </c>
      <c r="F171" s="568" t="str">
        <f>IF(ISBLANK(F133),"",(F133))</f>
        <v>Yes</v>
      </c>
      <c r="G171" s="213" t="s">
        <v>280</v>
      </c>
      <c r="H171" s="211">
        <f t="shared" si="8"/>
        <v>220</v>
      </c>
      <c r="I171" s="211">
        <f t="shared" si="9"/>
        <v>331</v>
      </c>
      <c r="J171" s="211">
        <f t="shared" si="10"/>
        <v>193</v>
      </c>
      <c r="K171" s="211">
        <f t="shared" si="11"/>
        <v>819</v>
      </c>
      <c r="L171" s="211">
        <f t="shared" si="12"/>
        <v>269</v>
      </c>
      <c r="M171" s="211">
        <f t="shared" si="13"/>
        <v>0</v>
      </c>
      <c r="N171" s="212">
        <f t="shared" si="14"/>
        <v>0</v>
      </c>
      <c r="O171" s="212">
        <f t="shared" si="14"/>
        <v>0</v>
      </c>
      <c r="P171" s="212">
        <f t="shared" si="14"/>
        <v>0</v>
      </c>
      <c r="Q171" s="212">
        <f t="shared" si="14"/>
        <v>0</v>
      </c>
    </row>
    <row r="172" spans="1:17" ht="15" customHeight="1" thickBot="1">
      <c r="A172" s="6"/>
      <c r="B172" s="566"/>
      <c r="C172" s="566"/>
      <c r="D172" s="566"/>
      <c r="E172" s="567"/>
      <c r="F172" s="568"/>
      <c r="G172" s="216" t="s">
        <v>281</v>
      </c>
      <c r="H172" s="217">
        <f t="shared" si="8"/>
        <v>34</v>
      </c>
      <c r="I172" s="211">
        <f t="shared" si="9"/>
        <v>524</v>
      </c>
      <c r="J172" s="217">
        <f t="shared" si="10"/>
        <v>62</v>
      </c>
      <c r="K172" s="211">
        <f t="shared" si="11"/>
        <v>719</v>
      </c>
      <c r="L172" s="217">
        <f t="shared" si="12"/>
        <v>349</v>
      </c>
      <c r="M172" s="211">
        <f t="shared" si="13"/>
        <v>0</v>
      </c>
      <c r="N172" s="212">
        <f t="shared" si="14"/>
        <v>0</v>
      </c>
      <c r="O172" s="212">
        <f t="shared" si="14"/>
        <v>0</v>
      </c>
      <c r="P172" s="212">
        <f t="shared" si="14"/>
        <v>0</v>
      </c>
      <c r="Q172" s="212">
        <f t="shared" si="14"/>
        <v>0</v>
      </c>
    </row>
  </sheetData>
  <sheetProtection selectLockedCells="1" selectUnlockedCells="1"/>
  <mergeCells count="104">
    <mergeCell ref="L111:M113"/>
    <mergeCell ref="C8:D8"/>
    <mergeCell ref="I8:J8"/>
    <mergeCell ref="C12:D12"/>
    <mergeCell ref="E12:F12"/>
    <mergeCell ref="G12:J12"/>
    <mergeCell ref="D24:E24"/>
    <mergeCell ref="G24:H24"/>
    <mergeCell ref="I24:J24"/>
    <mergeCell ref="B14:J14"/>
    <mergeCell ref="B2:J2"/>
    <mergeCell ref="C4:D4"/>
    <mergeCell ref="E4:F4"/>
    <mergeCell ref="G4:J4"/>
    <mergeCell ref="C10:D10"/>
    <mergeCell ref="E10:F10"/>
    <mergeCell ref="G10:J10"/>
    <mergeCell ref="C6:D6"/>
    <mergeCell ref="E6:F6"/>
    <mergeCell ref="I6:J6"/>
    <mergeCell ref="H16:I16"/>
    <mergeCell ref="B18:C18"/>
    <mergeCell ref="D18:F18"/>
    <mergeCell ref="B21:J21"/>
    <mergeCell ref="B73:C73"/>
    <mergeCell ref="B74:C74"/>
    <mergeCell ref="B75:C75"/>
    <mergeCell ref="B26:C26"/>
    <mergeCell ref="B29:N29"/>
    <mergeCell ref="F47:I47"/>
    <mergeCell ref="B62:D62"/>
    <mergeCell ref="B127:D127"/>
    <mergeCell ref="H111:H113"/>
    <mergeCell ref="I111:I113"/>
    <mergeCell ref="J111:J113"/>
    <mergeCell ref="K111:K113"/>
    <mergeCell ref="A129:A134"/>
    <mergeCell ref="B129:D130"/>
    <mergeCell ref="E129:E130"/>
    <mergeCell ref="B133:D134"/>
    <mergeCell ref="E133:E134"/>
    <mergeCell ref="F133:F134"/>
    <mergeCell ref="B135:D136"/>
    <mergeCell ref="E135:E136"/>
    <mergeCell ref="F135:F136"/>
    <mergeCell ref="F129:F130"/>
    <mergeCell ref="B131:D132"/>
    <mergeCell ref="E131:E132"/>
    <mergeCell ref="F131:F132"/>
    <mergeCell ref="B137:D138"/>
    <mergeCell ref="E137:E138"/>
    <mergeCell ref="F137:F138"/>
    <mergeCell ref="B139:D140"/>
    <mergeCell ref="E139:E140"/>
    <mergeCell ref="F139:F140"/>
    <mergeCell ref="B141:D142"/>
    <mergeCell ref="E141:E142"/>
    <mergeCell ref="F141:F142"/>
    <mergeCell ref="B143:D144"/>
    <mergeCell ref="E143:E144"/>
    <mergeCell ref="F143:F144"/>
    <mergeCell ref="B145:D146"/>
    <mergeCell ref="E145:E146"/>
    <mergeCell ref="F145:F146"/>
    <mergeCell ref="B147:D148"/>
    <mergeCell ref="E147:E148"/>
    <mergeCell ref="F147:F148"/>
    <mergeCell ref="B149:D150"/>
    <mergeCell ref="E149:E150"/>
    <mergeCell ref="F149:F150"/>
    <mergeCell ref="B151:D152"/>
    <mergeCell ref="E151:E152"/>
    <mergeCell ref="F151:F152"/>
    <mergeCell ref="B153:D154"/>
    <mergeCell ref="E153:E154"/>
    <mergeCell ref="F153:F154"/>
    <mergeCell ref="B155:D156"/>
    <mergeCell ref="E155:E156"/>
    <mergeCell ref="F155:F156"/>
    <mergeCell ref="B157:D158"/>
    <mergeCell ref="E157:E158"/>
    <mergeCell ref="F157:F158"/>
    <mergeCell ref="B159:D160"/>
    <mergeCell ref="E159:E160"/>
    <mergeCell ref="F159:F160"/>
    <mergeCell ref="B171:D172"/>
    <mergeCell ref="E171:E172"/>
    <mergeCell ref="F171:F172"/>
    <mergeCell ref="B167:D168"/>
    <mergeCell ref="E167:E168"/>
    <mergeCell ref="F167:F168"/>
    <mergeCell ref="B169:D170"/>
    <mergeCell ref="E169:E170"/>
    <mergeCell ref="F169:F170"/>
    <mergeCell ref="H120:H122"/>
    <mergeCell ref="I120:I122"/>
    <mergeCell ref="J120:J122"/>
    <mergeCell ref="K120:K122"/>
    <mergeCell ref="B124:C124"/>
    <mergeCell ref="H117:H119"/>
    <mergeCell ref="J117:J119"/>
    <mergeCell ref="B111:B122"/>
    <mergeCell ref="K117:K119"/>
    <mergeCell ref="I117:I119"/>
  </mergeCells>
  <conditionalFormatting sqref="B34 B32 C33:N33">
    <cfRule type="expression" priority="6" dxfId="45" stopIfTrue="1">
      <formula>+AND(B31&gt;=#REF!,B31&lt;=#REF!)</formula>
    </cfRule>
  </conditionalFormatting>
  <conditionalFormatting sqref="C34:N34">
    <cfRule type="expression" priority="7" dxfId="45" stopIfTrue="1">
      <formula>+AND(C32&gt;=#REF!,C32&lt;=#REF!)</formula>
    </cfRule>
  </conditionalFormatting>
  <conditionalFormatting sqref="C30:N30 C97:N97">
    <cfRule type="cellIs" priority="8" dxfId="46" operator="equal" stopIfTrue="1">
      <formula>$C$16</formula>
    </cfRule>
  </conditionalFormatting>
  <conditionalFormatting sqref="C12:D12">
    <cfRule type="cellIs" priority="9" dxfId="47" operator="equal" stopIfTrue="1">
      <formula>"C"</formula>
    </cfRule>
    <cfRule type="cellIs" priority="10" dxfId="43" operator="equal" stopIfTrue="1">
      <formula>"B2"</formula>
    </cfRule>
    <cfRule type="cellIs" priority="11" dxfId="44" operator="equal" stopIfTrue="1">
      <formula>"B1"</formula>
    </cfRule>
  </conditionalFormatting>
  <conditionalFormatting sqref="H166:Q166 H127:Q128 H153:J153 L153:M153">
    <cfRule type="cellIs" priority="12" dxfId="48" operator="equal" stopIfTrue="1">
      <formula>$C$16</formula>
    </cfRule>
  </conditionalFormatting>
  <conditionalFormatting sqref="F47:I47">
    <cfRule type="expression" priority="13" dxfId="49" stopIfTrue="1">
      <formula>LEFT($F$47,2)="OK"</formula>
    </cfRule>
  </conditionalFormatting>
  <conditionalFormatting sqref="L153 H153:J153">
    <cfRule type="cellIs" priority="5" dxfId="50" operator="equal" stopIfTrue="1">
      <formula>$C$16</formula>
    </cfRule>
  </conditionalFormatting>
  <dataValidations count="9">
    <dataValidation type="list" allowBlank="1" showErrorMessage="1" sqref="G6 B111:B113">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11:C122">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48"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indexed="27"/>
  </sheetPr>
  <dimension ref="A1:O34"/>
  <sheetViews>
    <sheetView showGridLines="0" zoomScale="115" zoomScaleNormal="115" zoomScalePageLayoutView="0" workbookViewId="0" topLeftCell="A4">
      <selection activeCell="P23" sqref="P23"/>
    </sheetView>
  </sheetViews>
  <sheetFormatPr defaultColWidth="11.42187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17.00390625" style="0" customWidth="1"/>
    <col min="12" max="12" width="3.7109375" style="0" customWidth="1"/>
    <col min="13" max="16384" width="9.140625" style="0" customWidth="1"/>
  </cols>
  <sheetData>
    <row r="1" spans="2:11" ht="30.75" customHeight="1">
      <c r="B1" s="6"/>
      <c r="C1" s="6"/>
      <c r="D1" s="6"/>
      <c r="E1" s="6"/>
      <c r="F1" s="6"/>
      <c r="G1" s="6"/>
      <c r="H1" s="6"/>
      <c r="I1" s="6"/>
      <c r="J1" s="6"/>
      <c r="K1" s="6"/>
    </row>
    <row r="2" spans="2:15" ht="27.75" customHeight="1">
      <c r="B2" s="623" t="str">
        <f>+"Cuadro de mando:  "&amp;"  "&amp;+'Introducción de datos'!C4&amp;" - "&amp;'Introducción de datos'!G6</f>
        <v>Cuadro de mando:    El Salvador - VIH / SIDA</v>
      </c>
      <c r="C2" s="623"/>
      <c r="D2" s="623"/>
      <c r="E2" s="623"/>
      <c r="F2" s="623"/>
      <c r="G2" s="623"/>
      <c r="H2" s="623"/>
      <c r="I2" s="623"/>
      <c r="J2" s="623"/>
      <c r="K2" s="623"/>
      <c r="L2" s="248"/>
      <c r="M2" s="248"/>
      <c r="N2" s="248"/>
      <c r="O2" s="248"/>
    </row>
    <row r="3" spans="2:12" ht="15">
      <c r="B3" s="249" t="str">
        <f>+'Introducción de datos'!G8</f>
        <v>Seleccionar</v>
      </c>
      <c r="C3" s="657" t="str">
        <f>+'Introducción de datos'!I8</f>
        <v>Seleccionar</v>
      </c>
      <c r="D3" s="657"/>
      <c r="E3" s="654"/>
      <c r="F3" s="654"/>
      <c r="G3" s="654"/>
      <c r="H3" s="654"/>
      <c r="I3" s="655" t="str">
        <f>+'Introducción de datos'!B16</f>
        <v>Periodo:</v>
      </c>
      <c r="J3" s="655"/>
      <c r="K3" s="251" t="str">
        <f>+'Introducción de datos'!C16</f>
        <v>P5</v>
      </c>
      <c r="L3" s="252"/>
    </row>
    <row r="4" spans="2:11" ht="15">
      <c r="B4" s="249" t="str">
        <f>+'Introducción de datos'!B12</f>
        <v>Ultima calificación:</v>
      </c>
      <c r="C4" s="653" t="str">
        <f>+'Introducción de datos'!C12</f>
        <v>B1</v>
      </c>
      <c r="D4" s="653"/>
      <c r="E4" s="654" t="str">
        <f>+'Introducción de datos'!C8</f>
        <v>PLAN  INTERNACIONAL</v>
      </c>
      <c r="F4" s="654"/>
      <c r="G4" s="654"/>
      <c r="H4" s="654"/>
      <c r="I4" s="655" t="str">
        <f>+'Introducción de datos'!D16</f>
        <v>Desde:</v>
      </c>
      <c r="J4" s="655"/>
      <c r="K4" s="253">
        <f>+'Introducción de datos'!E16</f>
        <v>42370</v>
      </c>
    </row>
    <row r="5" spans="2:11" ht="18.75" customHeight="1">
      <c r="B5" s="249"/>
      <c r="C5" s="249"/>
      <c r="D5" s="656" t="str">
        <f>+'Introducción de datos'!G4</f>
        <v>INNOVANDO SERVICIOS, REDUCIENDO RIESGOS, RENOVANDO VIDAS EN EL SALVADOR</v>
      </c>
      <c r="E5" s="656"/>
      <c r="F5" s="656"/>
      <c r="G5" s="656"/>
      <c r="H5" s="656"/>
      <c r="I5" s="656"/>
      <c r="J5" s="249" t="str">
        <f>+'Introducción de datos'!F16</f>
        <v>Hasta:</v>
      </c>
      <c r="K5" s="253">
        <f>+'Introducción de datos'!G16</f>
        <v>42551</v>
      </c>
    </row>
    <row r="6" spans="2:11" ht="18.75">
      <c r="B6" s="254"/>
      <c r="C6" s="249"/>
      <c r="D6" s="255"/>
      <c r="E6" s="647" t="s">
        <v>291</v>
      </c>
      <c r="F6" s="647"/>
      <c r="G6" s="647"/>
      <c r="H6" s="647"/>
      <c r="I6" s="6"/>
      <c r="J6" s="6"/>
      <c r="K6" s="6"/>
    </row>
    <row r="7" spans="2:11" ht="10.5" customHeight="1">
      <c r="B7" s="256"/>
      <c r="C7" s="250"/>
      <c r="D7" s="255"/>
      <c r="E7" s="257"/>
      <c r="F7" s="257"/>
      <c r="G7" s="258"/>
      <c r="H7" s="258"/>
      <c r="I7" s="259"/>
      <c r="J7" s="259"/>
      <c r="K7" s="260"/>
    </row>
    <row r="8" spans="2:11" ht="15">
      <c r="B8" s="261" t="str">
        <f>+'Introducción de datos'!B27&amp;" - en ("&amp;'Introducción de datos'!D26&amp;")         "&amp;+I3&amp;" "&amp;+K3</f>
        <v>F1: Presupuesto y desembolsos del Fondo Mundial - en ($)         Periodo: P5</v>
      </c>
      <c r="C8" s="262"/>
      <c r="D8" s="141"/>
      <c r="E8" s="141"/>
      <c r="F8" s="141"/>
      <c r="H8" s="261" t="str">
        <f>+'Introducción de datos'!B49&amp;" - en ("&amp;'Introducción de datos'!D26&amp;")         "&amp;+I3&amp;" "&amp;+K3</f>
        <v>F3: Desembolsos y gastos - en ($)         Periodo: P5</v>
      </c>
      <c r="I8" s="6"/>
      <c r="J8" s="6"/>
      <c r="K8" s="6"/>
    </row>
    <row r="9" spans="2:13" ht="107.25" customHeight="1">
      <c r="B9" s="427" t="s">
        <v>292</v>
      </c>
      <c r="C9" s="648" t="s">
        <v>371</v>
      </c>
      <c r="D9" s="648"/>
      <c r="E9" s="648"/>
      <c r="F9" s="648"/>
      <c r="H9" s="426" t="s">
        <v>292</v>
      </c>
      <c r="I9" s="651" t="s">
        <v>370</v>
      </c>
      <c r="J9" s="652"/>
      <c r="K9" s="652"/>
      <c r="L9" s="652"/>
      <c r="M9" s="652"/>
    </row>
    <row r="10" spans="2:11" ht="12.75" customHeight="1">
      <c r="B10" s="141"/>
      <c r="C10" s="141"/>
      <c r="D10" s="141"/>
      <c r="E10" s="141"/>
      <c r="F10" s="141"/>
      <c r="G10" s="6"/>
      <c r="H10" s="6"/>
      <c r="I10" s="6"/>
      <c r="J10" s="6"/>
      <c r="K10" s="6"/>
    </row>
    <row r="11" spans="2:11" ht="15" hidden="1">
      <c r="B11" s="141"/>
      <c r="C11" s="141"/>
      <c r="D11" s="141"/>
      <c r="E11" s="141"/>
      <c r="F11" s="141"/>
      <c r="G11" s="6"/>
      <c r="H11" s="6"/>
      <c r="I11" s="6"/>
      <c r="J11" s="6"/>
      <c r="K11" s="6"/>
    </row>
    <row r="12" spans="2:11" ht="15" hidden="1">
      <c r="B12" s="141"/>
      <c r="C12" s="141"/>
      <c r="D12" s="141"/>
      <c r="E12" s="141"/>
      <c r="F12" s="141"/>
      <c r="G12" s="6"/>
      <c r="H12" s="6"/>
      <c r="I12" s="6"/>
      <c r="J12" s="6"/>
      <c r="K12" s="6"/>
    </row>
    <row r="13" spans="2:11" ht="15">
      <c r="B13" s="141"/>
      <c r="C13" s="141"/>
      <c r="D13" s="141"/>
      <c r="E13" s="141"/>
      <c r="F13" s="141"/>
      <c r="G13" s="6"/>
      <c r="H13" s="6"/>
      <c r="I13" s="6"/>
      <c r="J13" s="6"/>
      <c r="K13" s="6"/>
    </row>
    <row r="14" spans="2:11" ht="15">
      <c r="B14" s="141"/>
      <c r="C14" s="141"/>
      <c r="D14" s="141"/>
      <c r="E14" s="141"/>
      <c r="F14" s="141"/>
      <c r="G14" s="6"/>
      <c r="H14" s="6"/>
      <c r="I14" s="6"/>
      <c r="J14" s="6"/>
      <c r="K14" s="6"/>
    </row>
    <row r="15" spans="2:13" ht="15">
      <c r="B15" s="141"/>
      <c r="C15" s="141"/>
      <c r="D15" s="141"/>
      <c r="E15" s="141"/>
      <c r="F15" s="141"/>
      <c r="G15" s="6"/>
      <c r="H15" s="6"/>
      <c r="I15" s="6"/>
      <c r="J15" s="6"/>
      <c r="K15" s="6"/>
      <c r="M15" s="263" t="s">
        <v>293</v>
      </c>
    </row>
    <row r="16" spans="2:13" ht="15">
      <c r="B16" s="141"/>
      <c r="C16" s="141"/>
      <c r="D16" s="141"/>
      <c r="E16" s="141"/>
      <c r="F16" s="141"/>
      <c r="G16" s="6"/>
      <c r="H16" s="6"/>
      <c r="I16" s="6"/>
      <c r="J16" s="6"/>
      <c r="K16" s="6"/>
      <c r="M16" s="263" t="s">
        <v>294</v>
      </c>
    </row>
    <row r="17" spans="2:11" ht="15">
      <c r="B17" s="141"/>
      <c r="C17" s="141"/>
      <c r="D17" s="141"/>
      <c r="E17" s="141"/>
      <c r="F17" s="141"/>
      <c r="G17" s="6"/>
      <c r="H17" s="6"/>
      <c r="I17" s="6"/>
      <c r="J17" s="6"/>
      <c r="K17" s="6"/>
    </row>
    <row r="18" spans="2:11" ht="15">
      <c r="B18" s="141"/>
      <c r="C18" s="141"/>
      <c r="D18" s="141"/>
      <c r="E18" s="141"/>
      <c r="F18" s="141"/>
      <c r="G18" s="6"/>
      <c r="H18" s="6"/>
      <c r="I18" s="6"/>
      <c r="J18" s="6"/>
      <c r="K18" s="6"/>
    </row>
    <row r="19" spans="2:11" ht="15">
      <c r="B19" s="141"/>
      <c r="C19" s="141"/>
      <c r="D19" s="141"/>
      <c r="E19" s="141"/>
      <c r="F19" s="141"/>
      <c r="G19" s="6"/>
      <c r="H19" s="6"/>
      <c r="I19" s="6"/>
      <c r="J19" s="6"/>
      <c r="K19" s="6"/>
    </row>
    <row r="20" spans="2:11" ht="15">
      <c r="B20" s="141"/>
      <c r="C20" s="141"/>
      <c r="D20" s="141"/>
      <c r="E20" s="141"/>
      <c r="F20" s="141"/>
      <c r="G20" s="6"/>
      <c r="H20" s="6"/>
      <c r="I20" s="6"/>
      <c r="J20" s="6"/>
      <c r="K20" s="6"/>
    </row>
    <row r="21" spans="1:11" ht="24" customHeight="1">
      <c r="A21" s="10"/>
      <c r="B21" s="10"/>
      <c r="C21" s="10"/>
      <c r="D21" s="10"/>
      <c r="E21" s="10"/>
      <c r="F21" s="10"/>
      <c r="G21" s="10"/>
      <c r="H21" s="10"/>
      <c r="I21" s="10"/>
      <c r="J21" s="10"/>
      <c r="K21" s="10"/>
    </row>
    <row r="22" spans="1:11" ht="24" customHeight="1">
      <c r="A22" s="10"/>
      <c r="B22" s="10"/>
      <c r="C22" s="10"/>
      <c r="D22" s="10"/>
      <c r="E22" s="10"/>
      <c r="F22" s="10"/>
      <c r="G22" s="10"/>
      <c r="H22" s="10"/>
      <c r="I22" s="10"/>
      <c r="J22" s="10"/>
      <c r="K22" s="10"/>
    </row>
    <row r="23" spans="2:11" ht="23.25" customHeight="1">
      <c r="B23" s="264" t="str">
        <f>+'Introducción de datos'!B36&amp;" - en ("&amp;'Introducción de datos'!D26&amp;")  "&amp;+I3&amp;" "&amp;+K3</f>
        <v>F2: Presupuesto y gastos reales por objetivo de la subvención - en ($)  Periodo: P5</v>
      </c>
      <c r="C23" s="141"/>
      <c r="D23" s="141"/>
      <c r="E23" s="141"/>
      <c r="F23" s="141"/>
      <c r="H23" s="264" t="str">
        <f>+'Introducción de datos'!B60&amp;"   "&amp;+I3&amp;" "&amp;+K3</f>
        <v>F4: Último ciclo de información y desembolso del RP   Periodo: P5</v>
      </c>
      <c r="J23" s="6"/>
      <c r="K23" s="6"/>
    </row>
    <row r="24" spans="2:11" ht="89.25" customHeight="1">
      <c r="B24" s="426" t="s">
        <v>295</v>
      </c>
      <c r="C24" s="649" t="s">
        <v>366</v>
      </c>
      <c r="D24" s="649"/>
      <c r="E24" s="649"/>
      <c r="F24" s="649"/>
      <c r="G24" s="265"/>
      <c r="H24" s="426" t="s">
        <v>292</v>
      </c>
      <c r="I24" s="650" t="s">
        <v>365</v>
      </c>
      <c r="J24" s="650"/>
      <c r="K24" s="650"/>
    </row>
    <row r="25" spans="2:11" ht="15.75" customHeight="1" thickBot="1">
      <c r="B25" s="266"/>
      <c r="C25" s="266"/>
      <c r="D25" s="266"/>
      <c r="E25" s="266"/>
      <c r="F25" s="266"/>
      <c r="G25" s="266"/>
      <c r="H25" s="267"/>
      <c r="I25" s="267"/>
      <c r="J25" s="266"/>
      <c r="K25" s="266"/>
    </row>
    <row r="26" spans="2:11" ht="29.25" customHeight="1" thickBot="1">
      <c r="B26" s="6"/>
      <c r="C26" s="6"/>
      <c r="D26" s="6"/>
      <c r="E26" s="6"/>
      <c r="F26" s="6"/>
      <c r="G26" s="268"/>
      <c r="H26" s="640" t="s">
        <v>296</v>
      </c>
      <c r="I26" s="641"/>
      <c r="J26" s="641"/>
      <c r="K26" s="642"/>
    </row>
    <row r="27" spans="2:11" ht="24.75">
      <c r="B27" s="6"/>
      <c r="C27" s="6"/>
      <c r="D27" s="6"/>
      <c r="E27" s="6"/>
      <c r="F27" s="6"/>
      <c r="G27" s="44"/>
      <c r="H27" s="643"/>
      <c r="I27" s="644"/>
      <c r="J27" s="269" t="s">
        <v>228</v>
      </c>
      <c r="K27" s="270" t="s">
        <v>229</v>
      </c>
    </row>
    <row r="28" spans="2:11" ht="29.25" customHeight="1" thickBot="1">
      <c r="B28" s="6"/>
      <c r="C28" s="6"/>
      <c r="D28" s="6"/>
      <c r="E28" s="6"/>
      <c r="F28" s="6"/>
      <c r="G28" s="271"/>
      <c r="H28" s="645" t="str">
        <f>'Introducción de datos'!B64</f>
        <v>Días tardados en presentar el informe de progreso actualizado y solicitud de desembolso al ALF*</v>
      </c>
      <c r="I28" s="646"/>
      <c r="J28" s="272">
        <f>+'Introducción de datos'!C64</f>
        <v>45</v>
      </c>
      <c r="K28" s="424">
        <f>+'Introducción de datos'!D64</f>
        <v>45</v>
      </c>
    </row>
    <row r="29" spans="2:11" ht="21" customHeight="1" thickBot="1">
      <c r="B29" s="6"/>
      <c r="C29" s="6"/>
      <c r="D29" s="6"/>
      <c r="E29" s="6"/>
      <c r="F29" s="6"/>
      <c r="G29" s="271"/>
      <c r="H29" s="645" t="str">
        <f>'Introducción de datos'!B65</f>
        <v>Días que el desembolso ha tardado en llegar al RP</v>
      </c>
      <c r="I29" s="646"/>
      <c r="J29" s="272">
        <f>+'Introducción de datos'!C65</f>
        <v>45</v>
      </c>
      <c r="K29" s="274">
        <f>+'Introducción de datos'!D65</f>
        <v>24</v>
      </c>
    </row>
    <row r="30" spans="2:11" ht="21" customHeight="1" thickBot="1">
      <c r="B30" s="6"/>
      <c r="C30" s="6"/>
      <c r="D30" s="6"/>
      <c r="E30" s="6"/>
      <c r="F30" s="6"/>
      <c r="G30" s="271"/>
      <c r="H30" s="638" t="str">
        <f>'Introducción de datos'!B66</f>
        <v>Días que el desembolso ha tardado en llegar a los subreceptores </v>
      </c>
      <c r="I30" s="639"/>
      <c r="J30" s="273">
        <f>+'Introducción de datos'!C66</f>
        <v>15</v>
      </c>
      <c r="K30" s="274">
        <f>+'Introducción de datos'!D66</f>
        <v>15</v>
      </c>
    </row>
    <row r="31" spans="2:11" ht="15">
      <c r="B31" s="6"/>
      <c r="C31" s="6"/>
      <c r="D31" s="6"/>
      <c r="E31" s="6"/>
      <c r="F31" s="6"/>
      <c r="G31" s="6"/>
      <c r="H31" s="6"/>
      <c r="I31" s="6"/>
      <c r="J31" s="6"/>
      <c r="K31" s="6"/>
    </row>
    <row r="32" spans="2:11" ht="15">
      <c r="B32" s="6"/>
      <c r="C32" s="92"/>
      <c r="D32" s="275"/>
      <c r="E32" s="6"/>
      <c r="F32" s="6"/>
      <c r="G32" s="6"/>
      <c r="H32" s="6"/>
      <c r="I32" s="6"/>
      <c r="J32" s="6"/>
      <c r="K32" s="6"/>
    </row>
    <row r="33" spans="2:11" ht="15">
      <c r="B33" s="6"/>
      <c r="C33" s="241" t="s">
        <v>211</v>
      </c>
      <c r="D33" s="275"/>
      <c r="E33" s="6"/>
      <c r="F33" s="6"/>
      <c r="G33" s="6"/>
      <c r="H33" s="6"/>
      <c r="I33" s="6"/>
      <c r="J33" s="6"/>
      <c r="K33" s="6"/>
    </row>
    <row r="34" ht="15">
      <c r="C34" s="263" t="s">
        <v>263</v>
      </c>
    </row>
  </sheetData>
  <sheetProtection/>
  <mergeCells count="18">
    <mergeCell ref="C4:D4"/>
    <mergeCell ref="E4:H4"/>
    <mergeCell ref="I4:J4"/>
    <mergeCell ref="D5:I5"/>
    <mergeCell ref="B2:K2"/>
    <mergeCell ref="C3:D3"/>
    <mergeCell ref="E3:H3"/>
    <mergeCell ref="I3:J3"/>
    <mergeCell ref="H30:I30"/>
    <mergeCell ref="H26:K26"/>
    <mergeCell ref="H27:I27"/>
    <mergeCell ref="H28:I28"/>
    <mergeCell ref="H29:I29"/>
    <mergeCell ref="E6:H6"/>
    <mergeCell ref="C9:F9"/>
    <mergeCell ref="C24:F24"/>
    <mergeCell ref="I24:K24"/>
    <mergeCell ref="I9:M9"/>
  </mergeCells>
  <conditionalFormatting sqref="K28:K30">
    <cfRule type="cellIs" priority="1" dxfId="51" operator="greaterThan" stopIfTrue="1">
      <formula>J28</formula>
    </cfRule>
    <cfRule type="cellIs" priority="2" dxfId="52" operator="between" stopIfTrue="1">
      <formula>J28</formula>
      <formula>1</formula>
    </cfRule>
    <cfRule type="cellIs" priority="3" dxfId="53" operator="equal" stopIfTrue="1">
      <formula>0</formula>
    </cfRule>
  </conditionalFormatting>
  <conditionalFormatting sqref="C4:D4">
    <cfRule type="cellIs" priority="4" dxfId="42" operator="equal" stopIfTrue="1">
      <formula>"C"</formula>
    </cfRule>
    <cfRule type="cellIs" priority="5" dxfId="43" operator="equal" stopIfTrue="1">
      <formula>"B2"</formula>
    </cfRule>
    <cfRule type="cellIs" priority="6" dxfId="44"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r:id="rId2"/>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41"/>
  <sheetViews>
    <sheetView showGridLines="0" tabSelected="1" zoomScale="96" zoomScaleNormal="96" zoomScalePageLayoutView="0" workbookViewId="0" topLeftCell="A1">
      <selection activeCell="A1" sqref="A1"/>
    </sheetView>
  </sheetViews>
  <sheetFormatPr defaultColWidth="11.421875" defaultRowHeight="15"/>
  <cols>
    <col min="1" max="1" width="3.28125" style="0" customWidth="1"/>
    <col min="2" max="2" width="14.28125" style="0" customWidth="1"/>
    <col min="3" max="3" width="12.421875" style="0" customWidth="1"/>
    <col min="4" max="4" width="13.140625" style="0" customWidth="1"/>
    <col min="5" max="5" width="11.421875" style="0" customWidth="1"/>
    <col min="6" max="6" width="11.8515625" style="0" customWidth="1"/>
    <col min="7" max="7" width="18.7109375" style="0" customWidth="1"/>
    <col min="8" max="8" width="11.28125" style="0" customWidth="1"/>
    <col min="9" max="9" width="27.28125" style="0" bestFit="1" customWidth="1"/>
    <col min="10" max="10" width="15.140625" style="0" customWidth="1"/>
    <col min="11" max="11" width="15.28125" style="0" customWidth="1"/>
    <col min="12" max="12" width="15.7109375" style="0" customWidth="1"/>
    <col min="13" max="16384" width="9.140625" style="0" customWidth="1"/>
  </cols>
  <sheetData>
    <row r="1" spans="3:5" ht="28.5" customHeight="1">
      <c r="C1" s="276"/>
      <c r="E1" s="276"/>
    </row>
    <row r="2" spans="2:16" ht="27.75" customHeight="1">
      <c r="B2" s="678" t="str">
        <f>+"Cuadro de mando:  "&amp;"  "&amp;+'Introducción de datos'!C4&amp;" - "&amp;'Introducción de datos'!G6</f>
        <v>Cuadro de mando:    El Salvador - VIH / SIDA</v>
      </c>
      <c r="C2" s="678"/>
      <c r="D2" s="678"/>
      <c r="E2" s="678"/>
      <c r="F2" s="678"/>
      <c r="G2" s="678"/>
      <c r="H2" s="678"/>
      <c r="I2" s="678"/>
      <c r="J2" s="678"/>
      <c r="K2" s="678"/>
      <c r="L2" s="678"/>
      <c r="M2" s="277"/>
      <c r="N2" s="277"/>
      <c r="O2" s="277"/>
      <c r="P2" s="277"/>
    </row>
    <row r="3" spans="2:12" ht="15">
      <c r="B3" s="278" t="str">
        <f>+'Introducción de datos'!G8</f>
        <v>Seleccionar</v>
      </c>
      <c r="C3" s="679" t="str">
        <f>+'Introducción de datos'!I8</f>
        <v>Seleccionar</v>
      </c>
      <c r="D3" s="679"/>
      <c r="E3" s="680"/>
      <c r="F3" s="680"/>
      <c r="G3" s="680"/>
      <c r="H3" s="680"/>
      <c r="I3" s="680"/>
      <c r="J3" s="681" t="str">
        <f>+'Introducción de datos'!B16</f>
        <v>Periodo:</v>
      </c>
      <c r="K3" s="681"/>
      <c r="L3" s="251" t="str">
        <f>+'Introducción de datos'!C16</f>
        <v>P5</v>
      </c>
    </row>
    <row r="4" spans="2:12" ht="15">
      <c r="B4" s="278" t="str">
        <f>+'Introducción de datos'!B12</f>
        <v>Ultima calificación:</v>
      </c>
      <c r="C4" s="653" t="str">
        <f>+'Introducción de datos'!C12</f>
        <v>B1</v>
      </c>
      <c r="D4" s="653"/>
      <c r="E4" s="680" t="str">
        <f>+'Introducción de datos'!C8</f>
        <v>PLAN  INTERNACIONAL</v>
      </c>
      <c r="F4" s="680"/>
      <c r="G4" s="680"/>
      <c r="H4" s="680"/>
      <c r="I4" s="680"/>
      <c r="J4" s="681" t="str">
        <f>+'Introducción de datos'!D16</f>
        <v>Desde:</v>
      </c>
      <c r="K4" s="681"/>
      <c r="L4" s="253">
        <f>+'Introducción de datos'!E16</f>
        <v>42370</v>
      </c>
    </row>
    <row r="5" spans="2:12" ht="18.75" customHeight="1">
      <c r="B5" s="278"/>
      <c r="C5" s="278"/>
      <c r="D5" s="680" t="str">
        <f>+'Introducción de datos'!G4</f>
        <v>INNOVANDO SERVICIOS, REDUCIENDO RIESGOS, RENOVANDO VIDAS EN EL SALVADOR</v>
      </c>
      <c r="E5" s="680"/>
      <c r="F5" s="680"/>
      <c r="G5" s="680"/>
      <c r="H5" s="680"/>
      <c r="I5" s="680"/>
      <c r="J5" s="680"/>
      <c r="K5" s="278" t="str">
        <f>+'Introducción de datos'!F16</f>
        <v>Hasta:</v>
      </c>
      <c r="L5" s="253">
        <f>+'Introducción de datos'!G16</f>
        <v>42551</v>
      </c>
    </row>
    <row r="6" spans="2:9" ht="18.75">
      <c r="B6" s="279"/>
      <c r="C6" s="278"/>
      <c r="D6" s="255"/>
      <c r="E6" s="685" t="s">
        <v>145</v>
      </c>
      <c r="F6" s="685"/>
      <c r="G6" s="685"/>
      <c r="H6" s="685"/>
      <c r="I6" s="685"/>
    </row>
    <row r="7" spans="2:8" ht="15">
      <c r="B7" s="280" t="str">
        <f>+'Introducción de datos'!B71&amp;"     "&amp;+J3&amp;" "&amp;+L3</f>
        <v>M1: Estado de las condiciones precedentes y acciones con fecha límite     Periodo: P5</v>
      </c>
      <c r="C7" s="281"/>
      <c r="H7" s="280" t="str">
        <f>+'Introducción de datos'!B78&amp;"         "&amp;+J3&amp;"  "&amp;+L3</f>
        <v>M2: Estado de los principales puestos directivos del RP         Periodo:  P5</v>
      </c>
    </row>
    <row r="8" spans="2:12" ht="19.5" customHeight="1">
      <c r="B8" s="423" t="s">
        <v>292</v>
      </c>
      <c r="C8" s="686" t="s">
        <v>346</v>
      </c>
      <c r="D8" s="686"/>
      <c r="E8" s="686"/>
      <c r="F8" s="686"/>
      <c r="G8" s="282"/>
      <c r="H8" s="423" t="s">
        <v>292</v>
      </c>
      <c r="I8" s="684" t="s">
        <v>347</v>
      </c>
      <c r="J8" s="684"/>
      <c r="K8" s="684"/>
      <c r="L8" s="684"/>
    </row>
    <row r="9" spans="2:8" ht="15">
      <c r="B9" s="10"/>
      <c r="C9" s="10"/>
      <c r="D9" s="10"/>
      <c r="E9" s="10"/>
      <c r="F9" s="10"/>
      <c r="G9" s="10"/>
      <c r="H9" s="10"/>
    </row>
    <row r="10" spans="1:16" ht="15">
      <c r="A10" s="283"/>
      <c r="B10" s="10"/>
      <c r="C10" s="10"/>
      <c r="D10" s="687"/>
      <c r="E10" s="530"/>
      <c r="F10" s="530"/>
      <c r="G10" s="12"/>
      <c r="H10" s="10"/>
      <c r="N10" s="285"/>
      <c r="O10" s="285"/>
      <c r="P10" s="286"/>
    </row>
    <row r="11" spans="2:15" ht="15">
      <c r="B11" s="10"/>
      <c r="C11" s="284"/>
      <c r="D11" s="687"/>
      <c r="E11" s="284"/>
      <c r="F11" s="284"/>
      <c r="G11" s="284"/>
      <c r="H11" s="284"/>
      <c r="N11" s="10"/>
      <c r="O11" s="10"/>
    </row>
    <row r="12" spans="2:8" ht="15">
      <c r="B12" s="284"/>
      <c r="C12" s="287"/>
      <c r="D12" s="288"/>
      <c r="E12" s="288"/>
      <c r="F12" s="288"/>
      <c r="G12" s="288"/>
      <c r="H12" s="289"/>
    </row>
    <row r="13" spans="2:8" ht="15">
      <c r="B13" s="284"/>
      <c r="C13" s="287"/>
      <c r="D13" s="288"/>
      <c r="E13" s="288"/>
      <c r="F13" s="288"/>
      <c r="G13" s="288"/>
      <c r="H13" s="289"/>
    </row>
    <row r="15" spans="2:8" ht="27.75" customHeight="1">
      <c r="B15" s="280" t="str">
        <f>+'Introducción de datos'!B83&amp;"            "&amp;+J3&amp;" "&amp;+L3</f>
        <v>M3: Acuerdos contractuales (subreceptores)             Periodo: P5</v>
      </c>
      <c r="H15" s="280" t="str">
        <f>+'Introducción de datos'!B88&amp;"                "&amp;+J3&amp;" "&amp;+L3</f>
        <v>M4: Número de informes completos recibidos a tiempo                Periodo: P5</v>
      </c>
    </row>
    <row r="16" spans="2:12" ht="33.75" customHeight="1">
      <c r="B16" s="423" t="s">
        <v>292</v>
      </c>
      <c r="C16" s="684" t="s">
        <v>349</v>
      </c>
      <c r="D16" s="684"/>
      <c r="E16" s="684"/>
      <c r="F16" s="684"/>
      <c r="G16" s="282"/>
      <c r="H16" s="423" t="s">
        <v>292</v>
      </c>
      <c r="I16" s="684" t="s">
        <v>348</v>
      </c>
      <c r="J16" s="684"/>
      <c r="K16" s="684"/>
      <c r="L16" s="684"/>
    </row>
    <row r="17" spans="2:8" ht="15">
      <c r="B17" s="290"/>
      <c r="H17" s="291"/>
    </row>
    <row r="18" ht="15">
      <c r="M18" s="252"/>
    </row>
    <row r="25" ht="22.5" customHeight="1"/>
    <row r="26" spans="2:8" ht="15">
      <c r="B26" s="280" t="str">
        <f>+'Introducción de datos'!B95</f>
        <v>M5: Presupuesto y compra de productos y equipo sanitario, medicamentos y productos farmacéuticos</v>
      </c>
      <c r="H26" s="280" t="str">
        <f>+'Introducción de datos'!B108&amp;"    "&amp;+J3&amp;"  "&amp;+L3</f>
        <v>M6: Diferencia entre existencias actuales y existencias de seguridad    Periodo:  P5</v>
      </c>
    </row>
    <row r="27" spans="2:12" ht="36.75" customHeight="1">
      <c r="B27" s="423" t="s">
        <v>292</v>
      </c>
      <c r="C27" s="661" t="s">
        <v>391</v>
      </c>
      <c r="D27" s="662"/>
      <c r="E27" s="662"/>
      <c r="F27" s="663"/>
      <c r="G27" s="282"/>
      <c r="H27" s="423" t="s">
        <v>292</v>
      </c>
      <c r="I27" s="661" t="s">
        <v>390</v>
      </c>
      <c r="J27" s="662"/>
      <c r="K27" s="662"/>
      <c r="L27" s="663"/>
    </row>
    <row r="29" spans="6:12" ht="104.25" customHeight="1" thickBot="1">
      <c r="F29" s="292"/>
      <c r="G29" s="292"/>
      <c r="H29" s="454" t="s">
        <v>266</v>
      </c>
      <c r="I29" s="455" t="s">
        <v>267</v>
      </c>
      <c r="J29" s="456" t="s">
        <v>297</v>
      </c>
      <c r="K29" s="457" t="s">
        <v>298</v>
      </c>
      <c r="L29" s="458" t="s">
        <v>299</v>
      </c>
    </row>
    <row r="30" spans="6:12" ht="15" customHeight="1">
      <c r="F30" s="292"/>
      <c r="G30" s="292"/>
      <c r="H30" s="664" t="str">
        <f>+'Introducción de datos'!B111</f>
        <v>VIH / SIDA</v>
      </c>
      <c r="I30" s="459" t="str">
        <f>+'Introducción de datos'!C111</f>
        <v>CONDONES MASCULINOS (HSH)</v>
      </c>
      <c r="J30" s="682">
        <f>+'Introducción de datos'!I111</f>
        <v>10.645621763289952</v>
      </c>
      <c r="K30" s="668">
        <f>+'Introducción de datos'!J111</f>
        <v>5</v>
      </c>
      <c r="L30" s="672">
        <f>+'Introducción de datos'!K111</f>
        <v>5.645621763289952</v>
      </c>
    </row>
    <row r="31" spans="6:12" ht="15">
      <c r="F31" s="292"/>
      <c r="G31" s="292"/>
      <c r="H31" s="665"/>
      <c r="I31" s="293" t="str">
        <f>+'Introducción de datos'!C112</f>
        <v>CONDONES MASCULINOS (TS)</v>
      </c>
      <c r="J31" s="675"/>
      <c r="K31" s="669"/>
      <c r="L31" s="659"/>
    </row>
    <row r="32" spans="6:12" ht="15">
      <c r="F32" s="292"/>
      <c r="G32" s="292"/>
      <c r="H32" s="665"/>
      <c r="I32" s="293" t="str">
        <f>+'Introducción de datos'!C113</f>
        <v>CONDONES MASCULINOS (TRANS)</v>
      </c>
      <c r="J32" s="683"/>
      <c r="K32" s="670"/>
      <c r="L32" s="673"/>
    </row>
    <row r="33" spans="6:12" ht="15">
      <c r="F33" s="292"/>
      <c r="G33" s="292"/>
      <c r="H33" s="665"/>
      <c r="I33" s="293" t="str">
        <f>+'Introducción de datos'!C114</f>
        <v>CONDONES FEMENINOS (TS)</v>
      </c>
      <c r="J33" s="294">
        <f>+'Introducción de datos'!I114</f>
        <v>11.556631171345595</v>
      </c>
      <c r="K33" s="295">
        <f>+'Introducción de datos'!J114</f>
        <v>5</v>
      </c>
      <c r="L33" s="460">
        <f>+'Introducción de datos'!K114</f>
        <v>6.556631171345595</v>
      </c>
    </row>
    <row r="34" spans="6:12" ht="15">
      <c r="F34" s="292"/>
      <c r="G34" s="292"/>
      <c r="H34" s="665"/>
      <c r="I34" s="293" t="str">
        <f>+'Introducción de datos'!C115</f>
        <v>PRUEBAS RAPIDAS*</v>
      </c>
      <c r="J34" s="294">
        <f>+'Introducción de datos'!I115</f>
        <v>2.4895718990120748</v>
      </c>
      <c r="K34" s="295">
        <f>+'Introducción de datos'!J115</f>
        <v>5</v>
      </c>
      <c r="L34" s="460">
        <f>+'Introducción de datos'!K115</f>
        <v>-2.5104281009879252</v>
      </c>
    </row>
    <row r="35" spans="6:12" ht="15.75" thickBot="1">
      <c r="F35" s="292"/>
      <c r="G35" s="292"/>
      <c r="H35" s="665"/>
      <c r="I35" s="453" t="str">
        <f>+'Introducción de datos'!C116</f>
        <v>MANTAS DE LATEX</v>
      </c>
      <c r="J35" s="294">
        <f>+'Introducción de datos'!I116</f>
        <v>22.53474792334896</v>
      </c>
      <c r="K35" s="295">
        <f>+'Introducción de datos'!J116</f>
        <v>5</v>
      </c>
      <c r="L35" s="460">
        <f>+'Introducción de datos'!K116</f>
        <v>17.53474792334896</v>
      </c>
    </row>
    <row r="36" spans="2:12" ht="18" customHeight="1" thickBot="1">
      <c r="B36" s="688" t="str">
        <f>+'Introducción de datos'!B105</f>
        <v>* Incluye sólo los montos de las categorías 4 y 5 (Productos y equipamientos sanitarios y Medicamentos y productos farmacéuticos) de los  Informes Financieros Mejorados</v>
      </c>
      <c r="C36" s="688"/>
      <c r="D36" s="688"/>
      <c r="E36" s="688"/>
      <c r="F36" s="10"/>
      <c r="G36" s="10"/>
      <c r="H36" s="666"/>
      <c r="I36" s="453" t="str">
        <f>+'Introducción de datos'!C117</f>
        <v>LUBRICANTES/TUBOS HSH</v>
      </c>
      <c r="J36" s="674">
        <f>+'Introducción de datos'!I117</f>
        <v>19.290089822029643</v>
      </c>
      <c r="K36" s="671">
        <f>+'Introducción de datos'!J117</f>
        <v>5</v>
      </c>
      <c r="L36" s="658">
        <f>+'Introducción de datos'!K117</f>
        <v>14.290089822029643</v>
      </c>
    </row>
    <row r="37" spans="2:12" ht="15.75" thickBot="1">
      <c r="B37" s="688"/>
      <c r="C37" s="688"/>
      <c r="D37" s="688"/>
      <c r="E37" s="688"/>
      <c r="H37" s="666"/>
      <c r="I37" s="453" t="str">
        <f>+'Introducción de datos'!C118</f>
        <v>LUBRICANTES/TUBOS TS</v>
      </c>
      <c r="J37" s="675"/>
      <c r="K37" s="669"/>
      <c r="L37" s="659"/>
    </row>
    <row r="38" spans="2:12" ht="15.75" thickBot="1">
      <c r="B38" s="688"/>
      <c r="C38" s="688"/>
      <c r="D38" s="688"/>
      <c r="E38" s="688"/>
      <c r="H38" s="666"/>
      <c r="I38" s="453" t="str">
        <f>+'Introducción de datos'!C119</f>
        <v>LUBRICANTES/TUBOS TRANS</v>
      </c>
      <c r="J38" s="683"/>
      <c r="K38" s="670"/>
      <c r="L38" s="673"/>
    </row>
    <row r="39" spans="8:12" ht="15.75" thickBot="1">
      <c r="H39" s="666"/>
      <c r="I39" s="453" t="str">
        <f>+'Introducción de datos'!C120</f>
        <v>LUBRICANTES/SACHETS HSH</v>
      </c>
      <c r="J39" s="674">
        <f>+'Introducción de datos'!I120</f>
        <v>14.762422106353213</v>
      </c>
      <c r="K39" s="671">
        <f>+'Introducción de datos'!J120</f>
        <v>5</v>
      </c>
      <c r="L39" s="658">
        <f>+'Introducción de datos'!K120</f>
        <v>9.762422106353213</v>
      </c>
    </row>
    <row r="40" spans="8:12" ht="15.75" thickBot="1">
      <c r="H40" s="666"/>
      <c r="I40" s="485" t="str">
        <f>+'Introducción de datos'!C121</f>
        <v>LUBRICANTES/SACHETS TS</v>
      </c>
      <c r="J40" s="675"/>
      <c r="K40" s="669"/>
      <c r="L40" s="659"/>
    </row>
    <row r="41" spans="8:12" ht="15.75" thickBot="1">
      <c r="H41" s="667"/>
      <c r="I41" s="494" t="str">
        <f>+'Introducción de datos'!C121</f>
        <v>LUBRICANTES/SACHETS TS</v>
      </c>
      <c r="J41" s="676"/>
      <c r="K41" s="677"/>
      <c r="L41" s="660"/>
    </row>
  </sheetData>
  <sheetProtection/>
  <mergeCells count="28">
    <mergeCell ref="C16:F16"/>
    <mergeCell ref="L36:L38"/>
    <mergeCell ref="E6:I6"/>
    <mergeCell ref="C8:F8"/>
    <mergeCell ref="I8:L8"/>
    <mergeCell ref="D10:D11"/>
    <mergeCell ref="E10:F10"/>
    <mergeCell ref="I16:L16"/>
    <mergeCell ref="C27:F27"/>
    <mergeCell ref="B36:E38"/>
    <mergeCell ref="B2:L2"/>
    <mergeCell ref="C3:D3"/>
    <mergeCell ref="E3:I3"/>
    <mergeCell ref="J3:K3"/>
    <mergeCell ref="J30:J32"/>
    <mergeCell ref="J36:J38"/>
    <mergeCell ref="C4:D4"/>
    <mergeCell ref="E4:I4"/>
    <mergeCell ref="J4:K4"/>
    <mergeCell ref="D5:J5"/>
    <mergeCell ref="L39:L41"/>
    <mergeCell ref="I27:L27"/>
    <mergeCell ref="H30:H41"/>
    <mergeCell ref="K30:K32"/>
    <mergeCell ref="K36:K38"/>
    <mergeCell ref="L30:L32"/>
    <mergeCell ref="J39:J41"/>
    <mergeCell ref="K39:K41"/>
  </mergeCells>
  <conditionalFormatting sqref="D12:D13">
    <cfRule type="cellIs" priority="12" dxfId="49" operator="greaterThan" stopIfTrue="1">
      <formula>0</formula>
    </cfRule>
  </conditionalFormatting>
  <conditionalFormatting sqref="E12:E13">
    <cfRule type="cellIs" priority="13" dxfId="54" operator="greaterThan" stopIfTrue="1">
      <formula>0</formula>
    </cfRule>
  </conditionalFormatting>
  <conditionalFormatting sqref="F12:G13">
    <cfRule type="cellIs" priority="14" dxfId="42" operator="greaterThan" stopIfTrue="1">
      <formula>0</formula>
    </cfRule>
  </conditionalFormatting>
  <conditionalFormatting sqref="C4:D4">
    <cfRule type="cellIs" priority="15" dxfId="42" operator="equal" stopIfTrue="1">
      <formula>"C"</formula>
    </cfRule>
    <cfRule type="cellIs" priority="16" dxfId="43" operator="equal" stopIfTrue="1">
      <formula>"B2"</formula>
    </cfRule>
    <cfRule type="cellIs" priority="17" dxfId="44" operator="equal" stopIfTrue="1">
      <formula>"B1"</formula>
    </cfRule>
  </conditionalFormatting>
  <conditionalFormatting sqref="L30 L39 L33 L36">
    <cfRule type="cellIs" priority="18" dxfId="55" operator="lessThan" stopIfTrue="1">
      <formula>1</formula>
    </cfRule>
    <cfRule type="cellIs" priority="19" dxfId="56" operator="between" stopIfTrue="1">
      <formula>3</formula>
      <formula>17</formula>
    </cfRule>
    <cfRule type="cellIs" priority="20" dxfId="57" operator="between" stopIfTrue="1">
      <formula>1</formula>
      <formula>3</formula>
    </cfRule>
  </conditionalFormatting>
  <conditionalFormatting sqref="L35">
    <cfRule type="cellIs" priority="4" dxfId="55" operator="lessThan" stopIfTrue="1">
      <formula>1</formula>
    </cfRule>
    <cfRule type="cellIs" priority="5" dxfId="56" operator="between" stopIfTrue="1">
      <formula>3</formula>
      <formula>18</formula>
    </cfRule>
    <cfRule type="cellIs" priority="6" dxfId="57"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I28"/>
  <sheetViews>
    <sheetView showGridLines="0" zoomScale="80" zoomScaleNormal="80" zoomScalePageLayoutView="0" workbookViewId="0" topLeftCell="A13">
      <selection activeCell="L20" sqref="L20:Q20"/>
    </sheetView>
  </sheetViews>
  <sheetFormatPr defaultColWidth="11.421875" defaultRowHeight="15"/>
  <cols>
    <col min="1" max="1" width="0.42578125" style="0" customWidth="1"/>
    <col min="2" max="2" width="17.8515625" style="0" customWidth="1"/>
    <col min="3" max="3" width="16.140625" style="0" customWidth="1"/>
    <col min="4" max="4" width="17.28125" style="0" customWidth="1"/>
    <col min="5" max="5" width="8.00390625" style="0" customWidth="1"/>
    <col min="6" max="6" width="10.7109375" style="0" customWidth="1"/>
    <col min="7" max="7" width="8.28125" style="0" customWidth="1"/>
    <col min="8" max="8" width="6.28125" style="0" customWidth="1"/>
    <col min="9" max="9" width="6.00390625" style="0" customWidth="1"/>
    <col min="10" max="10" width="6.140625" style="0" customWidth="1"/>
    <col min="11" max="11" width="11.28125" style="0" customWidth="1"/>
    <col min="12" max="12" width="14.00390625" style="0" customWidth="1"/>
    <col min="13" max="13" width="11.7109375" style="0" customWidth="1"/>
    <col min="14" max="14" width="9.57421875" style="0" customWidth="1"/>
    <col min="15" max="15" width="7.421875" style="0" customWidth="1"/>
    <col min="16" max="16" width="15.7109375" style="0" customWidth="1"/>
    <col min="17" max="17" width="23.7109375" style="0" customWidth="1"/>
    <col min="18" max="18" width="21.8515625" style="0" customWidth="1"/>
    <col min="19" max="16384" width="9.140625" style="0" customWidth="1"/>
  </cols>
  <sheetData>
    <row r="1" spans="1:16" ht="26.25" customHeight="1">
      <c r="A1" s="6"/>
      <c r="B1" s="6"/>
      <c r="C1" s="6"/>
      <c r="D1" s="6"/>
      <c r="E1" s="6"/>
      <c r="F1" s="6"/>
      <c r="G1" s="6"/>
      <c r="H1" s="6"/>
      <c r="I1" s="6"/>
      <c r="J1" s="6"/>
      <c r="K1" s="6"/>
      <c r="L1" s="6"/>
      <c r="M1" s="6"/>
      <c r="N1" s="6"/>
      <c r="O1" s="6"/>
      <c r="P1" s="6"/>
    </row>
    <row r="2" spans="1:17" ht="21.75" customHeight="1">
      <c r="A2" s="6"/>
      <c r="B2" s="714" t="str">
        <f>+"Cuadro de mando:  "&amp;"  "&amp;+'Introducción de datos'!C4&amp;" - "&amp;'Introducción de datos'!G6</f>
        <v>Cuadro de mando:    El Salvador - VIH / SIDA</v>
      </c>
      <c r="C2" s="714"/>
      <c r="D2" s="714"/>
      <c r="E2" s="714"/>
      <c r="F2" s="714"/>
      <c r="G2" s="714"/>
      <c r="H2" s="714"/>
      <c r="I2" s="714"/>
      <c r="J2" s="714"/>
      <c r="K2" s="714"/>
      <c r="L2" s="714"/>
      <c r="M2" s="714"/>
      <c r="N2" s="714"/>
      <c r="O2" s="714"/>
      <c r="P2" s="714"/>
      <c r="Q2" s="714"/>
    </row>
    <row r="3" spans="1:17" ht="15">
      <c r="A3" s="6"/>
      <c r="B3" s="249" t="str">
        <f>+'Introducción de datos'!G8</f>
        <v>Seleccionar</v>
      </c>
      <c r="C3" s="657" t="str">
        <f>+'Introducción de datos'!I8</f>
        <v>Seleccionar</v>
      </c>
      <c r="D3" s="657"/>
      <c r="E3" s="654"/>
      <c r="F3" s="654"/>
      <c r="G3" s="654"/>
      <c r="H3" s="654"/>
      <c r="I3" s="654"/>
      <c r="J3" s="654"/>
      <c r="K3" s="654"/>
      <c r="L3" s="6"/>
      <c r="M3" s="6"/>
      <c r="O3" s="655" t="str">
        <f>+'Introducción de datos'!B16</f>
        <v>Periodo:</v>
      </c>
      <c r="P3" s="655"/>
      <c r="Q3" s="296" t="str">
        <f>+'Introducción de datos'!C16</f>
        <v>P5</v>
      </c>
    </row>
    <row r="4" spans="1:29" ht="12" customHeight="1">
      <c r="A4" s="6"/>
      <c r="B4" s="249" t="str">
        <f>+'Introducción de datos'!B12</f>
        <v>Ultima calificación:</v>
      </c>
      <c r="C4" s="719" t="str">
        <f>+'Introducción de datos'!C12</f>
        <v>B1</v>
      </c>
      <c r="D4" s="719"/>
      <c r="E4" s="654" t="str">
        <f>+'Introducción de datos'!C8</f>
        <v>PLAN  INTERNACIONAL</v>
      </c>
      <c r="F4" s="654"/>
      <c r="G4" s="654"/>
      <c r="H4" s="654"/>
      <c r="I4" s="654"/>
      <c r="J4" s="654"/>
      <c r="K4" s="654"/>
      <c r="L4" s="654"/>
      <c r="M4" s="6"/>
      <c r="O4" s="297"/>
      <c r="P4" s="249" t="str">
        <f>+'Introducción de datos'!D16</f>
        <v>Desde:</v>
      </c>
      <c r="Q4" s="298">
        <f>+'Introducción de datos'!E16</f>
        <v>42370</v>
      </c>
      <c r="Y4" s="263"/>
      <c r="Z4" s="263"/>
      <c r="AA4" s="263"/>
      <c r="AB4" s="263"/>
      <c r="AC4" s="263"/>
    </row>
    <row r="5" spans="1:35" ht="15.75" customHeight="1">
      <c r="A5" s="6"/>
      <c r="B5" s="249"/>
      <c r="C5" s="249"/>
      <c r="D5" s="654" t="str">
        <f>+'Introducción de datos'!G4</f>
        <v>INNOVANDO SERVICIOS, REDUCIENDO RIESGOS, RENOVANDO VIDAS EN EL SALVADOR</v>
      </c>
      <c r="E5" s="654"/>
      <c r="F5" s="654"/>
      <c r="G5" s="654"/>
      <c r="H5" s="654"/>
      <c r="I5" s="654"/>
      <c r="J5" s="654"/>
      <c r="K5" s="654"/>
      <c r="L5" s="654"/>
      <c r="M5" s="654"/>
      <c r="N5" s="654"/>
      <c r="P5" s="249" t="str">
        <f>+'Introducción de datos'!F16</f>
        <v>Hasta:</v>
      </c>
      <c r="Q5" s="298">
        <f>+'Introducción de datos'!G16</f>
        <v>42551</v>
      </c>
      <c r="S5" s="299"/>
      <c r="T5" s="299"/>
      <c r="U5" s="299"/>
      <c r="V5" s="299"/>
      <c r="W5" s="299"/>
      <c r="X5" s="299"/>
      <c r="Y5" s="263"/>
      <c r="Z5" s="263"/>
      <c r="AA5" s="263" t="s">
        <v>300</v>
      </c>
      <c r="AB5" s="263"/>
      <c r="AC5" s="300" t="s">
        <v>301</v>
      </c>
      <c r="AD5" s="299"/>
      <c r="AE5" s="299"/>
      <c r="AF5" s="299"/>
      <c r="AG5" s="299"/>
      <c r="AH5" s="299"/>
      <c r="AI5" s="299"/>
    </row>
    <row r="6" spans="1:35" ht="15.75" customHeight="1">
      <c r="A6" s="6"/>
      <c r="B6" s="249"/>
      <c r="C6" s="249"/>
      <c r="D6" s="301"/>
      <c r="E6" s="301"/>
      <c r="F6" s="720" t="s">
        <v>302</v>
      </c>
      <c r="G6" s="720"/>
      <c r="H6" s="720"/>
      <c r="I6" s="720"/>
      <c r="J6" s="720"/>
      <c r="K6" s="720"/>
      <c r="L6" s="301"/>
      <c r="M6" s="6"/>
      <c r="N6" s="6"/>
      <c r="O6" s="302"/>
      <c r="P6" s="303"/>
      <c r="S6" s="299"/>
      <c r="T6" s="299"/>
      <c r="U6" s="299"/>
      <c r="V6" s="299"/>
      <c r="W6" s="299"/>
      <c r="X6" s="299"/>
      <c r="Y6" s="263"/>
      <c r="Z6" s="263"/>
      <c r="AA6" s="263"/>
      <c r="AB6" s="263"/>
      <c r="AC6" s="263"/>
      <c r="AD6" s="299"/>
      <c r="AE6" s="299"/>
      <c r="AF6" s="299"/>
      <c r="AG6" s="299"/>
      <c r="AH6" s="299"/>
      <c r="AI6" s="299"/>
    </row>
    <row r="7" spans="1:35" ht="3" customHeight="1">
      <c r="A7" s="6"/>
      <c r="B7" s="249"/>
      <c r="C7" s="249"/>
      <c r="D7" s="301"/>
      <c r="E7" s="301"/>
      <c r="F7" s="301"/>
      <c r="G7" s="301"/>
      <c r="H7" s="301"/>
      <c r="I7" s="301"/>
      <c r="J7" s="301"/>
      <c r="K7" s="301"/>
      <c r="L7" s="301"/>
      <c r="M7" s="6"/>
      <c r="N7" s="6"/>
      <c r="O7" s="302"/>
      <c r="P7" s="253"/>
      <c r="Q7" s="253"/>
      <c r="S7" s="299"/>
      <c r="T7" s="299"/>
      <c r="U7" s="299"/>
      <c r="V7" s="299"/>
      <c r="W7" s="299"/>
      <c r="X7" s="299"/>
      <c r="Y7" s="263"/>
      <c r="Z7" s="263"/>
      <c r="AA7" s="263"/>
      <c r="AB7" s="263"/>
      <c r="AC7" s="263"/>
      <c r="AD7" s="299"/>
      <c r="AE7" s="299"/>
      <c r="AF7" s="299"/>
      <c r="AG7" s="299"/>
      <c r="AH7" s="299"/>
      <c r="AI7" s="299"/>
    </row>
    <row r="8" spans="1:35" ht="18.75" customHeight="1">
      <c r="A8" s="6"/>
      <c r="B8" s="715" t="str">
        <f>+'Introducción de datos'!B129</f>
        <v>% Y Número de personas HSH alcanzadas con el paquete básico de prevención de VIH</v>
      </c>
      <c r="C8" s="715"/>
      <c r="D8" s="715"/>
      <c r="E8" s="715"/>
      <c r="F8" s="715" t="str">
        <f>+'Introducción de datos'!B131</f>
        <v>% Y Número de personas TS alcanzadas con el paquete básico de prevención de VIH</v>
      </c>
      <c r="G8" s="715"/>
      <c r="H8" s="715"/>
      <c r="I8" s="715"/>
      <c r="J8" s="715"/>
      <c r="K8" s="715"/>
      <c r="L8" s="715" t="str">
        <f>+'Introducción de datos'!B133</f>
        <v>% Y Número de personas TRANS alcanzadas con el paquete básico de prevención de VIH</v>
      </c>
      <c r="M8" s="715"/>
      <c r="N8" s="715"/>
      <c r="O8" s="715"/>
      <c r="P8" s="715"/>
      <c r="Q8" s="715"/>
      <c r="S8" s="299"/>
      <c r="T8" s="299"/>
      <c r="U8" s="299"/>
      <c r="V8" s="299"/>
      <c r="W8" s="299"/>
      <c r="X8" s="299"/>
      <c r="Y8" s="263"/>
      <c r="Z8" s="263"/>
      <c r="AA8" s="263"/>
      <c r="AB8" s="263"/>
      <c r="AC8" s="263"/>
      <c r="AD8" s="299"/>
      <c r="AE8" s="299"/>
      <c r="AF8" s="299"/>
      <c r="AG8" s="299"/>
      <c r="AH8" s="299"/>
      <c r="AI8" s="299"/>
    </row>
    <row r="9" spans="1:35" ht="75" customHeight="1">
      <c r="A9" s="6"/>
      <c r="B9" s="422" t="s">
        <v>303</v>
      </c>
      <c r="C9" s="721" t="s">
        <v>373</v>
      </c>
      <c r="D9" s="722"/>
      <c r="E9" s="723"/>
      <c r="F9" s="422" t="s">
        <v>303</v>
      </c>
      <c r="G9" s="721" t="s">
        <v>374</v>
      </c>
      <c r="H9" s="722"/>
      <c r="I9" s="722"/>
      <c r="J9" s="722"/>
      <c r="K9" s="723"/>
      <c r="L9" s="422" t="s">
        <v>303</v>
      </c>
      <c r="M9" s="721" t="s">
        <v>375</v>
      </c>
      <c r="N9" s="722"/>
      <c r="O9" s="722"/>
      <c r="P9" s="722"/>
      <c r="Q9" s="723"/>
      <c r="S9" s="299"/>
      <c r="T9" s="299"/>
      <c r="U9" s="299"/>
      <c r="V9" s="299"/>
      <c r="W9" s="299"/>
      <c r="X9" s="299"/>
      <c r="Y9" s="299"/>
      <c r="Z9" s="299"/>
      <c r="AA9" s="299"/>
      <c r="AB9" s="299"/>
      <c r="AC9" s="299"/>
      <c r="AD9" s="299"/>
      <c r="AE9" s="299"/>
      <c r="AF9" s="299"/>
      <c r="AG9" s="299"/>
      <c r="AH9" s="299"/>
      <c r="AI9" s="299"/>
    </row>
    <row r="10" spans="1:35" ht="18.75" customHeight="1">
      <c r="A10" s="6"/>
      <c r="B10" s="249"/>
      <c r="C10" s="249"/>
      <c r="D10" s="301"/>
      <c r="E10" s="301"/>
      <c r="F10" s="301"/>
      <c r="G10" s="301"/>
      <c r="H10" s="301"/>
      <c r="I10" s="301"/>
      <c r="J10" s="301"/>
      <c r="K10" s="301"/>
      <c r="L10" s="301"/>
      <c r="M10" s="6"/>
      <c r="N10" s="6"/>
      <c r="O10" s="302"/>
      <c r="P10" s="253"/>
      <c r="S10" s="299"/>
      <c r="T10" s="299"/>
      <c r="U10" s="299"/>
      <c r="V10" s="299"/>
      <c r="W10" s="299"/>
      <c r="X10" s="299"/>
      <c r="Y10" s="299"/>
      <c r="Z10" s="299"/>
      <c r="AA10" s="299"/>
      <c r="AB10" s="299"/>
      <c r="AC10" s="299"/>
      <c r="AD10" s="299"/>
      <c r="AE10" s="299"/>
      <c r="AF10" s="299"/>
      <c r="AG10" s="299"/>
      <c r="AH10" s="299"/>
      <c r="AI10" s="299"/>
    </row>
    <row r="11" spans="1:35" ht="18.75" customHeight="1">
      <c r="A11" s="6"/>
      <c r="B11" s="249"/>
      <c r="C11" s="249"/>
      <c r="D11" s="301"/>
      <c r="E11" s="301"/>
      <c r="F11" s="301"/>
      <c r="G11" s="301"/>
      <c r="H11" s="301"/>
      <c r="I11" s="301"/>
      <c r="J11" s="301"/>
      <c r="K11" s="301"/>
      <c r="L11" s="301"/>
      <c r="M11" s="6"/>
      <c r="N11" s="6"/>
      <c r="O11" s="302"/>
      <c r="P11" s="253"/>
      <c r="S11" s="299"/>
      <c r="T11" s="299"/>
      <c r="U11" s="299"/>
      <c r="V11" s="299"/>
      <c r="W11" s="299"/>
      <c r="X11" s="299"/>
      <c r="Y11" s="299"/>
      <c r="Z11" s="299"/>
      <c r="AA11" s="299"/>
      <c r="AB11" s="299"/>
      <c r="AC11" s="299"/>
      <c r="AD11" s="299"/>
      <c r="AE11" s="299"/>
      <c r="AF11" s="299"/>
      <c r="AG11" s="299"/>
      <c r="AH11" s="299"/>
      <c r="AI11" s="299"/>
    </row>
    <row r="12" spans="1:35" ht="18.75" customHeight="1">
      <c r="A12" s="6"/>
      <c r="B12" s="249"/>
      <c r="C12" s="249"/>
      <c r="D12" s="301"/>
      <c r="E12" s="301"/>
      <c r="F12" s="301"/>
      <c r="G12" s="301"/>
      <c r="H12" s="301"/>
      <c r="I12" s="301"/>
      <c r="J12" s="301"/>
      <c r="K12" s="301"/>
      <c r="L12" s="301"/>
      <c r="M12" s="6"/>
      <c r="N12" s="6"/>
      <c r="O12" s="302"/>
      <c r="P12" s="253"/>
      <c r="S12" s="299"/>
      <c r="T12" s="299"/>
      <c r="U12" s="299"/>
      <c r="V12" s="299"/>
      <c r="W12" s="299"/>
      <c r="X12" s="299"/>
      <c r="Y12" s="299"/>
      <c r="Z12" s="299"/>
      <c r="AA12" s="299"/>
      <c r="AB12" s="299"/>
      <c r="AC12" s="299"/>
      <c r="AD12" s="299"/>
      <c r="AE12" s="299"/>
      <c r="AF12" s="299"/>
      <c r="AG12" s="299"/>
      <c r="AH12" s="299"/>
      <c r="AI12" s="299"/>
    </row>
    <row r="13" spans="1:35" ht="18.75" customHeight="1">
      <c r="A13" s="6"/>
      <c r="B13" s="249"/>
      <c r="C13" s="249"/>
      <c r="D13" s="301"/>
      <c r="E13" s="301"/>
      <c r="F13" s="301"/>
      <c r="G13" s="301"/>
      <c r="H13" s="301"/>
      <c r="I13" s="301"/>
      <c r="J13" s="301"/>
      <c r="K13" s="301"/>
      <c r="L13" s="301"/>
      <c r="M13" s="6"/>
      <c r="N13" s="6"/>
      <c r="O13" s="302"/>
      <c r="P13" s="253"/>
      <c r="S13" s="299"/>
      <c r="T13" s="299"/>
      <c r="U13" s="299"/>
      <c r="V13" s="299"/>
      <c r="W13" s="299"/>
      <c r="X13" s="299"/>
      <c r="Y13" s="299"/>
      <c r="Z13" s="299"/>
      <c r="AA13" s="299"/>
      <c r="AB13" s="299"/>
      <c r="AC13" s="299"/>
      <c r="AD13" s="299"/>
      <c r="AE13" s="299"/>
      <c r="AF13" s="299"/>
      <c r="AG13" s="299"/>
      <c r="AH13" s="299"/>
      <c r="AI13" s="299"/>
    </row>
    <row r="14" spans="1:35" ht="18.75" customHeight="1">
      <c r="A14" s="6"/>
      <c r="B14" s="249"/>
      <c r="C14" s="249"/>
      <c r="D14" s="301"/>
      <c r="E14" s="301"/>
      <c r="F14" s="301"/>
      <c r="G14" s="301"/>
      <c r="H14" s="301"/>
      <c r="I14" s="301"/>
      <c r="J14" s="301"/>
      <c r="K14" s="301"/>
      <c r="L14" s="301"/>
      <c r="M14" s="6"/>
      <c r="N14" s="6"/>
      <c r="O14" s="302"/>
      <c r="P14" s="253"/>
      <c r="S14" s="299"/>
      <c r="T14" s="299"/>
      <c r="U14" s="299"/>
      <c r="V14" s="299"/>
      <c r="W14" s="299"/>
      <c r="X14" s="299"/>
      <c r="Y14" s="299"/>
      <c r="Z14" s="299"/>
      <c r="AA14" s="299"/>
      <c r="AB14" s="299"/>
      <c r="AC14" s="299"/>
      <c r="AD14" s="299"/>
      <c r="AE14" s="299"/>
      <c r="AF14" s="299"/>
      <c r="AG14" s="299"/>
      <c r="AH14" s="299"/>
      <c r="AI14" s="299"/>
    </row>
    <row r="15" spans="1:35" ht="18.75" customHeight="1">
      <c r="A15" s="6"/>
      <c r="B15" s="249"/>
      <c r="C15" s="249"/>
      <c r="D15" s="301"/>
      <c r="E15" s="301"/>
      <c r="F15" s="301"/>
      <c r="G15" s="301"/>
      <c r="H15" s="301"/>
      <c r="I15" s="301"/>
      <c r="J15" s="301"/>
      <c r="K15" s="301"/>
      <c r="L15" s="301"/>
      <c r="M15" s="6"/>
      <c r="N15" s="6"/>
      <c r="O15" s="302"/>
      <c r="P15" s="253"/>
      <c r="S15" s="299"/>
      <c r="T15" s="299"/>
      <c r="U15" s="299"/>
      <c r="V15" s="299"/>
      <c r="W15" s="299"/>
      <c r="X15" s="299"/>
      <c r="Y15" s="299"/>
      <c r="Z15" s="299"/>
      <c r="AA15" s="299"/>
      <c r="AB15" s="299"/>
      <c r="AC15" s="299"/>
      <c r="AD15" s="299"/>
      <c r="AE15" s="299"/>
      <c r="AF15" s="299"/>
      <c r="AG15" s="299"/>
      <c r="AH15" s="299"/>
      <c r="AI15" s="299"/>
    </row>
    <row r="16" spans="1:35" ht="18.75" customHeight="1">
      <c r="A16" s="6"/>
      <c r="B16" s="249"/>
      <c r="C16" s="249"/>
      <c r="D16" s="301"/>
      <c r="E16" s="301"/>
      <c r="F16" s="301"/>
      <c r="G16" s="301"/>
      <c r="H16" s="301"/>
      <c r="I16" s="301"/>
      <c r="J16" s="301"/>
      <c r="K16" s="301"/>
      <c r="L16" s="301"/>
      <c r="M16" s="6"/>
      <c r="N16" s="6"/>
      <c r="O16" s="302"/>
      <c r="P16" s="253"/>
      <c r="S16" s="299"/>
      <c r="T16" s="299"/>
      <c r="U16" s="299"/>
      <c r="V16" s="299"/>
      <c r="W16" s="299"/>
      <c r="X16" s="299"/>
      <c r="Y16" s="299"/>
      <c r="Z16" s="299"/>
      <c r="AA16" s="299"/>
      <c r="AB16" s="299"/>
      <c r="AC16" s="299"/>
      <c r="AD16" s="299"/>
      <c r="AE16" s="299"/>
      <c r="AF16" s="299"/>
      <c r="AG16" s="299"/>
      <c r="AH16" s="299"/>
      <c r="AI16" s="299"/>
    </row>
    <row r="17" spans="1:35" ht="17.25" customHeight="1">
      <c r="A17" s="6"/>
      <c r="B17" s="249"/>
      <c r="C17" s="249"/>
      <c r="D17" s="301"/>
      <c r="E17" s="301"/>
      <c r="F17" s="301"/>
      <c r="G17" s="301"/>
      <c r="H17" s="301"/>
      <c r="I17" s="301"/>
      <c r="J17" s="301"/>
      <c r="K17" s="301"/>
      <c r="L17" s="301"/>
      <c r="M17" s="6"/>
      <c r="N17" s="6"/>
      <c r="O17" s="302"/>
      <c r="P17" s="253"/>
      <c r="S17" s="299"/>
      <c r="T17" s="299"/>
      <c r="U17" s="299"/>
      <c r="V17" s="299"/>
      <c r="W17" s="299"/>
      <c r="X17" s="299"/>
      <c r="Y17" s="299"/>
      <c r="Z17" s="299"/>
      <c r="AA17" s="299"/>
      <c r="AB17" s="299"/>
      <c r="AC17" s="299"/>
      <c r="AD17" s="299"/>
      <c r="AE17" s="299"/>
      <c r="AF17" s="299"/>
      <c r="AG17" s="299"/>
      <c r="AH17" s="299"/>
      <c r="AI17" s="299"/>
    </row>
    <row r="18" spans="1:35" ht="6" customHeight="1">
      <c r="A18" s="6"/>
      <c r="B18" s="254"/>
      <c r="C18" s="249"/>
      <c r="D18" s="255"/>
      <c r="E18" s="706"/>
      <c r="F18" s="706"/>
      <c r="G18" s="706"/>
      <c r="H18" s="706"/>
      <c r="I18" s="706"/>
      <c r="J18" s="706"/>
      <c r="K18" s="706"/>
      <c r="L18" s="6"/>
      <c r="M18" s="6"/>
      <c r="N18" s="6"/>
      <c r="O18" s="6"/>
      <c r="P18" s="6"/>
      <c r="S18" s="299"/>
      <c r="T18" s="299"/>
      <c r="U18" s="299"/>
      <c r="V18" s="299"/>
      <c r="W18" s="299"/>
      <c r="X18" s="299"/>
      <c r="Y18" s="299"/>
      <c r="Z18" s="299"/>
      <c r="AA18" s="299"/>
      <c r="AB18" s="299"/>
      <c r="AC18" s="299"/>
      <c r="AD18" s="299"/>
      <c r="AE18" s="299"/>
      <c r="AF18" s="299"/>
      <c r="AG18" s="299"/>
      <c r="AH18" s="299"/>
      <c r="AI18" s="299"/>
    </row>
    <row r="19" spans="1:35" ht="24" customHeight="1">
      <c r="A19" s="6"/>
      <c r="B19" s="707" t="s">
        <v>304</v>
      </c>
      <c r="C19" s="708"/>
      <c r="D19" s="709"/>
      <c r="E19" s="304" t="s">
        <v>280</v>
      </c>
      <c r="F19" s="304" t="s">
        <v>305</v>
      </c>
      <c r="G19" s="710" t="s">
        <v>306</v>
      </c>
      <c r="H19" s="711"/>
      <c r="I19" s="712" t="s">
        <v>307</v>
      </c>
      <c r="J19" s="713"/>
      <c r="K19" s="305" t="s">
        <v>308</v>
      </c>
      <c r="L19" s="724" t="s">
        <v>309</v>
      </c>
      <c r="M19" s="725"/>
      <c r="N19" s="725"/>
      <c r="O19" s="725"/>
      <c r="P19" s="725"/>
      <c r="Q19" s="725"/>
      <c r="R19" s="430" t="s">
        <v>316</v>
      </c>
      <c r="S19" s="428" t="s">
        <v>310</v>
      </c>
      <c r="T19" s="307">
        <v>0</v>
      </c>
      <c r="U19" s="308">
        <v>0.3</v>
      </c>
      <c r="V19" s="308">
        <v>0.6</v>
      </c>
      <c r="W19" s="308">
        <v>0.9</v>
      </c>
      <c r="X19" s="308">
        <v>1</v>
      </c>
      <c r="Y19" s="263"/>
      <c r="Z19" s="263"/>
      <c r="AA19" s="306" t="s">
        <v>311</v>
      </c>
      <c r="AB19" s="307">
        <v>0</v>
      </c>
      <c r="AC19" s="308">
        <v>0.2</v>
      </c>
      <c r="AD19" s="308">
        <v>0.4</v>
      </c>
      <c r="AE19" s="308">
        <v>0.6</v>
      </c>
      <c r="AF19" s="308">
        <v>0.8</v>
      </c>
      <c r="AG19" s="263"/>
      <c r="AH19" s="263"/>
      <c r="AI19" s="263"/>
    </row>
    <row r="20" spans="1:35" ht="204" customHeight="1">
      <c r="A20" s="6"/>
      <c r="B20" s="690" t="str">
        <f>+'Introducción de datos'!B129</f>
        <v>% Y Número de personas HSH alcanzadas con el paquete básico de prevención de VIH</v>
      </c>
      <c r="C20" s="691"/>
      <c r="D20" s="692"/>
      <c r="E20" s="425">
        <f>'Introducción de datos'!L129</f>
        <v>6923</v>
      </c>
      <c r="F20" s="425">
        <f>'Introducción de datos'!L130</f>
        <v>6181</v>
      </c>
      <c r="G20" s="693">
        <f aca="true" t="shared" si="0" ref="G20:G25">F20/E20</f>
        <v>0.8928210313447927</v>
      </c>
      <c r="H20" s="694"/>
      <c r="I20" s="694"/>
      <c r="J20" s="694"/>
      <c r="K20" s="695"/>
      <c r="L20" s="703" t="s">
        <v>394</v>
      </c>
      <c r="M20" s="704"/>
      <c r="N20" s="704"/>
      <c r="O20" s="704"/>
      <c r="P20" s="704"/>
      <c r="Q20" s="705"/>
      <c r="R20" s="716"/>
      <c r="S20" s="428" t="s">
        <v>312</v>
      </c>
      <c r="T20" s="309">
        <v>0.3</v>
      </c>
      <c r="U20" s="308">
        <v>0.6</v>
      </c>
      <c r="V20" s="308">
        <v>0.9</v>
      </c>
      <c r="W20" s="308">
        <v>1</v>
      </c>
      <c r="X20" s="308">
        <v>2</v>
      </c>
      <c r="Y20" s="263"/>
      <c r="Z20" s="263"/>
      <c r="AA20" s="306" t="s">
        <v>313</v>
      </c>
      <c r="AB20" s="309">
        <v>0.2</v>
      </c>
      <c r="AC20" s="308">
        <v>0.4</v>
      </c>
      <c r="AD20" s="308">
        <v>0.6</v>
      </c>
      <c r="AE20" s="308">
        <v>0.8</v>
      </c>
      <c r="AF20" s="308">
        <v>1</v>
      </c>
      <c r="AG20" s="263"/>
      <c r="AH20" s="263"/>
      <c r="AI20" s="263"/>
    </row>
    <row r="21" spans="1:35" ht="199.5" customHeight="1">
      <c r="A21" s="6"/>
      <c r="B21" s="690" t="str">
        <f>+'Introducción de datos'!B131</f>
        <v>% Y Número de personas TS alcanzadas con el paquete básico de prevención de VIH</v>
      </c>
      <c r="C21" s="691"/>
      <c r="D21" s="692"/>
      <c r="E21" s="425">
        <f>'Introducción de datos'!L131</f>
        <v>5324</v>
      </c>
      <c r="F21" s="425">
        <f>'Introducción de datos'!L132</f>
        <v>4030</v>
      </c>
      <c r="G21" s="693">
        <f t="shared" si="0"/>
        <v>0.7569496619083396</v>
      </c>
      <c r="H21" s="694"/>
      <c r="I21" s="694"/>
      <c r="J21" s="694"/>
      <c r="K21" s="695"/>
      <c r="L21" s="703" t="s">
        <v>395</v>
      </c>
      <c r="M21" s="704"/>
      <c r="N21" s="704"/>
      <c r="O21" s="704"/>
      <c r="P21" s="704"/>
      <c r="Q21" s="705"/>
      <c r="R21" s="717"/>
      <c r="S21" s="429"/>
      <c r="T21" s="310" t="str">
        <f>"de "&amp;T19&amp;" a "&amp;T20</f>
        <v>de 0 a 0.3</v>
      </c>
      <c r="U21" s="310" t="str">
        <f>"de "&amp;U19&amp;" a "&amp;U20</f>
        <v>de 0.3 a 0.6</v>
      </c>
      <c r="V21" s="310" t="str">
        <f>"de "&amp;V19&amp;" a "&amp;V20</f>
        <v>de 0.6 a 0.9</v>
      </c>
      <c r="W21" s="310" t="str">
        <f>"de "&amp;W19&amp;" a "&amp;W20</f>
        <v>de 0.9 a 1</v>
      </c>
      <c r="X21" s="310" t="str">
        <f>"de "&amp;X19&amp;" a "&amp;X20</f>
        <v>de 1 a 2</v>
      </c>
      <c r="Y21" s="263"/>
      <c r="Z21" s="311" t="s">
        <v>314</v>
      </c>
      <c r="AA21" s="312" t="s">
        <v>315</v>
      </c>
      <c r="AB21" s="310" t="str">
        <f>"de "&amp;AB19&amp;" a "&amp;AB20</f>
        <v>de 0 a 0.2</v>
      </c>
      <c r="AC21" s="310" t="str">
        <f>"de "&amp;AC19&amp;" a "&amp;AC20</f>
        <v>de 0.2 a 0.4</v>
      </c>
      <c r="AD21" s="310" t="str">
        <f>"de "&amp;AD19&amp;" a "&amp;AD20</f>
        <v>de 0.4 a 0.6</v>
      </c>
      <c r="AE21" s="310" t="str">
        <f>"de "&amp;AE19&amp;" a "&amp;AE20</f>
        <v>de 0.6 a 0.8</v>
      </c>
      <c r="AF21" s="310" t="str">
        <f>"de "&amp;AF19&amp;" a "&amp;AF20</f>
        <v>de 0.8 a 1</v>
      </c>
      <c r="AG21" s="263"/>
      <c r="AH21" s="263"/>
      <c r="AI21" s="263"/>
    </row>
    <row r="22" spans="1:35" ht="186" customHeight="1">
      <c r="A22" s="6"/>
      <c r="B22" s="690" t="str">
        <f>+'Introducción de datos'!B133</f>
        <v>% Y Número de personas TRANS alcanzadas con el paquete básico de prevención de VIH</v>
      </c>
      <c r="C22" s="691"/>
      <c r="D22" s="692"/>
      <c r="E22" s="425">
        <f>'Introducción de datos'!L133</f>
        <v>735</v>
      </c>
      <c r="F22" s="425">
        <f>'Introducción de datos'!L134</f>
        <v>773</v>
      </c>
      <c r="G22" s="693">
        <f t="shared" si="0"/>
        <v>1.051700680272109</v>
      </c>
      <c r="H22" s="694"/>
      <c r="I22" s="694"/>
      <c r="J22" s="694"/>
      <c r="K22" s="695"/>
      <c r="L22" s="703" t="s">
        <v>396</v>
      </c>
      <c r="M22" s="704"/>
      <c r="N22" s="704"/>
      <c r="O22" s="704"/>
      <c r="P22" s="704"/>
      <c r="Q22" s="705"/>
      <c r="R22" s="718"/>
      <c r="S22" s="429"/>
      <c r="T22" s="308" t="e">
        <f aca="true" t="shared" si="1" ref="T22:W26">IF($K20&gt;T$19,IF($K20&lt;=T$20,$K20,NA()),NA())</f>
        <v>#N/A</v>
      </c>
      <c r="U22" s="308" t="e">
        <f t="shared" si="1"/>
        <v>#N/A</v>
      </c>
      <c r="V22" s="308" t="e">
        <f t="shared" si="1"/>
        <v>#N/A</v>
      </c>
      <c r="W22" s="308" t="e">
        <f t="shared" si="1"/>
        <v>#N/A</v>
      </c>
      <c r="X22" s="308" t="e">
        <f>IF($K20&gt;X$19,IF($K20&lt;=X$20,1,NA()),NA())</f>
        <v>#N/A</v>
      </c>
      <c r="Y22" s="263"/>
      <c r="Z22" s="313" t="e">
        <f>+'Información de la subvención'!#REF!</f>
        <v>#REF!</v>
      </c>
      <c r="AA22" s="308" t="e">
        <f>+IF(Z22="A1",1,IF(Z22="A2",0.8,IF(Z22="B1",0.6,IF(Z22="B2",0.4,0.2))))</f>
        <v>#REF!</v>
      </c>
      <c r="AB22" s="308" t="e">
        <f>IF($AA22&gt;AB$19,IF($AA22&lt;=AB$20,$AA22,NA()),NA())</f>
        <v>#REF!</v>
      </c>
      <c r="AC22" s="308" t="e">
        <f aca="true" t="shared" si="2" ref="AC22:AF24">IF($AA22&gt;AC$19,IF($AA22&lt;=AC$20,$AA22,NA()),NA())</f>
        <v>#REF!</v>
      </c>
      <c r="AD22" s="308" t="e">
        <f t="shared" si="2"/>
        <v>#REF!</v>
      </c>
      <c r="AE22" s="308" t="e">
        <f t="shared" si="2"/>
        <v>#REF!</v>
      </c>
      <c r="AF22" s="308" t="e">
        <f t="shared" si="2"/>
        <v>#REF!</v>
      </c>
      <c r="AG22" s="263"/>
      <c r="AH22" s="263"/>
      <c r="AI22" s="263"/>
    </row>
    <row r="23" spans="1:35" ht="141" customHeight="1">
      <c r="A23" s="6"/>
      <c r="B23" s="690" t="str">
        <f>+'Introducción de datos'!B135</f>
        <v>% Y Número de personas HSH alcanzadas con el paquete complementario de prevención de VIH</v>
      </c>
      <c r="C23" s="691"/>
      <c r="D23" s="692"/>
      <c r="E23" s="425">
        <f>'Introducción de datos'!L135</f>
        <v>1098</v>
      </c>
      <c r="F23" s="425">
        <f>'Introducción de datos'!L136</f>
        <v>799</v>
      </c>
      <c r="G23" s="693">
        <f t="shared" si="0"/>
        <v>0.7276867030965392</v>
      </c>
      <c r="H23" s="694"/>
      <c r="I23" s="694"/>
      <c r="J23" s="694"/>
      <c r="K23" s="695"/>
      <c r="L23" s="696" t="s">
        <v>397</v>
      </c>
      <c r="M23" s="697"/>
      <c r="N23" s="697"/>
      <c r="O23" s="697"/>
      <c r="P23" s="697"/>
      <c r="Q23" s="698"/>
      <c r="R23" s="716"/>
      <c r="S23" s="429"/>
      <c r="T23" s="308" t="e">
        <f t="shared" si="1"/>
        <v>#N/A</v>
      </c>
      <c r="U23" s="308" t="e">
        <f t="shared" si="1"/>
        <v>#N/A</v>
      </c>
      <c r="V23" s="308" t="e">
        <f t="shared" si="1"/>
        <v>#N/A</v>
      </c>
      <c r="W23" s="308" t="e">
        <f t="shared" si="1"/>
        <v>#N/A</v>
      </c>
      <c r="X23" s="308" t="e">
        <f>IF($K21&gt;X$19,IF($K21&lt;=X$20,1,1),NA())</f>
        <v>#N/A</v>
      </c>
      <c r="Y23" s="263"/>
      <c r="Z23" s="313" t="e">
        <f>+'Información de la subvención'!#REF!</f>
        <v>#REF!</v>
      </c>
      <c r="AA23" s="308" t="e">
        <f>+IF(Z23="A1",1,IF(Z23="A2",0.8,IF(Z23="B1",0.6,IF(Z23="B2",0.4,0.2))))</f>
        <v>#REF!</v>
      </c>
      <c r="AB23" s="308" t="e">
        <f>IF($AA23&gt;AB$19,IF($AA23&lt;=AB$20,$AA23,NA()),NA())</f>
        <v>#REF!</v>
      </c>
      <c r="AC23" s="308" t="e">
        <f t="shared" si="2"/>
        <v>#REF!</v>
      </c>
      <c r="AD23" s="308" t="e">
        <f t="shared" si="2"/>
        <v>#REF!</v>
      </c>
      <c r="AE23" s="308" t="e">
        <f t="shared" si="2"/>
        <v>#REF!</v>
      </c>
      <c r="AF23" s="308" t="e">
        <f t="shared" si="2"/>
        <v>#REF!</v>
      </c>
      <c r="AG23" s="263"/>
      <c r="AH23" s="263"/>
      <c r="AI23" s="263"/>
    </row>
    <row r="24" spans="1:35" ht="147.75" customHeight="1">
      <c r="A24" s="6"/>
      <c r="B24" s="690" t="str">
        <f>+'Introducción de datos'!B137</f>
        <v>% Y Número de personas TS alcanzadas con el paquete complementario de prevención de VIH</v>
      </c>
      <c r="C24" s="691"/>
      <c r="D24" s="692"/>
      <c r="E24" s="425">
        <f>'Introducción de datos'!L137</f>
        <v>1535</v>
      </c>
      <c r="F24" s="425">
        <f>'Introducción de datos'!L138</f>
        <v>1746</v>
      </c>
      <c r="G24" s="693">
        <f t="shared" si="0"/>
        <v>1.1374592833876223</v>
      </c>
      <c r="H24" s="694"/>
      <c r="I24" s="694"/>
      <c r="J24" s="694"/>
      <c r="K24" s="695"/>
      <c r="L24" s="696" t="s">
        <v>398</v>
      </c>
      <c r="M24" s="697"/>
      <c r="N24" s="697"/>
      <c r="O24" s="697"/>
      <c r="P24" s="697"/>
      <c r="Q24" s="698"/>
      <c r="R24" s="717"/>
      <c r="S24" s="429"/>
      <c r="T24" s="308" t="e">
        <f t="shared" si="1"/>
        <v>#N/A</v>
      </c>
      <c r="U24" s="308" t="e">
        <f t="shared" si="1"/>
        <v>#N/A</v>
      </c>
      <c r="V24" s="308" t="e">
        <f t="shared" si="1"/>
        <v>#N/A</v>
      </c>
      <c r="W24" s="308" t="e">
        <f t="shared" si="1"/>
        <v>#N/A</v>
      </c>
      <c r="X24" s="308" t="e">
        <f>IF($K22&gt;X$19,IF($K22&lt;=X$20,1,NA()),NA())</f>
        <v>#N/A</v>
      </c>
      <c r="Y24" s="263"/>
      <c r="Z24" s="313" t="e">
        <f>+'Información de la subvención'!#REF!</f>
        <v>#REF!</v>
      </c>
      <c r="AA24" s="308" t="e">
        <f>+IF(Z24="A1",1,IF(Z24="A2",0.8,IF(Z24="B1",0.6,IF(Z24="B2",0.4,0.2))))</f>
        <v>#REF!</v>
      </c>
      <c r="AB24" s="308" t="e">
        <f>IF($AA24&gt;AB$19,IF($AA24&lt;=AB$20,$AA24,NA()),NA())</f>
        <v>#REF!</v>
      </c>
      <c r="AC24" s="308" t="e">
        <f t="shared" si="2"/>
        <v>#REF!</v>
      </c>
      <c r="AD24" s="308" t="e">
        <f t="shared" si="2"/>
        <v>#REF!</v>
      </c>
      <c r="AE24" s="308" t="e">
        <f t="shared" si="2"/>
        <v>#REF!</v>
      </c>
      <c r="AF24" s="308" t="e">
        <f t="shared" si="2"/>
        <v>#REF!</v>
      </c>
      <c r="AG24" s="263"/>
      <c r="AH24" s="263"/>
      <c r="AI24" s="263"/>
    </row>
    <row r="25" spans="1:35" ht="144" customHeight="1">
      <c r="A25" s="6"/>
      <c r="B25" s="690" t="str">
        <f>+'Introducción de datos'!B139</f>
        <v>% Y Número de personas TRANS alcanzadas con el paquete complementario de prevención de VIH</v>
      </c>
      <c r="C25" s="691"/>
      <c r="D25" s="692"/>
      <c r="E25" s="421">
        <f>'Introducción de datos'!L139</f>
        <v>269</v>
      </c>
      <c r="F25" s="421">
        <f>'Introducción de datos'!L140</f>
        <v>349</v>
      </c>
      <c r="G25" s="693">
        <f t="shared" si="0"/>
        <v>1.2973977695167287</v>
      </c>
      <c r="H25" s="694"/>
      <c r="I25" s="694"/>
      <c r="J25" s="694"/>
      <c r="K25" s="695"/>
      <c r="L25" s="696" t="s">
        <v>399</v>
      </c>
      <c r="M25" s="697"/>
      <c r="N25" s="697"/>
      <c r="O25" s="697"/>
      <c r="P25" s="697"/>
      <c r="Q25" s="698"/>
      <c r="R25" s="717"/>
      <c r="S25" s="429"/>
      <c r="T25" s="308" t="e">
        <f t="shared" si="1"/>
        <v>#N/A</v>
      </c>
      <c r="U25" s="308" t="e">
        <f t="shared" si="1"/>
        <v>#N/A</v>
      </c>
      <c r="V25" s="308" t="e">
        <f t="shared" si="1"/>
        <v>#N/A</v>
      </c>
      <c r="W25" s="308" t="e">
        <f t="shared" si="1"/>
        <v>#N/A</v>
      </c>
      <c r="X25" s="308" t="e">
        <f>IF($K23&gt;X$19,IF($K23&lt;=X$20,1,NA()),NA())</f>
        <v>#N/A</v>
      </c>
      <c r="Y25" s="263"/>
      <c r="Z25" s="263"/>
      <c r="AA25" s="263"/>
      <c r="AB25" s="263"/>
      <c r="AC25" s="263"/>
      <c r="AD25" s="263"/>
      <c r="AE25" s="263"/>
      <c r="AF25" s="263"/>
      <c r="AG25" s="263"/>
      <c r="AH25" s="263"/>
      <c r="AI25" s="263"/>
    </row>
    <row r="26" spans="1:35" ht="92.25" customHeight="1">
      <c r="A26" s="6"/>
      <c r="B26" s="690">
        <f>+'Introducción de datos'!B141</f>
        <v>0</v>
      </c>
      <c r="C26" s="691"/>
      <c r="D26" s="692"/>
      <c r="E26" s="421"/>
      <c r="F26" s="421"/>
      <c r="G26" s="699"/>
      <c r="H26" s="700"/>
      <c r="I26" s="700"/>
      <c r="J26" s="700"/>
      <c r="K26" s="701"/>
      <c r="L26" s="702"/>
      <c r="M26" s="702"/>
      <c r="N26" s="702"/>
      <c r="O26" s="702"/>
      <c r="P26" s="702"/>
      <c r="Q26" s="696"/>
      <c r="R26" s="431"/>
      <c r="S26" s="429"/>
      <c r="T26" s="308" t="e">
        <f t="shared" si="1"/>
        <v>#N/A</v>
      </c>
      <c r="U26" s="308" t="e">
        <f t="shared" si="1"/>
        <v>#N/A</v>
      </c>
      <c r="V26" s="308" t="e">
        <f t="shared" si="1"/>
        <v>#N/A</v>
      </c>
      <c r="W26" s="308" t="e">
        <f t="shared" si="1"/>
        <v>#N/A</v>
      </c>
      <c r="X26" s="308" t="e">
        <f>IF($K24&gt;X$19,IF($K24&lt;=X$20,1,NA()),NA())</f>
        <v>#N/A</v>
      </c>
      <c r="Y26" s="263"/>
      <c r="Z26" s="263"/>
      <c r="AA26" s="263"/>
      <c r="AB26" s="263"/>
      <c r="AC26" s="263"/>
      <c r="AD26" s="263"/>
      <c r="AE26" s="263"/>
      <c r="AF26" s="263"/>
      <c r="AG26" s="263"/>
      <c r="AH26" s="263"/>
      <c r="AI26" s="263"/>
    </row>
    <row r="27" spans="1:35" ht="15">
      <c r="A27" s="6"/>
      <c r="B27" s="6"/>
      <c r="C27" s="6"/>
      <c r="D27" s="6"/>
      <c r="E27" s="6"/>
      <c r="F27" s="6"/>
      <c r="G27" s="6"/>
      <c r="H27" s="6"/>
      <c r="I27" s="314"/>
      <c r="J27" s="90"/>
      <c r="K27" s="90"/>
      <c r="L27" s="6"/>
      <c r="M27" s="6"/>
      <c r="N27" s="6"/>
      <c r="O27" s="6"/>
      <c r="P27" s="6"/>
      <c r="S27" s="263"/>
      <c r="T27" s="263"/>
      <c r="U27" s="263"/>
      <c r="V27" s="263"/>
      <c r="W27" s="263"/>
      <c r="X27" s="263"/>
      <c r="Y27" s="263"/>
      <c r="Z27" s="263"/>
      <c r="AA27" s="263"/>
      <c r="AB27" s="263"/>
      <c r="AC27" s="263"/>
      <c r="AD27" s="263"/>
      <c r="AE27" s="263"/>
      <c r="AF27" s="263"/>
      <c r="AG27" s="263"/>
      <c r="AH27" s="263"/>
      <c r="AI27" s="263"/>
    </row>
    <row r="28" spans="1:35" ht="14.25" customHeight="1">
      <c r="A28" s="6"/>
      <c r="B28" s="6"/>
      <c r="C28" s="6"/>
      <c r="D28" s="6"/>
      <c r="E28" s="6"/>
      <c r="F28" s="6"/>
      <c r="G28" s="689" t="s">
        <v>372</v>
      </c>
      <c r="H28" s="689"/>
      <c r="I28" s="689"/>
      <c r="J28" s="689"/>
      <c r="K28" s="689"/>
      <c r="L28" s="689"/>
      <c r="M28" s="689"/>
      <c r="N28" s="689"/>
      <c r="O28" s="689"/>
      <c r="P28" s="689"/>
      <c r="Q28" s="689"/>
      <c r="S28" s="263"/>
      <c r="T28" s="263"/>
      <c r="U28" s="263"/>
      <c r="V28" s="263"/>
      <c r="W28" s="263"/>
      <c r="X28" s="263"/>
      <c r="Y28" s="263"/>
      <c r="Z28" s="263"/>
      <c r="AA28" s="263"/>
      <c r="AB28" s="263"/>
      <c r="AC28" s="263"/>
      <c r="AD28" s="263"/>
      <c r="AE28" s="263"/>
      <c r="AF28" s="263"/>
      <c r="AG28" s="263"/>
      <c r="AH28" s="263"/>
      <c r="AI28" s="263"/>
    </row>
  </sheetData>
  <sheetProtection selectLockedCells="1" selectUnlockedCells="1"/>
  <mergeCells count="43">
    <mergeCell ref="R20:R22"/>
    <mergeCell ref="R23:R25"/>
    <mergeCell ref="C4:D4"/>
    <mergeCell ref="E4:L4"/>
    <mergeCell ref="D5:N5"/>
    <mergeCell ref="F6:K6"/>
    <mergeCell ref="C9:E9"/>
    <mergeCell ref="G9:K9"/>
    <mergeCell ref="M9:Q9"/>
    <mergeCell ref="L19:Q19"/>
    <mergeCell ref="B2:Q2"/>
    <mergeCell ref="C3:D3"/>
    <mergeCell ref="E3:K3"/>
    <mergeCell ref="O3:P3"/>
    <mergeCell ref="B8:E8"/>
    <mergeCell ref="F8:K8"/>
    <mergeCell ref="L8:Q8"/>
    <mergeCell ref="B20:D20"/>
    <mergeCell ref="G20:K20"/>
    <mergeCell ref="L20:Q20"/>
    <mergeCell ref="E18:K18"/>
    <mergeCell ref="B19:D19"/>
    <mergeCell ref="G19:H19"/>
    <mergeCell ref="I19:J19"/>
    <mergeCell ref="B21:D21"/>
    <mergeCell ref="G21:K21"/>
    <mergeCell ref="L21:Q21"/>
    <mergeCell ref="B22:D22"/>
    <mergeCell ref="G22:K22"/>
    <mergeCell ref="L22:Q22"/>
    <mergeCell ref="B23:D23"/>
    <mergeCell ref="G23:K23"/>
    <mergeCell ref="L23:Q23"/>
    <mergeCell ref="B24:D24"/>
    <mergeCell ref="G24:K24"/>
    <mergeCell ref="L24:Q24"/>
    <mergeCell ref="G28:Q28"/>
    <mergeCell ref="B25:D25"/>
    <mergeCell ref="G25:K25"/>
    <mergeCell ref="L25:Q25"/>
    <mergeCell ref="B26:D26"/>
    <mergeCell ref="G26:K26"/>
    <mergeCell ref="L26:Q26"/>
  </mergeCells>
  <conditionalFormatting sqref="C4:D4">
    <cfRule type="cellIs" priority="31" dxfId="42" operator="equal" stopIfTrue="1">
      <formula>"C"</formula>
    </cfRule>
    <cfRule type="cellIs" priority="32" dxfId="43" operator="equal" stopIfTrue="1">
      <formula>"B2"</formula>
    </cfRule>
    <cfRule type="cellIs" priority="33" dxfId="44" operator="equal" stopIfTrue="1">
      <formula>"B1"</formula>
    </cfRule>
  </conditionalFormatting>
  <conditionalFormatting sqref="G20:G26">
    <cfRule type="cellIs" priority="34" dxfId="58" operator="between" stopIfTrue="1">
      <formula>0</formula>
      <formula>0.599</formula>
    </cfRule>
    <cfRule type="cellIs" priority="35" dxfId="57" operator="between" stopIfTrue="1">
      <formula>0.6</formula>
      <formula>0.899</formula>
    </cfRule>
    <cfRule type="cellIs" priority="36" dxfId="56"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r:id="rId2"/>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A2">
      <selection activeCell="D36" sqref="D36:G36"/>
    </sheetView>
  </sheetViews>
  <sheetFormatPr defaultColWidth="9.140625" defaultRowHeight="15"/>
  <cols>
    <col min="1" max="1" width="1.1484375" style="315" customWidth="1"/>
    <col min="2" max="2" width="19.28125" style="315" customWidth="1"/>
    <col min="3" max="3" width="1.1484375" style="315" customWidth="1"/>
    <col min="4" max="4" width="17.140625" style="315" customWidth="1"/>
    <col min="5" max="5" width="17.57421875" style="315" customWidth="1"/>
    <col min="6" max="6" width="9.7109375" style="315" customWidth="1"/>
    <col min="7" max="7" width="13.00390625" style="315" customWidth="1"/>
    <col min="8" max="8" width="4.28125" style="315" customWidth="1"/>
    <col min="9" max="9" width="15.8515625" style="315" customWidth="1"/>
    <col min="10" max="10" width="3.57421875" style="315" customWidth="1"/>
    <col min="11" max="11" width="7.57421875" style="316" customWidth="1"/>
    <col min="12" max="12" width="22.00390625" style="315" customWidth="1"/>
    <col min="13" max="13" width="12.00390625" style="315" customWidth="1"/>
    <col min="14" max="14" width="5.421875" style="315" customWidth="1"/>
    <col min="15" max="15" width="2.57421875" style="315" customWidth="1"/>
    <col min="16" max="16384" width="9.140625" style="315" customWidth="1"/>
  </cols>
  <sheetData>
    <row r="1" spans="1:14" ht="38.25" customHeight="1">
      <c r="A1" s="317"/>
      <c r="B1" s="317"/>
      <c r="C1" s="317"/>
      <c r="D1" s="317"/>
      <c r="E1" s="317"/>
      <c r="F1" s="317"/>
      <c r="G1" s="317"/>
      <c r="H1" s="317"/>
      <c r="I1" s="317"/>
      <c r="J1" s="317"/>
      <c r="K1" s="318"/>
      <c r="L1" s="317"/>
      <c r="M1" s="317"/>
      <c r="N1" s="317"/>
    </row>
    <row r="2" spans="1:256" ht="27.75" customHeight="1">
      <c r="A2" s="6"/>
      <c r="B2" s="714" t="str">
        <f>+"Cuadro de mando:  "&amp;"  "&amp;+'Introducción de datos'!C4&amp;" - "&amp;'Introducción de datos'!G6</f>
        <v>Cuadro de mando:    El Salvador - VIH / SIDA</v>
      </c>
      <c r="C2" s="714"/>
      <c r="D2" s="714"/>
      <c r="E2" s="714"/>
      <c r="F2" s="714"/>
      <c r="G2" s="714"/>
      <c r="H2" s="714"/>
      <c r="I2" s="714"/>
      <c r="J2" s="714"/>
      <c r="K2" s="714"/>
      <c r="L2" s="714"/>
      <c r="M2" s="714"/>
      <c r="N2" s="714"/>
      <c r="O2" s="31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49" t="str">
        <f>+'Introducción de datos'!G8</f>
        <v>Seleccionar</v>
      </c>
      <c r="C3" s="657" t="str">
        <f>+'Introducción de datos'!I8</f>
        <v>Seleccionar</v>
      </c>
      <c r="D3" s="657"/>
      <c r="E3" s="753"/>
      <c r="F3" s="753"/>
      <c r="G3" s="753"/>
      <c r="H3" s="753"/>
      <c r="I3" s="753"/>
      <c r="J3" s="753"/>
      <c r="K3" s="753"/>
      <c r="L3" s="249" t="str">
        <f>+'Introducción de datos'!B16</f>
        <v>Periodo:</v>
      </c>
      <c r="M3" s="296" t="str">
        <f>+'Introducción de datos'!C16</f>
        <v>P5</v>
      </c>
      <c r="N3" s="296"/>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49" t="str">
        <f>+'Introducción de datos'!B12</f>
        <v>Ultima calificación:</v>
      </c>
      <c r="C4" s="719" t="str">
        <f>+'Introducción de datos'!C12</f>
        <v>B1</v>
      </c>
      <c r="D4" s="719"/>
      <c r="E4" s="654" t="str">
        <f>+'Introducción de datos'!C8</f>
        <v>PLAN  INTERNACIONAL</v>
      </c>
      <c r="F4" s="654"/>
      <c r="G4" s="654"/>
      <c r="H4" s="654"/>
      <c r="I4" s="654"/>
      <c r="J4" s="654"/>
      <c r="K4" s="654"/>
      <c r="L4" s="249" t="str">
        <f>+'Introducción de datos'!D16</f>
        <v>Desde:</v>
      </c>
      <c r="M4" s="253">
        <f>+'Introducción de datos'!E16</f>
        <v>42370</v>
      </c>
      <c r="N4" s="25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49"/>
      <c r="C5" s="249"/>
      <c r="D5" s="255"/>
      <c r="E5" s="654" t="str">
        <f>+'Introducción de datos'!G4</f>
        <v>INNOVANDO SERVICIOS, REDUCIENDO RIESGOS, RENOVANDO VIDAS EN EL SALVADOR</v>
      </c>
      <c r="F5" s="654"/>
      <c r="G5" s="654"/>
      <c r="H5" s="654"/>
      <c r="I5" s="654"/>
      <c r="J5" s="654"/>
      <c r="K5" s="654"/>
      <c r="L5" s="249" t="str">
        <f>+'Introducción de datos'!F16</f>
        <v>Hasta:</v>
      </c>
      <c r="M5" s="253">
        <f>+'Introducción de datos'!G16</f>
        <v>42551</v>
      </c>
      <c r="N5" s="25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56"/>
      <c r="C6" s="250"/>
      <c r="D6" s="255"/>
      <c r="E6" s="749" t="s">
        <v>313</v>
      </c>
      <c r="F6" s="749"/>
      <c r="G6" s="749"/>
      <c r="H6" s="749"/>
      <c r="I6" s="749"/>
      <c r="J6" s="749"/>
      <c r="K6" s="749"/>
      <c r="L6" s="141"/>
      <c r="M6" s="141"/>
      <c r="N6" s="141"/>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24" customFormat="1" ht="4.5" customHeight="1">
      <c r="A7" s="320"/>
      <c r="B7" s="321"/>
      <c r="C7" s="321"/>
      <c r="D7" s="321"/>
      <c r="E7" s="321"/>
      <c r="F7" s="321"/>
      <c r="G7" s="321"/>
      <c r="H7" s="321"/>
      <c r="I7" s="321"/>
      <c r="J7" s="321"/>
      <c r="K7" s="321"/>
      <c r="L7" s="322"/>
      <c r="M7" s="322"/>
      <c r="N7" s="323"/>
    </row>
    <row r="8" spans="1:14" s="324" customFormat="1" ht="21" customHeight="1">
      <c r="A8" s="320"/>
      <c r="B8" s="732" t="s">
        <v>0</v>
      </c>
      <c r="C8" s="732"/>
      <c r="D8" s="732"/>
      <c r="E8" s="732"/>
      <c r="F8" s="732"/>
      <c r="G8" s="732"/>
      <c r="H8" s="732"/>
      <c r="I8" s="732"/>
      <c r="J8" s="732"/>
      <c r="K8" s="732"/>
      <c r="L8" s="732"/>
      <c r="M8" s="732"/>
      <c r="N8" s="732"/>
    </row>
    <row r="9" spans="1:14" s="324" customFormat="1" ht="3.75" customHeight="1">
      <c r="A9" s="320"/>
      <c r="B9" s="321"/>
      <c r="C9" s="321"/>
      <c r="D9" s="321"/>
      <c r="E9" s="321"/>
      <c r="F9" s="321"/>
      <c r="G9" s="321"/>
      <c r="H9" s="321"/>
      <c r="I9" s="321"/>
      <c r="J9" s="321"/>
      <c r="K9" s="321"/>
      <c r="L9" s="322"/>
      <c r="M9" s="322"/>
      <c r="N9" s="323"/>
    </row>
    <row r="10" spans="1:14" s="327" customFormat="1" ht="25.5" customHeight="1">
      <c r="A10" s="325"/>
      <c r="B10" s="750" t="s">
        <v>1</v>
      </c>
      <c r="C10" s="750"/>
      <c r="D10" s="751" t="s">
        <v>312</v>
      </c>
      <c r="E10" s="751"/>
      <c r="F10" s="751"/>
      <c r="G10" s="751"/>
      <c r="H10" s="326"/>
      <c r="I10" s="751" t="s">
        <v>313</v>
      </c>
      <c r="J10" s="751"/>
      <c r="K10" s="751"/>
      <c r="L10" s="751"/>
      <c r="M10" s="751"/>
      <c r="N10" s="751"/>
    </row>
    <row r="11" spans="1:14" s="327" customFormat="1" ht="28.5" customHeight="1">
      <c r="A11" s="325"/>
      <c r="B11" s="328" t="s">
        <v>2</v>
      </c>
      <c r="C11" s="329"/>
      <c r="D11" s="746" t="str">
        <f>IF(ISBLANK(Financiamiento!C9),"",(Financiamiento!C9))</f>
        <v>Al cierre del P5, el FM ha desembolsado $ 10,089,241.00, Para el P6, se tiene previsto desembolsos por la suma de $ 1,798,489.00 Quedando pendientes con relación al presupuesto, $ 1,043,799.00 lo que representa economias al cierre del P5.</v>
      </c>
      <c r="E11" s="746"/>
      <c r="F11" s="746"/>
      <c r="G11" s="746"/>
      <c r="H11" s="330"/>
      <c r="I11" s="747"/>
      <c r="J11" s="747"/>
      <c r="K11" s="747"/>
      <c r="L11" s="747"/>
      <c r="M11" s="747"/>
      <c r="N11" s="747"/>
    </row>
    <row r="12" spans="1:14" s="327" customFormat="1" ht="27.75" customHeight="1">
      <c r="A12" s="325"/>
      <c r="B12" s="331" t="s">
        <v>3</v>
      </c>
      <c r="C12" s="332"/>
      <c r="D12" s="746" t="str">
        <f>IF(ISBLANK(Financiamiento!C24),"",(Financiamiento!C24))</f>
        <v>La varianza por objetivos con relación al presupuesto esta compuesta por:
Objetivo #1, 4.71% corresponde a compromisos y recalendarizaciones y 9.93% corresponde a economía.
Objetivo #2, 6.85% corresponde a compromisos y recalendarizaciones y 10.26% corresponde a economía.
Objetivo #3, 8.12% corresponde a compromisos y recalendarizaciones y 8% corresponde a economía.</v>
      </c>
      <c r="E12" s="746"/>
      <c r="F12" s="746"/>
      <c r="G12" s="746"/>
      <c r="H12" s="330"/>
      <c r="I12" s="748"/>
      <c r="J12" s="748"/>
      <c r="K12" s="748"/>
      <c r="L12" s="748"/>
      <c r="M12" s="748"/>
      <c r="N12" s="748"/>
    </row>
    <row r="13" spans="1:14" s="327" customFormat="1" ht="26.25" customHeight="1">
      <c r="A13" s="325"/>
      <c r="B13" s="331" t="s">
        <v>4</v>
      </c>
      <c r="C13" s="332"/>
      <c r="D13" s="746" t="str">
        <f>IF(ISBLANK(Financiamiento!I9),"",(Financiamiento!I9))</f>
        <v>La variación entre los desembolsos efectuados por el Fondo Mundial y los gastos del RP+ desembolsos a SR, se debe principalmente a que: al cierre del periodo a junio, que el RP no logro realizar en el P4 y al desembolso del colchón presupuestario para el año 2016. 
La variacion entre los desembolsos a SR y los gastos ejecutados por ellos, se debe principalmente a las economías que fueron recalendarizadas para el año 2015 y a la contratación tardía de recursos humanos en algunos SR que no permitieron la ejecucion total del desembolso asignado.</v>
      </c>
      <c r="E13" s="746"/>
      <c r="F13" s="746"/>
      <c r="G13" s="746"/>
      <c r="H13" s="330"/>
      <c r="I13" s="752"/>
      <c r="J13" s="752"/>
      <c r="K13" s="752"/>
      <c r="L13" s="752"/>
      <c r="M13" s="752"/>
      <c r="N13" s="752"/>
    </row>
    <row r="14" spans="1:14" s="327" customFormat="1" ht="28.5" customHeight="1">
      <c r="A14" s="325"/>
      <c r="B14" s="333" t="s">
        <v>5</v>
      </c>
      <c r="C14" s="334"/>
      <c r="D14" s="744" t="str">
        <f>IF(ISBLANK(Financiamiento!I24),"",(Financiamiento!I24))</f>
        <v>A solicitud del Fondo Mundial, se presento informe PUDR el 15 de Marzo del 2016 (nueva fecha limite), no se presentarón inconvenientes ni con el envio de desembolsos por el FM al RP, ni en la entrega de desembolsos del RP a los SR.</v>
      </c>
      <c r="E14" s="744"/>
      <c r="F14" s="744"/>
      <c r="G14" s="744"/>
      <c r="H14" s="330"/>
      <c r="I14" s="745"/>
      <c r="J14" s="745"/>
      <c r="K14" s="745"/>
      <c r="L14" s="745"/>
      <c r="M14" s="745"/>
      <c r="N14" s="745"/>
    </row>
    <row r="15" spans="1:15" s="327" customFormat="1" ht="4.5" customHeight="1">
      <c r="A15" s="325"/>
      <c r="B15" s="335"/>
      <c r="C15" s="336"/>
      <c r="D15" s="337"/>
      <c r="E15" s="337"/>
      <c r="F15" s="337"/>
      <c r="G15" s="337"/>
      <c r="H15" s="330"/>
      <c r="I15" s="338"/>
      <c r="J15" s="338"/>
      <c r="K15" s="338"/>
      <c r="L15" s="338"/>
      <c r="M15" s="338"/>
      <c r="N15" s="338"/>
      <c r="O15" s="339"/>
    </row>
    <row r="16" spans="1:14" s="324" customFormat="1" ht="21" customHeight="1">
      <c r="A16" s="320"/>
      <c r="B16" s="732" t="s">
        <v>6</v>
      </c>
      <c r="C16" s="732"/>
      <c r="D16" s="732"/>
      <c r="E16" s="732"/>
      <c r="F16" s="732"/>
      <c r="G16" s="732"/>
      <c r="H16" s="732"/>
      <c r="I16" s="732"/>
      <c r="J16" s="732"/>
      <c r="K16" s="732"/>
      <c r="L16" s="732"/>
      <c r="M16" s="732"/>
      <c r="N16" s="732"/>
    </row>
    <row r="17" spans="1:14" s="327" customFormat="1" ht="3.75" customHeight="1">
      <c r="A17" s="325"/>
      <c r="B17" s="340"/>
      <c r="C17" s="341"/>
      <c r="D17" s="342"/>
      <c r="E17" s="343"/>
      <c r="F17" s="344"/>
      <c r="G17" s="344"/>
      <c r="H17" s="345"/>
      <c r="I17" s="346"/>
      <c r="J17" s="347"/>
      <c r="K17" s="348"/>
      <c r="L17" s="349"/>
      <c r="M17" s="350"/>
      <c r="N17" s="351"/>
    </row>
    <row r="18" spans="1:14" s="327" customFormat="1" ht="22.5" customHeight="1">
      <c r="A18" s="325"/>
      <c r="B18" s="741" t="s">
        <v>311</v>
      </c>
      <c r="C18" s="741"/>
      <c r="D18" s="742" t="s">
        <v>312</v>
      </c>
      <c r="E18" s="742"/>
      <c r="F18" s="742"/>
      <c r="G18" s="742"/>
      <c r="H18" s="326"/>
      <c r="I18" s="743" t="s">
        <v>313</v>
      </c>
      <c r="J18" s="743"/>
      <c r="K18" s="743"/>
      <c r="L18" s="743"/>
      <c r="M18" s="743"/>
      <c r="N18" s="743"/>
    </row>
    <row r="19" spans="1:14" s="327" customFormat="1" ht="21.75" customHeight="1">
      <c r="A19" s="325"/>
      <c r="B19" s="352" t="s">
        <v>314</v>
      </c>
      <c r="C19" s="353"/>
      <c r="D19" s="739" t="str">
        <f>IF(ISBLANK(Gestión!C8),"",(Gestión!C8))</f>
        <v>No existieron condiciones precedentes</v>
      </c>
      <c r="E19" s="739"/>
      <c r="F19" s="739"/>
      <c r="G19" s="739"/>
      <c r="H19" s="354"/>
      <c r="I19" s="740"/>
      <c r="J19" s="740"/>
      <c r="K19" s="740"/>
      <c r="L19" s="740"/>
      <c r="M19" s="740"/>
      <c r="N19" s="740"/>
    </row>
    <row r="20" spans="1:15" ht="24.75" customHeight="1">
      <c r="A20" s="317"/>
      <c r="B20" s="355" t="s">
        <v>315</v>
      </c>
      <c r="C20" s="356"/>
      <c r="D20" s="735" t="str">
        <f>IF(ISBLANK(Gestión!I8),"",(Gestión!I8))</f>
        <v>Los recursos estan contratados desde el primer semestre</v>
      </c>
      <c r="E20" s="735" t="e">
        <f>+'Introducción de datos'!D75/'Introducción de datos'!G75</f>
        <v>#DIV/0!</v>
      </c>
      <c r="F20" s="735" t="e">
        <f>+('Introducción de datos'!E75+'Introducción de datos'!F75)/'Introducción de datos'!G75</f>
        <v>#DIV/0!</v>
      </c>
      <c r="G20" s="735"/>
      <c r="H20" s="354"/>
      <c r="I20" s="736"/>
      <c r="J20" s="736"/>
      <c r="K20" s="736"/>
      <c r="L20" s="736"/>
      <c r="M20" s="736"/>
      <c r="N20" s="736"/>
      <c r="O20" s="357"/>
    </row>
    <row r="21" spans="1:15" ht="29.25" customHeight="1">
      <c r="A21" s="317"/>
      <c r="B21" s="358" t="s">
        <v>7</v>
      </c>
      <c r="C21" s="356"/>
      <c r="D21" s="735" t="str">
        <f>IF(ISBLANK(Gestión!C16),"",(Gestión!C16))</f>
        <v>10 subreceptores contratados , 6 contratos fueron firmados en el primer semestre y el resto corresponden al segundo semestre.</v>
      </c>
      <c r="E21" s="735"/>
      <c r="F21" s="735"/>
      <c r="G21" s="735"/>
      <c r="H21" s="354"/>
      <c r="I21" s="736"/>
      <c r="J21" s="736"/>
      <c r="K21" s="736"/>
      <c r="L21" s="736"/>
      <c r="M21" s="736"/>
      <c r="N21" s="736"/>
      <c r="O21" s="357"/>
    </row>
    <row r="22" spans="1:15" ht="26.25" customHeight="1">
      <c r="A22" s="317"/>
      <c r="B22" s="358" t="s">
        <v>8</v>
      </c>
      <c r="C22" s="356"/>
      <c r="D22" s="735" t="str">
        <f>IF(ISBLANK(Gestión!I16),"",(Gestión!I16))</f>
        <v>Los 10 SR presentaron sus informes de ejecucion técnica y financiera, correspondiente al segundo semestre.</v>
      </c>
      <c r="E22" s="735"/>
      <c r="F22" s="735"/>
      <c r="G22" s="735"/>
      <c r="H22" s="354"/>
      <c r="I22" s="736"/>
      <c r="J22" s="736"/>
      <c r="K22" s="736"/>
      <c r="L22" s="736"/>
      <c r="M22" s="736"/>
      <c r="N22" s="736"/>
      <c r="O22" s="357"/>
    </row>
    <row r="23" spans="1:15" ht="24.75" customHeight="1">
      <c r="A23" s="317"/>
      <c r="B23" s="358" t="s">
        <v>9</v>
      </c>
      <c r="C23" s="356"/>
      <c r="D23" s="735" t="str">
        <f>IF(ISBLANK(Gestión!C27),"",(Gestión!C27))</f>
        <v>La adquisicion de producto de salud a partir del 2015 ha sido realizada por Plan como RP.</v>
      </c>
      <c r="E23" s="735"/>
      <c r="F23" s="735"/>
      <c r="G23" s="735"/>
      <c r="H23" s="354"/>
      <c r="I23" s="736"/>
      <c r="J23" s="736"/>
      <c r="K23" s="736"/>
      <c r="L23" s="736"/>
      <c r="M23" s="736"/>
      <c r="N23" s="736"/>
      <c r="O23" s="357"/>
    </row>
    <row r="24" spans="1:15" ht="27" customHeight="1">
      <c r="A24" s="317"/>
      <c r="B24" s="359" t="s">
        <v>10</v>
      </c>
      <c r="C24" s="360"/>
      <c r="D24" s="737" t="str">
        <f>IF(ISBLANK(Gestión!I27),"",(Gestión!I27))</f>
        <v>Al cierre del periodo los productos que presentaban riesgo eran las preuba orales, a la fecha esta en proceso la compra.</v>
      </c>
      <c r="E24" s="737"/>
      <c r="F24" s="737"/>
      <c r="G24" s="737"/>
      <c r="H24" s="354"/>
      <c r="I24" s="738"/>
      <c r="J24" s="738"/>
      <c r="K24" s="738"/>
      <c r="L24" s="738"/>
      <c r="M24" s="738"/>
      <c r="N24" s="738"/>
      <c r="O24" s="357"/>
    </row>
    <row r="25" spans="1:15" ht="4.5" customHeight="1">
      <c r="A25" s="320"/>
      <c r="B25" s="361"/>
      <c r="C25" s="362"/>
      <c r="D25" s="363"/>
      <c r="E25" s="364"/>
      <c r="F25" s="365"/>
      <c r="G25" s="365"/>
      <c r="H25" s="326"/>
      <c r="I25" s="364"/>
      <c r="J25" s="366"/>
      <c r="K25" s="348"/>
      <c r="L25" s="349"/>
      <c r="M25" s="350"/>
      <c r="N25" s="351"/>
      <c r="O25" s="357"/>
    </row>
    <row r="26" spans="1:14" s="324" customFormat="1" ht="21" customHeight="1">
      <c r="A26" s="320"/>
      <c r="B26" s="732" t="s">
        <v>11</v>
      </c>
      <c r="C26" s="732"/>
      <c r="D26" s="732"/>
      <c r="E26" s="732"/>
      <c r="F26" s="732"/>
      <c r="G26" s="732"/>
      <c r="H26" s="732"/>
      <c r="I26" s="732"/>
      <c r="J26" s="732"/>
      <c r="K26" s="732"/>
      <c r="L26" s="732"/>
      <c r="M26" s="732"/>
      <c r="N26" s="732"/>
    </row>
    <row r="27" spans="1:15" ht="3.75" customHeight="1">
      <c r="A27" s="320"/>
      <c r="B27" s="361"/>
      <c r="C27" s="362"/>
      <c r="D27" s="363"/>
      <c r="E27" s="364"/>
      <c r="F27" s="365"/>
      <c r="G27" s="365"/>
      <c r="H27" s="326"/>
      <c r="I27" s="364"/>
      <c r="J27" s="366"/>
      <c r="K27" s="348"/>
      <c r="L27" s="349"/>
      <c r="M27" s="350"/>
      <c r="N27" s="351"/>
      <c r="O27" s="357"/>
    </row>
    <row r="28" spans="1:15" ht="21.75" customHeight="1">
      <c r="A28" s="317"/>
      <c r="B28" s="733" t="s">
        <v>12</v>
      </c>
      <c r="C28" s="733"/>
      <c r="D28" s="734" t="s">
        <v>312</v>
      </c>
      <c r="E28" s="734"/>
      <c r="F28" s="734"/>
      <c r="G28" s="734"/>
      <c r="H28" s="326"/>
      <c r="I28" s="734" t="s">
        <v>313</v>
      </c>
      <c r="J28" s="734"/>
      <c r="K28" s="734"/>
      <c r="L28" s="734"/>
      <c r="M28" s="734"/>
      <c r="N28" s="734"/>
      <c r="O28" s="357"/>
    </row>
    <row r="29" spans="1:15" ht="29.25" customHeight="1">
      <c r="A29" s="317"/>
      <c r="B29" s="367" t="s">
        <v>13</v>
      </c>
      <c r="C29" s="368"/>
      <c r="D29" s="730" t="str">
        <f>IF(ISBLANK(Programatico!C9),"",(Programatico!C9))</f>
        <v>El porcentaje reportado corresponde a las personas HSH que han participado en los componentes del paquete básico, de acuerdo con  el desarrollo de la metodologia de prevencion combinada.</v>
      </c>
      <c r="E29" s="730"/>
      <c r="F29" s="730"/>
      <c r="G29" s="730"/>
      <c r="H29" s="354"/>
      <c r="I29" s="731"/>
      <c r="J29" s="731"/>
      <c r="K29" s="731"/>
      <c r="L29" s="731"/>
      <c r="M29" s="731"/>
      <c r="N29" s="731"/>
      <c r="O29" s="357"/>
    </row>
    <row r="30" spans="1:15" ht="21.75" customHeight="1">
      <c r="A30" s="317"/>
      <c r="B30" s="369" t="s">
        <v>14</v>
      </c>
      <c r="C30" s="370"/>
      <c r="D30" s="729" t="str">
        <f>IF(ISBLANK(Programatico!G9),"",(Programatico!G9))</f>
        <v>El porcentaje reportado corresponde a las personas TS que han participado en los componentes del paquete básico, de acuerdo con  el desarrollo de la metodologia de prevencion combinada. </v>
      </c>
      <c r="E30" s="729"/>
      <c r="F30" s="729"/>
      <c r="G30" s="729"/>
      <c r="H30" s="354"/>
      <c r="I30" s="728"/>
      <c r="J30" s="728"/>
      <c r="K30" s="728"/>
      <c r="L30" s="728"/>
      <c r="M30" s="728"/>
      <c r="N30" s="728"/>
      <c r="O30" s="357"/>
    </row>
    <row r="31" spans="1:15" ht="21.75" customHeight="1">
      <c r="A31" s="317"/>
      <c r="B31" s="369" t="s">
        <v>15</v>
      </c>
      <c r="C31" s="370"/>
      <c r="D31" s="729" t="str">
        <f>IF(ISBLANK(Programatico!M9),"",(Programatico!M9))</f>
        <v>El porcentaje reportado corresponde a las personas TRANS que han participado en los componentes del paquete básico, de acuerdo con  el desarrollo de la metodologia de prevencion combinada.</v>
      </c>
      <c r="E31" s="729"/>
      <c r="F31" s="729"/>
      <c r="G31" s="729"/>
      <c r="H31" s="354"/>
      <c r="I31" s="728"/>
      <c r="J31" s="728"/>
      <c r="K31" s="728"/>
      <c r="L31" s="728"/>
      <c r="M31" s="728"/>
      <c r="N31" s="728"/>
      <c r="O31" s="357"/>
    </row>
    <row r="32" spans="1:15" ht="21.75" customHeight="1">
      <c r="A32" s="317"/>
      <c r="B32" s="371" t="s">
        <v>16</v>
      </c>
      <c r="C32" s="370"/>
      <c r="D32" s="726" t="str">
        <f>IF(ISBLANK(Programatico!L20),"",(Programatico!L20))</f>
        <v>El porcentaje reportado corresponde a las personas HSH que han participado en los componentes del paquete básico, de acuerdo con  el desarrollo de la metodologia de prevencion combinada. Hasta junio se han registrado  1,129 de los usuarios que se han intervenido que no cerraron ciclo debido a : a) entrega parcial de insumos ( ya que estos estan condicionados a las intervenciones educativas), b) Personas con CUI aperturados  ya cuentan con una prueba de VIH reciente por lo que no se refiere a la misma, c) Zonas de intervencion  de alta peligrosidad,  a los cuales se les dara seguimiento para el periodo 6, para el cierre de su ciclo de acuerdo a los linieamientos.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tres SR ,  Entreamigos, Fundasida y PASMO. El RP coordinara con  cada SR para poder dar busqueda activa de os usuarios y el cierre completo de sus ciclos de acuerdo a las metas estbalecidas para el cierre de año.</v>
      </c>
      <c r="E32" s="726"/>
      <c r="F32" s="726"/>
      <c r="G32" s="726"/>
      <c r="H32" s="354"/>
      <c r="I32" s="728"/>
      <c r="J32" s="728"/>
      <c r="K32" s="728"/>
      <c r="L32" s="728"/>
      <c r="M32" s="728"/>
      <c r="N32" s="728"/>
      <c r="O32" s="357"/>
    </row>
    <row r="33" spans="1:15" ht="27" customHeight="1">
      <c r="A33" s="317"/>
      <c r="B33" s="371" t="s">
        <v>17</v>
      </c>
      <c r="C33" s="370"/>
      <c r="D33" s="726" t="str">
        <f>IF(ISBLANK(Programatico!L21),"",(Programatico!L21))</f>
        <v>El porcentaje reportado corresponde a las personas TS que han participado en los componentes del paquete básico, de acuerdo con  el desarrollo de la metodologia de prevencion combinada. Del total de personas abordadas en el periodo se han encontrado un total de 1,770 TSF que no han completado el ciclo debido a : a) entrega parcial de insumos ( ya que estos estan condicionados a las intervenciones educativas), b) Personas con CUI aperturados  ya cuentan con una prueba de VIH reciente por lo que no se refiere a la misma, c) Zonas de intervencion  de alta peligrosidad.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dos SR ,  Orquideas del Mar y PASMO. </v>
      </c>
      <c r="E33" s="726"/>
      <c r="F33" s="726"/>
      <c r="G33" s="726"/>
      <c r="H33" s="354"/>
      <c r="I33" s="728"/>
      <c r="J33" s="728"/>
      <c r="K33" s="728"/>
      <c r="L33" s="728"/>
      <c r="M33" s="728"/>
      <c r="N33" s="728"/>
      <c r="O33" s="357"/>
    </row>
    <row r="34" spans="1:15" ht="21.75" customHeight="1">
      <c r="A34" s="317"/>
      <c r="B34" s="371" t="s">
        <v>18</v>
      </c>
      <c r="C34" s="370"/>
      <c r="D34" s="726" t="str">
        <f>IF(ISBLANK(Programatico!L22),"",(Programatico!L22))</f>
        <v>El porcentaje reportado corresponde a las personas TRANS que han participado en los componentes del paquete básico, de acuerdo con  el desarrollo de la metodologia de prevencion combinada. De total de TRANS intervenidas un total de 346 no han completado el ciclo debido a : a) entrega parcial de insumos ( ya que estos estan condicionados a las intervenciones educativas), b) Personas con CUI aperturados  ya cuentan con una prueba de VIH reciente por lo que no se refiere a la misma, c) Zonas de intervencion  de alta peligrosidad.  La metodologia permitirá que en el proximo periodo este numero importante de personas  con CUI aperturados puedan completar ciclos de intervencion, así como aumentar significativamente los resultados. Los procesos de administrativos que debieron realizarse para el inicio de actividades en campo fueron motivo de retraso, pero procesos indispensables que se requerian para iniciar las actividades en campo contando con un sistema de monitoreo y evaluación, manuales tecnicos y administrativos idoneos para asegurar  el manejo transparente y la calidad  de la subvencion.  Período en el cual se realizó un proceso de Induccion a las organizaciones Sub Receptoras con el objetivo de  fortalecerlas de acuerdo al NMF. Para el cumplimiento de esta meta hay dos SR, ASPIDH y Colectivo Alejandria.</v>
      </c>
      <c r="E34" s="726"/>
      <c r="F34" s="726"/>
      <c r="G34" s="726"/>
      <c r="H34" s="354"/>
      <c r="I34" s="728"/>
      <c r="J34" s="728"/>
      <c r="K34" s="728"/>
      <c r="L34" s="728"/>
      <c r="M34" s="728"/>
      <c r="N34" s="728"/>
      <c r="O34" s="357"/>
    </row>
    <row r="35" spans="1:15" ht="21.75" customHeight="1">
      <c r="A35" s="317"/>
      <c r="B35" s="371" t="s">
        <v>19</v>
      </c>
      <c r="C35" s="372"/>
      <c r="D35" s="726" t="str">
        <f>IF(ISBLANK(Programatico!L23),"",(Programatico!L23))</f>
        <v>El  porcentaje corresponde a personas HSH referidos a   servicios complementarios  relacionados con : Asistencia psicologica, asesoria legal, seguimiento y tratamiento a VIH en el caso de  HSH positivos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El RP dara seguimeinto con las organziaciones SR encargadas de esta poblacion para poder impulsar el cumplimeinto de este indicador.</v>
      </c>
      <c r="E35" s="726"/>
      <c r="F35" s="726"/>
      <c r="G35" s="726"/>
      <c r="H35" s="354"/>
      <c r="I35" s="728"/>
      <c r="J35" s="728"/>
      <c r="K35" s="728"/>
      <c r="L35" s="728"/>
      <c r="M35" s="728"/>
      <c r="N35" s="728"/>
      <c r="O35" s="357"/>
    </row>
    <row r="36" spans="1:15" ht="21.75" customHeight="1">
      <c r="A36" s="317"/>
      <c r="B36" s="371" t="s">
        <v>20</v>
      </c>
      <c r="C36" s="372"/>
      <c r="D36" s="726" t="str">
        <f>IF(ISBLANK(Programatico!L24),"",(Programatico!L24))</f>
        <v>El  porcentaje corresponde a personas TS referidas a   servicios complementarios  relacionados con : Asistencia psicologica, asesoria legal, seguimiento y tratamiento a VIH en el caso de  TS positivos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Se realizarán reuniones con los SRs para dar lineamientos de seguridad así como coordinaciones para que en las diversas actividades se cuente con apoyo de otras instituciones para realizarlas conjuntamente y reducir los riesgos relacionados a violencia.</v>
      </c>
      <c r="E36" s="726"/>
      <c r="F36" s="726"/>
      <c r="G36" s="726"/>
      <c r="H36" s="354"/>
      <c r="I36" s="728"/>
      <c r="J36" s="728"/>
      <c r="K36" s="728"/>
      <c r="L36" s="728"/>
      <c r="M36" s="728"/>
      <c r="N36" s="728"/>
      <c r="O36" s="357"/>
    </row>
    <row r="37" spans="1:15" ht="21.75" customHeight="1">
      <c r="A37" s="317"/>
      <c r="B37" s="371" t="s">
        <v>21</v>
      </c>
      <c r="C37" s="372"/>
      <c r="D37" s="726" t="str">
        <f>IF(ISBLANK(Programatico!L25),"",(Programatico!L25))</f>
        <v>El  porcentaje corresponde a personas TRANS referidas a   servicios complementarios  relacionados con : Asistencia psicologica, asesoria legal, seguimiento y tratamiento a VIH en el caso de  TRANS positivas y grupos de autoayuda, talleres de autocuido, diagnostico y tratamiento de ITS, referencia a servicios para tratar  adicciones ( alcohol y droga).   Segun la metodologia de prevencion combinada, el establecimiento de las necesidades de atencion especializada que se demanda(servicio complementario),  requiere de un proceso de confianza, de autoconocimiento, de reconocimiento de las situaciones de vulnerabilidad y demanda espontanea o dirigida  de la necesidad del servicio.   Se realizarán reuniones con los SRs para dar lineamientos de seguridad así como coordinaciones para que en las diversas actividades se cuente con apoyo de otras instituciones para realizarlas conjuntamente y reducir los riesgos relacionados a violencia.</v>
      </c>
      <c r="E37" s="726"/>
      <c r="F37" s="726"/>
      <c r="G37" s="726"/>
      <c r="H37" s="354"/>
      <c r="I37" s="728"/>
      <c r="J37" s="728"/>
      <c r="K37" s="728"/>
      <c r="L37" s="728"/>
      <c r="M37" s="728"/>
      <c r="N37" s="728"/>
      <c r="O37" s="357"/>
    </row>
    <row r="38" spans="1:15" ht="21.75" customHeight="1">
      <c r="A38" s="317"/>
      <c r="B38" s="371" t="s">
        <v>22</v>
      </c>
      <c r="C38" s="372"/>
      <c r="D38" s="726">
        <f>IF(ISBLANK(Programatico!L26),"",(Programatico!L26))</f>
      </c>
      <c r="E38" s="726"/>
      <c r="F38" s="726"/>
      <c r="G38" s="726"/>
      <c r="H38" s="354"/>
      <c r="I38" s="728"/>
      <c r="J38" s="728"/>
      <c r="K38" s="728"/>
      <c r="L38" s="728"/>
      <c r="M38" s="728"/>
      <c r="N38" s="728"/>
      <c r="O38" s="357"/>
    </row>
    <row r="39" spans="1:15" ht="21.75" customHeight="1">
      <c r="A39" s="317"/>
      <c r="B39" s="371" t="s">
        <v>23</v>
      </c>
      <c r="C39" s="372"/>
      <c r="D39" s="726" t="e">
        <f>IF(ISBLANK(Programatico!#REF!),"",(Programatico!#REF!))</f>
        <v>#REF!</v>
      </c>
      <c r="E39" s="726"/>
      <c r="F39" s="726"/>
      <c r="G39" s="726"/>
      <c r="H39" s="354"/>
      <c r="I39" s="728"/>
      <c r="J39" s="728"/>
      <c r="K39" s="728"/>
      <c r="L39" s="728"/>
      <c r="M39" s="728"/>
      <c r="N39" s="728"/>
      <c r="O39" s="357"/>
    </row>
    <row r="40" spans="1:15" ht="21.75" customHeight="1">
      <c r="A40" s="317"/>
      <c r="B40" s="371" t="s">
        <v>208</v>
      </c>
      <c r="C40" s="372"/>
      <c r="D40" s="726" t="e">
        <f>IF(ISBLANK(Programatico!#REF!),"",(Programatico!#REF!))</f>
        <v>#REF!</v>
      </c>
      <c r="E40" s="726"/>
      <c r="F40" s="726"/>
      <c r="G40" s="726"/>
      <c r="H40" s="354"/>
      <c r="I40" s="728"/>
      <c r="J40" s="728"/>
      <c r="K40" s="728"/>
      <c r="L40" s="728"/>
      <c r="M40" s="728"/>
      <c r="N40" s="728"/>
      <c r="O40" s="357"/>
    </row>
    <row r="41" spans="1:15" ht="21.75" customHeight="1">
      <c r="A41" s="317"/>
      <c r="B41" s="371" t="s">
        <v>209</v>
      </c>
      <c r="C41" s="373"/>
      <c r="D41" s="726" t="e">
        <f>IF(ISBLANK(Programatico!#REF!),"",(Programatico!#REF!))</f>
        <v>#REF!</v>
      </c>
      <c r="E41" s="726"/>
      <c r="F41" s="726"/>
      <c r="G41" s="726"/>
      <c r="H41" s="354"/>
      <c r="I41" s="727"/>
      <c r="J41" s="727"/>
      <c r="K41" s="727"/>
      <c r="L41" s="727"/>
      <c r="M41" s="727"/>
      <c r="N41" s="727"/>
      <c r="O41" s="357"/>
    </row>
  </sheetData>
  <sheetProtection password="CFC9" sheet="1" objects="1" scenarios="1"/>
  <mergeCells count="65">
    <mergeCell ref="B2:N2"/>
    <mergeCell ref="C3:D3"/>
    <mergeCell ref="E3:K3"/>
    <mergeCell ref="C4:D4"/>
    <mergeCell ref="E4:K4"/>
    <mergeCell ref="E5:K5"/>
    <mergeCell ref="E6:K6"/>
    <mergeCell ref="B8:N8"/>
    <mergeCell ref="B10:C10"/>
    <mergeCell ref="D10:G10"/>
    <mergeCell ref="I10:N10"/>
    <mergeCell ref="D13:G13"/>
    <mergeCell ref="I13:N13"/>
    <mergeCell ref="D14:G14"/>
    <mergeCell ref="I14:N14"/>
    <mergeCell ref="D11:G11"/>
    <mergeCell ref="I11:N11"/>
    <mergeCell ref="D12:G12"/>
    <mergeCell ref="I12:N12"/>
    <mergeCell ref="D19:G19"/>
    <mergeCell ref="I19:N19"/>
    <mergeCell ref="D20:G20"/>
    <mergeCell ref="I20:N20"/>
    <mergeCell ref="B16:N16"/>
    <mergeCell ref="B18:C18"/>
    <mergeCell ref="D18:G18"/>
    <mergeCell ref="I18:N18"/>
    <mergeCell ref="D23:G23"/>
    <mergeCell ref="I23:N23"/>
    <mergeCell ref="D24:G24"/>
    <mergeCell ref="I24:N24"/>
    <mergeCell ref="D21:G21"/>
    <mergeCell ref="I21:N21"/>
    <mergeCell ref="D22:G22"/>
    <mergeCell ref="I22:N22"/>
    <mergeCell ref="D29:G29"/>
    <mergeCell ref="I29:N29"/>
    <mergeCell ref="D30:G30"/>
    <mergeCell ref="I30:N30"/>
    <mergeCell ref="B26:N26"/>
    <mergeCell ref="B28:C28"/>
    <mergeCell ref="D28:G28"/>
    <mergeCell ref="I28:N28"/>
    <mergeCell ref="D33:G33"/>
    <mergeCell ref="I33:N33"/>
    <mergeCell ref="D34:G34"/>
    <mergeCell ref="I34:N34"/>
    <mergeCell ref="D31:G31"/>
    <mergeCell ref="I31:N31"/>
    <mergeCell ref="D32:G32"/>
    <mergeCell ref="I32:N32"/>
    <mergeCell ref="D37:G37"/>
    <mergeCell ref="I37:N37"/>
    <mergeCell ref="D38:G38"/>
    <mergeCell ref="I38:N38"/>
    <mergeCell ref="D35:G35"/>
    <mergeCell ref="I35:N35"/>
    <mergeCell ref="D36:G36"/>
    <mergeCell ref="I36:N36"/>
    <mergeCell ref="D41:G41"/>
    <mergeCell ref="I41:N41"/>
    <mergeCell ref="D39:G39"/>
    <mergeCell ref="I39:N39"/>
    <mergeCell ref="D40:G40"/>
    <mergeCell ref="I40:N40"/>
  </mergeCells>
  <conditionalFormatting sqref="C4:D4">
    <cfRule type="cellIs" priority="1" dxfId="42" operator="equal" stopIfTrue="1">
      <formula>"C"</formula>
    </cfRule>
    <cfRule type="cellIs" priority="2" dxfId="43" operator="equal" stopIfTrue="1">
      <formula>"B2"</formula>
    </cfRule>
    <cfRule type="cellIs" priority="3" dxfId="44"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1">
      <selection activeCell="B16" sqref="B16:E17"/>
    </sheetView>
  </sheetViews>
  <sheetFormatPr defaultColWidth="11.42187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 min="13" max="16384" width="9.140625" style="0" customWidth="1"/>
  </cols>
  <sheetData>
    <row r="1" ht="30.75" customHeight="1"/>
    <row r="2" spans="2:12" ht="27.75" customHeight="1">
      <c r="B2" s="678" t="str">
        <f>+"Cuadro de mando:  "&amp;"  "&amp;+'Introducción de datos'!C4&amp;" - "&amp;'Introducción de datos'!G6</f>
        <v>Cuadro de mando:    El Salvador - VIH / SIDA</v>
      </c>
      <c r="C2" s="678"/>
      <c r="D2" s="678"/>
      <c r="E2" s="678"/>
      <c r="F2" s="678"/>
      <c r="G2" s="678"/>
      <c r="H2" s="678"/>
      <c r="I2" s="678"/>
      <c r="J2" s="678"/>
      <c r="K2" s="678"/>
      <c r="L2" s="678"/>
    </row>
    <row r="3" spans="2:13" ht="15">
      <c r="B3" s="278" t="str">
        <f>+'Introducción de datos'!G8</f>
        <v>Seleccionar</v>
      </c>
      <c r="C3" s="679" t="str">
        <f>+'Introducción de datos'!I8</f>
        <v>Seleccionar</v>
      </c>
      <c r="D3" s="679"/>
      <c r="E3" s="680"/>
      <c r="F3" s="680"/>
      <c r="G3" s="680"/>
      <c r="H3" s="680"/>
      <c r="I3" s="680"/>
      <c r="J3" s="681" t="str">
        <f>+'Introducción de datos'!B16</f>
        <v>Periodo:</v>
      </c>
      <c r="K3" s="681"/>
      <c r="L3" s="296" t="str">
        <f>+'Introducción de datos'!C16</f>
        <v>P5</v>
      </c>
      <c r="M3" s="374"/>
    </row>
    <row r="4" spans="2:12" ht="15">
      <c r="B4" s="278" t="str">
        <f>+'Introducción de datos'!B12</f>
        <v>Ultima calificación:</v>
      </c>
      <c r="C4" s="785" t="str">
        <f>+'Introducción de datos'!C12</f>
        <v>B1</v>
      </c>
      <c r="D4" s="785"/>
      <c r="E4" s="680" t="str">
        <f>+'Introducción de datos'!C8</f>
        <v>PLAN  INTERNACIONAL</v>
      </c>
      <c r="F4" s="680"/>
      <c r="G4" s="680"/>
      <c r="H4" s="680"/>
      <c r="I4" s="680"/>
      <c r="J4" s="681" t="str">
        <f>+'Introducción de datos'!D16</f>
        <v>Desde:</v>
      </c>
      <c r="K4" s="681"/>
      <c r="L4" s="253">
        <f>+'Introducción de datos'!E16</f>
        <v>42370</v>
      </c>
    </row>
    <row r="5" spans="2:12" ht="18.75" customHeight="1">
      <c r="B5" s="278"/>
      <c r="C5" s="278"/>
      <c r="D5" s="680" t="str">
        <f>+'Introducción de datos'!G4</f>
        <v>INNOVANDO SERVICIOS, REDUCIENDO RIESGOS, RENOVANDO VIDAS EN EL SALVADOR</v>
      </c>
      <c r="E5" s="680"/>
      <c r="F5" s="680"/>
      <c r="G5" s="680"/>
      <c r="H5" s="680"/>
      <c r="I5" s="680"/>
      <c r="J5" s="680"/>
      <c r="K5" s="278" t="str">
        <f>+'Introducción de datos'!F16</f>
        <v>Hasta:</v>
      </c>
      <c r="L5" s="253">
        <f>+'Introducción de datos'!G16</f>
        <v>42551</v>
      </c>
    </row>
    <row r="6" spans="2:9" ht="18.75">
      <c r="B6" s="279"/>
      <c r="C6" s="278"/>
      <c r="D6" s="255"/>
      <c r="E6" s="685" t="s">
        <v>24</v>
      </c>
      <c r="F6" s="685"/>
      <c r="G6" s="685"/>
      <c r="H6" s="685"/>
      <c r="I6" s="685"/>
    </row>
    <row r="7" spans="5:9" ht="18.75">
      <c r="E7" s="375"/>
      <c r="F7" s="375"/>
      <c r="G7" s="375"/>
      <c r="H7" s="375"/>
      <c r="I7" s="375"/>
    </row>
    <row r="8" spans="2:12" s="324" customFormat="1" ht="21" customHeight="1">
      <c r="B8" s="376" t="s">
        <v>25</v>
      </c>
      <c r="C8" s="377"/>
      <c r="D8" s="377"/>
      <c r="E8" s="377"/>
      <c r="F8" s="377"/>
      <c r="G8" s="377"/>
      <c r="H8" s="377"/>
      <c r="I8" s="377"/>
      <c r="J8" s="377"/>
      <c r="K8" s="377"/>
      <c r="L8" s="377"/>
    </row>
    <row r="9" ht="6" customHeight="1">
      <c r="B9" s="378"/>
    </row>
    <row r="10" spans="2:12" ht="15">
      <c r="B10" s="784"/>
      <c r="C10" s="784"/>
      <c r="D10" s="784"/>
      <c r="E10" s="784"/>
      <c r="F10" s="784"/>
      <c r="G10" s="784"/>
      <c r="H10" s="784"/>
      <c r="I10" s="784"/>
      <c r="J10" s="784"/>
      <c r="K10" s="784"/>
      <c r="L10" s="784"/>
    </row>
    <row r="11" spans="2:12" ht="15">
      <c r="B11" s="784"/>
      <c r="C11" s="784"/>
      <c r="D11" s="784"/>
      <c r="E11" s="784"/>
      <c r="F11" s="784"/>
      <c r="G11" s="784"/>
      <c r="H11" s="784"/>
      <c r="I11" s="784"/>
      <c r="J11" s="784"/>
      <c r="K11" s="784"/>
      <c r="L11" s="784"/>
    </row>
    <row r="13" spans="1:12" ht="42" customHeight="1">
      <c r="A13" s="379"/>
      <c r="B13" s="762" t="s">
        <v>26</v>
      </c>
      <c r="C13" s="762"/>
      <c r="D13" s="762"/>
      <c r="E13" s="762"/>
      <c r="F13" s="380"/>
      <c r="G13" s="763" t="s">
        <v>27</v>
      </c>
      <c r="H13" s="763"/>
      <c r="I13" s="763"/>
      <c r="J13" s="381" t="s">
        <v>28</v>
      </c>
      <c r="K13" s="764" t="s">
        <v>29</v>
      </c>
      <c r="L13" s="764"/>
    </row>
    <row r="14" spans="1:12" ht="33.75" customHeight="1">
      <c r="A14" s="765" t="s">
        <v>221</v>
      </c>
      <c r="B14" s="776" t="s">
        <v>392</v>
      </c>
      <c r="C14" s="776"/>
      <c r="D14" s="776"/>
      <c r="E14" s="776"/>
      <c r="F14" s="84"/>
      <c r="G14" s="781"/>
      <c r="H14" s="781"/>
      <c r="I14" s="781"/>
      <c r="J14" s="782"/>
      <c r="K14" s="778"/>
      <c r="L14" s="778"/>
    </row>
    <row r="15" spans="1:12" ht="39" customHeight="1">
      <c r="A15" s="765"/>
      <c r="B15" s="776"/>
      <c r="C15" s="776"/>
      <c r="D15" s="776"/>
      <c r="E15" s="776"/>
      <c r="F15" s="84"/>
      <c r="G15" s="781"/>
      <c r="H15" s="781"/>
      <c r="I15" s="781"/>
      <c r="J15" s="782"/>
      <c r="K15" s="778"/>
      <c r="L15" s="778"/>
    </row>
    <row r="16" spans="1:12" ht="25.5" customHeight="1">
      <c r="A16" s="765"/>
      <c r="B16" s="776"/>
      <c r="C16" s="776"/>
      <c r="D16" s="776"/>
      <c r="E16" s="776"/>
      <c r="F16" s="84"/>
      <c r="G16" s="779"/>
      <c r="H16" s="779"/>
      <c r="I16" s="779"/>
      <c r="J16" s="780"/>
      <c r="K16" s="770"/>
      <c r="L16" s="770"/>
    </row>
    <row r="17" spans="1:12" ht="24" customHeight="1">
      <c r="A17" s="765"/>
      <c r="B17" s="776"/>
      <c r="C17" s="776"/>
      <c r="D17" s="776"/>
      <c r="E17" s="776"/>
      <c r="F17" s="84"/>
      <c r="G17" s="779"/>
      <c r="H17" s="779"/>
      <c r="I17" s="779"/>
      <c r="J17" s="780"/>
      <c r="K17" s="770"/>
      <c r="L17" s="770"/>
    </row>
    <row r="18" spans="1:12" ht="15">
      <c r="A18" s="765"/>
      <c r="B18" s="776"/>
      <c r="C18" s="776"/>
      <c r="D18" s="776"/>
      <c r="E18" s="776"/>
      <c r="F18" s="84"/>
      <c r="G18" s="783"/>
      <c r="H18" s="783"/>
      <c r="I18" s="783"/>
      <c r="J18" s="771"/>
      <c r="K18" s="770"/>
      <c r="L18" s="770"/>
    </row>
    <row r="19" spans="1:12" ht="30.75" customHeight="1">
      <c r="A19" s="765"/>
      <c r="B19" s="776"/>
      <c r="C19" s="776"/>
      <c r="D19" s="776"/>
      <c r="E19" s="776"/>
      <c r="F19" s="84"/>
      <c r="G19" s="783"/>
      <c r="H19" s="783"/>
      <c r="I19" s="783"/>
      <c r="J19" s="771"/>
      <c r="K19" s="771"/>
      <c r="L19" s="770"/>
    </row>
    <row r="20" spans="1:12" ht="15">
      <c r="A20" s="765"/>
      <c r="B20" s="776"/>
      <c r="C20" s="776"/>
      <c r="D20" s="776"/>
      <c r="E20" s="776"/>
      <c r="F20" s="84"/>
      <c r="G20" s="777"/>
      <c r="H20" s="777"/>
      <c r="I20" s="777"/>
      <c r="J20" s="771"/>
      <c r="K20" s="770"/>
      <c r="L20" s="770"/>
    </row>
    <row r="21" spans="1:12" ht="15">
      <c r="A21" s="765"/>
      <c r="B21" s="776"/>
      <c r="C21" s="776"/>
      <c r="D21" s="776"/>
      <c r="E21" s="776"/>
      <c r="F21" s="84"/>
      <c r="G21" s="777"/>
      <c r="H21" s="777"/>
      <c r="I21" s="777"/>
      <c r="J21" s="771"/>
      <c r="K21" s="771"/>
      <c r="L21" s="770"/>
    </row>
    <row r="22" spans="1:12" ht="15">
      <c r="A22" s="765"/>
      <c r="B22" s="776"/>
      <c r="C22" s="776"/>
      <c r="D22" s="776"/>
      <c r="E22" s="776"/>
      <c r="F22" s="84"/>
      <c r="G22" s="777"/>
      <c r="H22" s="777"/>
      <c r="I22" s="777"/>
      <c r="J22" s="771"/>
      <c r="K22" s="770"/>
      <c r="L22" s="770"/>
    </row>
    <row r="23" spans="1:12" ht="15">
      <c r="A23" s="765"/>
      <c r="B23" s="776"/>
      <c r="C23" s="776"/>
      <c r="D23" s="776"/>
      <c r="E23" s="776"/>
      <c r="F23" s="84"/>
      <c r="G23" s="777"/>
      <c r="H23" s="777"/>
      <c r="I23" s="777"/>
      <c r="J23" s="771"/>
      <c r="K23" s="771"/>
      <c r="L23" s="770"/>
    </row>
    <row r="24" spans="1:12" ht="15">
      <c r="A24" s="765"/>
      <c r="B24" s="772"/>
      <c r="C24" s="772"/>
      <c r="D24" s="772"/>
      <c r="E24" s="772"/>
      <c r="F24" s="84"/>
      <c r="G24" s="773"/>
      <c r="H24" s="773"/>
      <c r="I24" s="773"/>
      <c r="J24" s="774"/>
      <c r="K24" s="775"/>
      <c r="L24" s="775"/>
    </row>
    <row r="25" spans="1:12" ht="15">
      <c r="A25" s="765"/>
      <c r="B25" s="772"/>
      <c r="C25" s="772"/>
      <c r="D25" s="772"/>
      <c r="E25" s="772"/>
      <c r="F25" s="84"/>
      <c r="G25" s="773"/>
      <c r="H25" s="773"/>
      <c r="I25" s="773"/>
      <c r="J25" s="774"/>
      <c r="K25" s="774"/>
      <c r="L25" s="775"/>
    </row>
    <row r="26" spans="1:12" ht="15">
      <c r="A26" s="379"/>
      <c r="B26" s="379"/>
      <c r="C26" s="379"/>
      <c r="D26" s="379"/>
      <c r="E26" s="379"/>
      <c r="F26" s="379"/>
      <c r="G26" s="379"/>
      <c r="H26" s="379"/>
      <c r="I26" s="379"/>
      <c r="J26" s="379"/>
      <c r="K26" s="379"/>
      <c r="L26" s="379"/>
    </row>
    <row r="27" spans="1:12" ht="18.75">
      <c r="A27" s="379"/>
      <c r="B27" s="379"/>
      <c r="C27" s="379"/>
      <c r="D27" s="379"/>
      <c r="E27" s="382" t="s">
        <v>30</v>
      </c>
      <c r="F27" s="383"/>
      <c r="G27" s="383"/>
      <c r="H27" s="383"/>
      <c r="I27" s="383"/>
      <c r="J27" s="379"/>
      <c r="K27" s="379"/>
      <c r="L27" s="379"/>
    </row>
    <row r="28" spans="1:12" ht="6" customHeight="1">
      <c r="A28" s="379"/>
      <c r="B28" s="379"/>
      <c r="C28" s="379"/>
      <c r="D28" s="379"/>
      <c r="E28" s="384"/>
      <c r="F28" s="384"/>
      <c r="G28" s="384"/>
      <c r="H28" s="384"/>
      <c r="I28" s="384"/>
      <c r="J28" s="379"/>
      <c r="K28" s="379"/>
      <c r="L28" s="379"/>
    </row>
    <row r="29" spans="1:12" s="324" customFormat="1" ht="21" customHeight="1">
      <c r="A29" s="385"/>
      <c r="B29" s="376" t="s">
        <v>31</v>
      </c>
      <c r="C29" s="386"/>
      <c r="D29" s="386"/>
      <c r="E29" s="386"/>
      <c r="F29" s="386"/>
      <c r="G29" s="386"/>
      <c r="H29" s="386"/>
      <c r="I29" s="386"/>
      <c r="J29" s="386"/>
      <c r="K29" s="386"/>
      <c r="L29" s="386"/>
    </row>
    <row r="30" spans="1:12" ht="6" customHeight="1">
      <c r="A30" s="379"/>
      <c r="B30" s="387"/>
      <c r="C30" s="379"/>
      <c r="D30" s="379"/>
      <c r="E30" s="379"/>
      <c r="F30" s="379"/>
      <c r="G30" s="379"/>
      <c r="H30" s="379"/>
      <c r="I30" s="379"/>
      <c r="J30" s="379"/>
      <c r="K30" s="379"/>
      <c r="L30" s="379"/>
    </row>
    <row r="31" spans="1:12" ht="45" customHeight="1">
      <c r="A31" s="379"/>
      <c r="B31" s="762" t="s">
        <v>27</v>
      </c>
      <c r="C31" s="762"/>
      <c r="D31" s="762"/>
      <c r="E31" s="762"/>
      <c r="F31" s="380"/>
      <c r="G31" s="763" t="s">
        <v>32</v>
      </c>
      <c r="H31" s="763"/>
      <c r="I31" s="763"/>
      <c r="J31" s="381" t="s">
        <v>28</v>
      </c>
      <c r="K31" s="764" t="s">
        <v>29</v>
      </c>
      <c r="L31" s="764"/>
    </row>
    <row r="32" spans="1:12" ht="18.75" customHeight="1">
      <c r="A32" s="765" t="s">
        <v>33</v>
      </c>
      <c r="B32" s="766"/>
      <c r="C32" s="766"/>
      <c r="D32" s="766"/>
      <c r="E32" s="766"/>
      <c r="F32" s="84"/>
      <c r="G32" s="767"/>
      <c r="H32" s="767"/>
      <c r="I32" s="767"/>
      <c r="J32" s="768"/>
      <c r="K32" s="769"/>
      <c r="L32" s="769"/>
    </row>
    <row r="33" spans="1:12" ht="18.75" customHeight="1">
      <c r="A33" s="765"/>
      <c r="B33" s="766"/>
      <c r="C33" s="766"/>
      <c r="D33" s="766"/>
      <c r="E33" s="766"/>
      <c r="F33" s="84"/>
      <c r="G33" s="767"/>
      <c r="H33" s="767"/>
      <c r="I33" s="767"/>
      <c r="J33" s="768"/>
      <c r="K33" s="768"/>
      <c r="L33" s="769"/>
    </row>
    <row r="34" spans="1:12" ht="18.75" customHeight="1">
      <c r="A34" s="765"/>
      <c r="B34" s="758">
        <f>IF(Recomendaciones!I43="","",Recomendaciones!I43)</f>
      </c>
      <c r="C34" s="758"/>
      <c r="D34" s="758"/>
      <c r="E34" s="758"/>
      <c r="F34" s="84"/>
      <c r="G34" s="759"/>
      <c r="H34" s="759"/>
      <c r="I34" s="759"/>
      <c r="J34" s="760"/>
      <c r="K34" s="761"/>
      <c r="L34" s="761"/>
    </row>
    <row r="35" spans="1:12" ht="18.75" customHeight="1">
      <c r="A35" s="765"/>
      <c r="B35" s="758"/>
      <c r="C35" s="758"/>
      <c r="D35" s="758"/>
      <c r="E35" s="758"/>
      <c r="F35" s="84"/>
      <c r="G35" s="759"/>
      <c r="H35" s="759"/>
      <c r="I35" s="759"/>
      <c r="J35" s="760"/>
      <c r="K35" s="760"/>
      <c r="L35" s="761"/>
    </row>
    <row r="36" spans="1:12" ht="18.75" customHeight="1">
      <c r="A36" s="765"/>
      <c r="B36" s="758">
        <f>+IF(Recomendaciones!I53="","",Recomendaciones!I53)</f>
      </c>
      <c r="C36" s="758"/>
      <c r="D36" s="758"/>
      <c r="E36" s="758"/>
      <c r="F36" s="84"/>
      <c r="G36" s="759"/>
      <c r="H36" s="759"/>
      <c r="I36" s="759"/>
      <c r="J36" s="760"/>
      <c r="K36" s="761"/>
      <c r="L36" s="761"/>
    </row>
    <row r="37" spans="1:12" ht="18.75" customHeight="1">
      <c r="A37" s="765"/>
      <c r="B37" s="758"/>
      <c r="C37" s="758"/>
      <c r="D37" s="758"/>
      <c r="E37" s="758"/>
      <c r="F37" s="84"/>
      <c r="G37" s="759"/>
      <c r="H37" s="759"/>
      <c r="I37" s="759"/>
      <c r="J37" s="760"/>
      <c r="K37" s="760"/>
      <c r="L37" s="761"/>
    </row>
    <row r="38" spans="1:12" ht="18.75" customHeight="1">
      <c r="A38" s="765"/>
      <c r="B38" s="758"/>
      <c r="C38" s="758"/>
      <c r="D38" s="758"/>
      <c r="E38" s="758"/>
      <c r="F38" s="84"/>
      <c r="G38" s="759"/>
      <c r="H38" s="759"/>
      <c r="I38" s="759"/>
      <c r="J38" s="760"/>
      <c r="K38" s="761"/>
      <c r="L38" s="761"/>
    </row>
    <row r="39" spans="1:12" ht="18.75" customHeight="1">
      <c r="A39" s="765"/>
      <c r="B39" s="758"/>
      <c r="C39" s="758"/>
      <c r="D39" s="758"/>
      <c r="E39" s="758"/>
      <c r="F39" s="84"/>
      <c r="G39" s="759"/>
      <c r="H39" s="759"/>
      <c r="I39" s="759"/>
      <c r="J39" s="760"/>
      <c r="K39" s="760"/>
      <c r="L39" s="761"/>
    </row>
    <row r="40" spans="1:12" ht="18.75" customHeight="1">
      <c r="A40" s="765"/>
      <c r="B40" s="758"/>
      <c r="C40" s="758"/>
      <c r="D40" s="758"/>
      <c r="E40" s="758"/>
      <c r="F40" s="84"/>
      <c r="G40" s="759"/>
      <c r="H40" s="759"/>
      <c r="I40" s="759"/>
      <c r="J40" s="760"/>
      <c r="K40" s="761"/>
      <c r="L40" s="761"/>
    </row>
    <row r="41" spans="1:12" ht="18.75" customHeight="1">
      <c r="A41" s="765"/>
      <c r="B41" s="758"/>
      <c r="C41" s="758"/>
      <c r="D41" s="758"/>
      <c r="E41" s="758"/>
      <c r="F41" s="84"/>
      <c r="G41" s="759"/>
      <c r="H41" s="759"/>
      <c r="I41" s="759"/>
      <c r="J41" s="760"/>
      <c r="K41" s="760"/>
      <c r="L41" s="761"/>
    </row>
    <row r="42" spans="1:12" ht="18.75" customHeight="1">
      <c r="A42" s="765"/>
      <c r="B42" s="754"/>
      <c r="C42" s="754"/>
      <c r="D42" s="754"/>
      <c r="E42" s="754"/>
      <c r="F42" s="84"/>
      <c r="G42" s="755"/>
      <c r="H42" s="755"/>
      <c r="I42" s="755"/>
      <c r="J42" s="756"/>
      <c r="K42" s="757"/>
      <c r="L42" s="757"/>
    </row>
    <row r="43" spans="1:12" ht="18.75" customHeight="1">
      <c r="A43" s="765"/>
      <c r="B43" s="754"/>
      <c r="C43" s="754"/>
      <c r="D43" s="754"/>
      <c r="E43" s="754"/>
      <c r="F43" s="84"/>
      <c r="G43" s="755"/>
      <c r="H43" s="755"/>
      <c r="I43" s="755"/>
      <c r="J43" s="756"/>
      <c r="K43" s="756"/>
      <c r="L43" s="757"/>
    </row>
  </sheetData>
  <sheetProtection selectLockedCells="1" selectUnlockedCells="1"/>
  <mergeCells count="66">
    <mergeCell ref="C4:D4"/>
    <mergeCell ref="E4:I4"/>
    <mergeCell ref="J4:K4"/>
    <mergeCell ref="D5:J5"/>
    <mergeCell ref="B2:L2"/>
    <mergeCell ref="C3:D3"/>
    <mergeCell ref="E3:I3"/>
    <mergeCell ref="J3:K3"/>
    <mergeCell ref="G18:I19"/>
    <mergeCell ref="J18:J19"/>
    <mergeCell ref="B22:E23"/>
    <mergeCell ref="G22:I23"/>
    <mergeCell ref="J22:J23"/>
    <mergeCell ref="E6:I6"/>
    <mergeCell ref="B10:L11"/>
    <mergeCell ref="B13:E13"/>
    <mergeCell ref="G13:I13"/>
    <mergeCell ref="K13:L13"/>
    <mergeCell ref="K14:L15"/>
    <mergeCell ref="B16:E17"/>
    <mergeCell ref="G16:I17"/>
    <mergeCell ref="J16:J17"/>
    <mergeCell ref="K16:L17"/>
    <mergeCell ref="A14:A25"/>
    <mergeCell ref="B14:E15"/>
    <mergeCell ref="G14:I15"/>
    <mergeCell ref="J14:J15"/>
    <mergeCell ref="B18:E19"/>
    <mergeCell ref="K22:L23"/>
    <mergeCell ref="B24:E25"/>
    <mergeCell ref="G24:I25"/>
    <mergeCell ref="J24:J25"/>
    <mergeCell ref="K24:L25"/>
    <mergeCell ref="K18:L19"/>
    <mergeCell ref="B20:E21"/>
    <mergeCell ref="G20:I21"/>
    <mergeCell ref="J20:J21"/>
    <mergeCell ref="K20:L21"/>
    <mergeCell ref="B31:E31"/>
    <mergeCell ref="G31:I31"/>
    <mergeCell ref="K31:L31"/>
    <mergeCell ref="A32:A43"/>
    <mergeCell ref="B32:E33"/>
    <mergeCell ref="G32:I33"/>
    <mergeCell ref="J32:J33"/>
    <mergeCell ref="K32:L33"/>
    <mergeCell ref="B34:E35"/>
    <mergeCell ref="G34:I35"/>
    <mergeCell ref="B38:E39"/>
    <mergeCell ref="G38:I39"/>
    <mergeCell ref="J38:J39"/>
    <mergeCell ref="K38:L39"/>
    <mergeCell ref="J34:J35"/>
    <mergeCell ref="K34:L35"/>
    <mergeCell ref="B36:E37"/>
    <mergeCell ref="G36:I37"/>
    <mergeCell ref="J36:J37"/>
    <mergeCell ref="K36:L37"/>
    <mergeCell ref="B42:E43"/>
    <mergeCell ref="G42:I43"/>
    <mergeCell ref="J42:J43"/>
    <mergeCell ref="K42:L43"/>
    <mergeCell ref="B40:E41"/>
    <mergeCell ref="G40:I41"/>
    <mergeCell ref="J40:J41"/>
    <mergeCell ref="K40:L41"/>
  </mergeCells>
  <conditionalFormatting sqref="C4:D4">
    <cfRule type="cellIs" priority="1" dxfId="42" operator="equal" stopIfTrue="1">
      <formula>"C"</formula>
    </cfRule>
    <cfRule type="cellIs" priority="2" dxfId="43" operator="equal" stopIfTrue="1">
      <formula>"B2"</formula>
    </cfRule>
    <cfRule type="cellIs" priority="3" dxfId="44"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Asistencia Legal LGBTI El Salvador</cp:lastModifiedBy>
  <cp:lastPrinted>2011-01-31T13:36:40Z</cp:lastPrinted>
  <dcterms:created xsi:type="dcterms:W3CDTF">2008-11-20T16:06:13Z</dcterms:created>
  <dcterms:modified xsi:type="dcterms:W3CDTF">2016-10-13T15:20:07Z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