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85" windowHeight="4785" tabRatio="820" firstSheet="2" activeTab="8"/>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'Acciones'!$A$1:$L$43</definedName>
    <definedName name="_xlnm.Print_Area" localSheetId="4">'Financiamiento'!$A$2:$L$31</definedName>
    <definedName name="_xlnm.Print_Area" localSheetId="5">'Gestión'!$A$1:$L$32</definedName>
    <definedName name="_xlnm.Print_Area" localSheetId="3">'Información de la subvención'!$A$1:$K$15</definedName>
    <definedName name="_xlnm.Print_Area" localSheetId="2">'Introducción de datos'!$A$1:$T$136</definedName>
    <definedName name="_xlnm.Print_Area" localSheetId="6">'Programatico'!$A$1:$Q$34</definedName>
    <definedName name="PrintA">'Acciones'!$A$2:$L$34</definedName>
    <definedName name="PrintDataF">'Introducción de datos'!$B$25:$J$65</definedName>
    <definedName name="PrintDataM">'Introducción de datos'!$B$67:$H$108</definedName>
    <definedName name="PrintF">'Financiamiento'!$A$2:$K$31</definedName>
    <definedName name="PrintGD">'Información de la subvención'!$A$2:$J$13</definedName>
    <definedName name="PrintM" localSheetId="8">'Acciones'!$A$2:$L$6</definedName>
    <definedName name="PrintM">'Gestión'!$A$2:$L$33</definedName>
    <definedName name="PrintP">'Programatico'!$A$2:$P$35</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2" authorId="0">
      <text>
        <r>
          <rPr>
            <b/>
            <sz val="8"/>
            <color indexed="32"/>
            <rFont val="Tahoma"/>
            <family val="2"/>
          </rPr>
          <t xml:space="preserve">Si los datos no están disponibles, no introduzca ceros; deje las celdas de la tabla en blanco. </t>
        </r>
      </text>
    </comment>
    <comment ref="B73"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<sst xmlns="http://schemas.openxmlformats.org/spreadsheetml/2006/main" count="597" uniqueCount="403">
  <si>
    <t>TABLERO DE MANDO: VIH</t>
  </si>
  <si>
    <t>VIH - SSF - El Salvador.</t>
  </si>
  <si>
    <t xml:space="preserve">Subvención N°: SLV - H - MINSAL </t>
  </si>
  <si>
    <t>Cuadro de mando: VIH - SSF - El Salvador.</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</si>
  <si>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</si>
  <si>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</si>
  <si>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</si>
  <si>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</si>
  <si>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</si>
  <si>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</si>
  <si>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</si>
  <si>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</si>
  <si>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</si>
  <si>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</si>
  <si>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</si>
  <si>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</si>
  <si>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</si>
  <si>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</si>
  <si>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</si>
  <si>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</si>
  <si>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</si>
  <si>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</si>
  <si>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</si>
  <si>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</si>
  <si>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</si>
  <si>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</si>
  <si>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</si>
  <si>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</si>
  <si>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</si>
  <si>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</si>
  <si>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</si>
  <si>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</si>
  <si>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</si>
  <si>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</si>
  <si>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</si>
  <si>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</si>
  <si>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</si>
  <si>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</si>
  <si>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</si>
  <si>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</si>
  <si>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</si>
  <si>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</si>
  <si>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</si>
  <si>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</si>
  <si>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</si>
  <si>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</si>
  <si>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</si>
  <si>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</si>
  <si>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</si>
  <si>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</si>
  <si>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INNOVANDO SERVICIOS, REDUCIENDO RIESGOS, RENOVANDO VIDAS EN EL SALVADOR</t>
  </si>
  <si>
    <t>Subvención nº:</t>
  </si>
  <si>
    <t>SLV - H - MINSAL</t>
  </si>
  <si>
    <t>Componente:</t>
  </si>
  <si>
    <t>VIH / SIDA</t>
  </si>
  <si>
    <t>Financiación total:</t>
  </si>
  <si>
    <t>Receptor Principal:</t>
  </si>
  <si>
    <t xml:space="preserve">Ministerio de Salud </t>
  </si>
  <si>
    <t>Convocatoria:</t>
  </si>
  <si>
    <t>SSF/NMF</t>
  </si>
  <si>
    <t>Fase:</t>
  </si>
  <si>
    <t>Fase 1</t>
  </si>
  <si>
    <t>Fecha de inicio (dd/mm/aa):</t>
  </si>
  <si>
    <t>01 de enero del 2014</t>
  </si>
  <si>
    <t>Agente Local del Fondo:</t>
  </si>
  <si>
    <t>JACOBS</t>
  </si>
  <si>
    <t>Ultima calificación:</t>
  </si>
  <si>
    <t>B2</t>
  </si>
  <si>
    <t>Gerente de Cartera del Fondo:</t>
  </si>
  <si>
    <t>Serena Buccini</t>
  </si>
  <si>
    <t>Periodo de referencia del que se informa</t>
  </si>
  <si>
    <t>Periodo:</t>
  </si>
  <si>
    <t>P5</t>
  </si>
  <si>
    <t>Desde:</t>
  </si>
  <si>
    <t>Hasta:</t>
  </si>
  <si>
    <t>Fecha de introducción de la información:</t>
  </si>
  <si>
    <t>Elaborado por:</t>
  </si>
  <si>
    <t>UAFM/FE/MINSAL.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</si>
  <si>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</si>
  <si>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</si>
  <si>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</si>
  <si>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</si>
  <si>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</si>
  <si>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</si>
  <si>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</si>
  <si>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</si>
  <si>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</si>
  <si>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</si>
  <si>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</si>
  <si>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P1</t>
  </si>
  <si>
    <t>P2</t>
  </si>
  <si>
    <t>P3</t>
  </si>
  <si>
    <t>P4</t>
  </si>
  <si>
    <t>P6</t>
  </si>
  <si>
    <t>P7</t>
  </si>
  <si>
    <t>P8</t>
  </si>
  <si>
    <t>P9</t>
  </si>
  <si>
    <t>P10</t>
  </si>
  <si>
    <t>P11</t>
  </si>
  <si>
    <t>P12</t>
  </si>
  <si>
    <t>% del presupuesto desembolsado</t>
  </si>
  <si>
    <t>Presupuesto acumulado</t>
  </si>
  <si>
    <t>Desembolsos  acumulados</t>
  </si>
  <si>
    <t>F2: Presupuesto y gastos reales por objetivo de la subvención</t>
  </si>
  <si>
    <t>Objetivo de la subvención</t>
  </si>
  <si>
    <t>Objetivo 1</t>
  </si>
  <si>
    <t>Objetivo 2</t>
  </si>
  <si>
    <t>Objetivo 3</t>
  </si>
  <si>
    <t>Total</t>
  </si>
  <si>
    <t>F3: Desembolsos y gastos</t>
  </si>
  <si>
    <t>Anterior al periodo de referencia</t>
  </si>
  <si>
    <t>Periodo de referencia actual</t>
  </si>
  <si>
    <t>Desembolsado por el Fondo Mundial</t>
  </si>
  <si>
    <t xml:space="preserve">Gastos </t>
  </si>
  <si>
    <t xml:space="preserve">Compromisos </t>
  </si>
  <si>
    <t>Saldo en Caja al 30 de junio MINSAL</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</si>
  <si>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</si>
  <si>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</si>
  <si>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</si>
  <si>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</si>
  <si>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</si>
  <si>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</si>
  <si>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</si>
  <si>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</si>
  <si>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</si>
  <si>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</si>
  <si>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</si>
  <si>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</si>
  <si>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</si>
  <si>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</si>
  <si>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</si>
  <si>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</si>
  <si>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</si>
  <si>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</si>
  <si>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</si>
  <si>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</si>
  <si>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(gestores de compra de bienes y servicios) </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</si>
  <si>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</si>
  <si>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</si>
  <si>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</si>
  <si>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</si>
  <si>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</si>
  <si>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</si>
  <si>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</si>
  <si>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</si>
  <si>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</si>
  <si>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</si>
  <si>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</si>
  <si>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</si>
  <si>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</si>
  <si>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</si>
  <si>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</si>
  <si>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Compromisos ( Compra UACI)</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</si>
  <si>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</si>
  <si>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</si>
  <si>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</si>
  <si>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</si>
  <si>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</si>
  <si>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</si>
  <si>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</si>
  <si>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</si>
  <si>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</si>
  <si>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</si>
  <si>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</si>
  <si>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</si>
  <si>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</si>
  <si>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</si>
  <si>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</si>
  <si>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</si>
  <si>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VIH/SIDA</t>
  </si>
  <si>
    <t>Efavirenz 600mg/ Emtrecitabina 200 mg/ tenofovir 300 mg</t>
  </si>
  <si>
    <t>Efavrienz 600 mg/Emtricitabina 200 mg/tenofovir 300 mg</t>
  </si>
  <si>
    <t>Información de programa:</t>
  </si>
  <si>
    <t xml:space="preserve">     Introduzca los datos de desempeño en todas las celdas amarillas.</t>
  </si>
  <si>
    <t>Indicadores de programa (Marco de Referencia)</t>
  </si>
  <si>
    <t>Código</t>
  </si>
  <si>
    <t>¿Directamente vinculados?</t>
  </si>
  <si>
    <t>Comentarios</t>
  </si>
  <si>
    <t>3 PRIMEROS</t>
  </si>
  <si>
    <t>Número y porcentaje de adultos y niños elegible que actualmente recibe terapia antirretroviral</t>
  </si>
  <si>
    <t>2.2 Top Ten</t>
  </si>
  <si>
    <t>Yes</t>
  </si>
  <si>
    <t>Meta</t>
  </si>
  <si>
    <t>Actualmente se esta realizando por parte de la red de hospitales la actualización del estado del paciente que reciben TAR hasta el 30 de junio 2014. Se estima tener los resultados depurados a finales de septiembre</t>
  </si>
  <si>
    <t>Logro</t>
  </si>
  <si>
    <t>Número y porcentaje de embarazadas con VIH que recibe medicamentos antirretrovirales, para reducir el riesgo de transmisión materno infantil</t>
  </si>
  <si>
    <t xml:space="preserve">2.7 Top Ten </t>
  </si>
  <si>
    <t>Ya se envio memorandum al Programa Nacional con el listado de las 13 pacientes que no recibieron TAR para iniciar la investigacion de las causas del porque no recibieron su TAR</t>
  </si>
  <si>
    <t>Número y porcentaje de hombres que tienen sexo con hombres que se sometieron a las pruebas y consejería del VIH y que recibieron sus resultados</t>
  </si>
  <si>
    <t>3.1 Top Ten</t>
  </si>
  <si>
    <t>Para estos tres ultimos indicadores se incluyeron en el denominador el cual se estimo a través de spectrum pacientes ya tamizados que conocen sus resultados y son positivos por lo que no deberian de entrar en el denominador, Ya que esto nos eleva la meta a cumplir. Se estan realizando multiples esfuerzos que incluyen visitas a centros donde acuden dichas poblaciones para captar mas usuarios y mejorar la meta. Se revisara con Dr. Sorto la metodologia del calculo del denominador y el numerador. Existe una promesa del Fondo Mundial de evaluar una nueva negociacion de estas metas.</t>
  </si>
  <si>
    <t>Número y porcentaje de trabajadores sexuales que se sometieron a las pruebas y consejería del VIH y que recibieron sus resultados</t>
  </si>
  <si>
    <t>3.2 Top Ten</t>
  </si>
  <si>
    <t>Número y porcentaje de personas transgénero que se sometieron a las pruebas y consejería del VIH y que recibieron sus resultados</t>
  </si>
  <si>
    <t>3.3 Top Ten</t>
  </si>
  <si>
    <t>Número y porcentaje de adultos y niños con diagnostico positivo de VIH que se sometieron a pruebas de la TB y se registró dicha información durante su última visita durante el periodo de reporte, de entre todos los adultos y niños con diagnostico positivo de VIH durante el periodo de notificación</t>
  </si>
  <si>
    <t>Esta diferencia se debe a que la línea de base establecida es inferior a los logros alcanzados</t>
  </si>
  <si>
    <t>"Número de todos los adultos y niños seropositivos que reciben un recuento de células CD4 cada 6 meses"</t>
  </si>
  <si>
    <t>Pendiente de reportar según indicaciones de Marta Urrutxi</t>
  </si>
  <si>
    <t>Número y porcentaje de centros de salud que dispensan tratamiento antirretroviral que tuvieron ruptura de stock de por lo menos uno de los medicamentos antirretrovirales requeridos</t>
  </si>
  <si>
    <t>Este indicador incluye todos los ARV incluyendo los comprados con GOES, se esta creando la fuente primaria de medicion para este indicador. Este caso ya se dicutio con el ALF.</t>
  </si>
  <si>
    <t>Número y porcentaje de mujeres embarazadas que se sometieron a las pruebas y consejería del VIH y que recibieron sus resultados</t>
  </si>
  <si>
    <t>Para el reporte de este indicador influyen diferentes circunstancias entre ellas: los periodos en el que se toma la prueba y el reporte de la misma, otra es la dificultad para el registro de las post consejerias debido a la sobrecarga laboral, actitudinal  y en ocasiones el paciente no asiste a sus resultados, al tratar de localizarlos se encuntra con las dificultad de que los usuarios no brindan los datos de direccion o numeros de telefonos correctos.</t>
  </si>
  <si>
    <t>Número de personas privadas de libertad que se sometieron a las pruebas y consejería del VIH y que recibieron sus resultados</t>
  </si>
  <si>
    <t>Se logro tamizar a todos los centros penitenciarios</t>
  </si>
  <si>
    <t>INDICADORES DE IMPACTO</t>
  </si>
  <si>
    <t xml:space="preserve">% de Hombres que tienen relaciones sexuales con hombres infectados por el VIH </t>
  </si>
  <si>
    <t>Impacto</t>
  </si>
  <si>
    <t>Estos indicadores se reportaran en e primer semestre del año 2015</t>
  </si>
  <si>
    <t>% de Trabajadoras sexuales  femeninas y masculinos infectados por el VIH</t>
  </si>
  <si>
    <t>3,1</t>
  </si>
  <si>
    <t>1,6</t>
  </si>
  <si>
    <t>% de Poblacion Transgenero infectada por el VIH</t>
  </si>
  <si>
    <t>Número de lactantes que nacio con el VIH de madres infectadas</t>
  </si>
  <si>
    <t>% de adultos y niños con el VIH que se saben que continuan con el tratamiento 12 meses despues de empezar la Terapia antirretroviral.</t>
  </si>
  <si>
    <t>% de adultos y niños con el VIH que se saben que continuan con el tratamiento 24 meses despues de empezar la Terapia antirretroviral.</t>
  </si>
  <si>
    <t xml:space="preserve"> </t>
  </si>
  <si>
    <t>Fecha de inicio:</t>
  </si>
  <si>
    <t>Financiación total</t>
  </si>
  <si>
    <t>Receptor principal:</t>
  </si>
  <si>
    <t>Periodo de referencia:</t>
  </si>
  <si>
    <t>desde:</t>
  </si>
  <si>
    <t>hasta:</t>
  </si>
  <si>
    <t>Última calificación:</t>
  </si>
  <si>
    <t>Fecha de elaboración del informe:</t>
  </si>
  <si>
    <t>Indicadores financieros</t>
  </si>
  <si>
    <t>Comentarios:</t>
  </si>
  <si>
    <t>El presupuesto es Mayor a los desembolso debido a que en el primer semestre no se recibio desembolso en el proyecto.</t>
  </si>
  <si>
    <t xml:space="preserve">Los gastos del periodo reportado han sido pagos realizados de compromisos del periodo anterior y de este periodo se han cancelado  salarios y manternimiento. </t>
  </si>
  <si>
    <t>Periodo Actual</t>
  </si>
  <si>
    <t>Periodo Anterior</t>
  </si>
  <si>
    <t xml:space="preserve">Comentarios: </t>
  </si>
  <si>
    <t>La diferencias entre el presupuesto y gastos de debe a que se tienen compromisos con proveedores y que seran pagados en el siguiente semestre y economias generadas.</t>
  </si>
  <si>
    <t>El desembolso no se ha recibido al cierre del semestre</t>
  </si>
  <si>
    <t>Último desembolso de fondos: Días calendario</t>
  </si>
  <si>
    <t>Las acciones precedentes no cumpĺidas se encuentran en proceso y deben ser presentadas en febrero 2016, algunas de ellas ya fueron enviadas a Fondo Mundial y se esta en espera de retroalimentación.</t>
  </si>
  <si>
    <t>Actualmente el RP MINSAL cuenta con los principales puestos directivos, no hay puestos vacantes.</t>
  </si>
  <si>
    <t>El RP MINSAL no cuenta con subreceptores</t>
  </si>
  <si>
    <r>
      <t>T</t>
    </r>
    <r>
      <rPr>
        <sz val="12"/>
        <color indexed="8"/>
        <rFont val="Calibri"/>
        <family val="2"/>
      </rPr>
      <t>odo el presupuesto de Productos salud estan en proceso de compras, los medicamentos se compraron a través de la OPS, los gastos reflejan la compra de reactivos recibida este año y el pago de los medicamentos para ITS.</t>
    </r>
  </si>
  <si>
    <t>Actualmente el Fondo Mundial apoya con la compra del 100% de las necesidades de efavirenz/emtricitabina/tenofovir, actualmente contamos con 4 meses más de los 6 meses de  seguridad, lo que permite mantener el stock hasta realizar la siguiente compra</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</si>
  <si>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</si>
  <si>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</si>
  <si>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</si>
  <si>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</si>
  <si>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</si>
  <si>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</si>
  <si>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</si>
  <si>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 xml:space="preserve">Actualmente el 100% de los usuarios que consultan a los Hospitales con TAR y que cumplen criterios para iniciar la misma se encuentran recibiendo tratamiento. </t>
  </si>
  <si>
    <t>De las 87 embarazadas dx durante este año 86 recibieron TAR, una fue diagnósticada en el momento del parto, ya que no llevo controles prenatales, por lo que no recibio TAR.</t>
  </si>
  <si>
    <t>El resultado de este indicador proviene de todas  las post consejerías de las UCSF  a nivel nacional no solamente de las clínicas VICITS, además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y contrareferencia, el subregistro y la ampliación de la cobertura para la toma de la prueba de VIH</t>
  </si>
  <si>
    <t>Indicadores</t>
  </si>
  <si>
    <t>Lograda</t>
  </si>
  <si>
    <t>0% - 59%</t>
  </si>
  <si>
    <t>60% - 89%</t>
  </si>
  <si>
    <t>&gt; 90%</t>
  </si>
  <si>
    <t>¿Cumplen lo acordado la adquisición y la contratación?</t>
  </si>
  <si>
    <t>Gestión</t>
  </si>
  <si>
    <t>Actualmente el 100% de los usuarios que consultan a los Hospitales con TAR y que cumplen criterios para iniciar la misma se encuentran recibiendo tratamiento. No existen listas de espera.</t>
  </si>
  <si>
    <t>Comentarios resumidos</t>
  </si>
  <si>
    <t>Recomendaciones</t>
  </si>
  <si>
    <t>El 99% (86) de las embarazadas diagnosticadas durante el período de enero a junio 2,016 recibieron TAR. La única embarazada que no recibió TAR fue dx post parto, ya que no llevo controles.</t>
  </si>
  <si>
    <t>M1</t>
  </si>
  <si>
    <t>M2</t>
  </si>
  <si>
    <t>De 11072 usuarios con VIH que consultaron a las clínicas TAR se le realizo descarte de TB a 7062</t>
  </si>
  <si>
    <t>De los 639 nuevos diagnósticos que se han realizado hasta el 30 de junio a 320 se les realizo al menos un recuento de CD4 cada 6 meses, lo que represento un 50% del total de los nuevos diagnósticos y un 83% del logro de cobertura de la meta establecida en el Marco del desempeño.</t>
  </si>
  <si>
    <r>
      <t xml:space="preserve">
</t>
    </r>
    <r>
      <rPr>
        <sz val="12"/>
        <color indexed="8"/>
        <rFont val="Calibri"/>
        <family val="1"/>
      </rPr>
      <t xml:space="preserve">Hospitales que presentaron desabastecimiento:
Hospital Nacional "Dr. Luis Edmundo Vásquez"(Chalatenango)
Hospital Nacional "Nuestra Sra. de Fatima" 
Hospital Nacional "Santa Teresa"(Zacatecoluca)
Hospital Nacional de la  Mujer "Dra. Maria Isabel Rodriguez"
Hospital Nacional Rosales
Hospital Nacional "Enfermera Angelíca Vidal de Najarro"(San Bartolo)
Hospital Nacional de San Francisco Gotera
</t>
    </r>
    <r>
      <rPr>
        <sz val="12"/>
        <color indexed="8"/>
        <rFont val="Calibri"/>
        <family val="2"/>
      </rPr>
      <t xml:space="preserve">El desabastecimiento se ha dado en la farmacia del establecimiento de salud, pero se tenía disponibilidad en el almacén central, las principales causas son:
1. Incumplimiento a la política de inventario mínimo (2 meses), esperan a agotar por temor a que expire el producto en consumos promedios bajos (1 a 3 frascos).
2. Falta de revisión mensual de coberturas para solicitar reabastecimiento. </t>
    </r>
  </si>
  <si>
    <t>Con el indicador de las post consejerías en mujeres embarazadas se a alcanzado el 71% de cobertura.</t>
  </si>
  <si>
    <t xml:space="preserve">El resultado alcanzado refleja el trabajo  realizado en conjunto  por la integración intersectorial,   desde hace 7 años, entre el Programa Nacional de VIH, personal de centros penales, personal de salud y grupos de apoyo que a traves de la metodología de pares se han capacitado a facilitadores de la población privada de libertad quienes posteriormente son los encargados de realizar las  intervenciones  de prevención, adherencia, estigma y discriminación, pre y pos consejerías; con las unidades móviles institucionales ( personal de laboratorio)  se les brinda tamizaje con la prueba del VIH a  esta población privada de libertad. Meta alcanzada y superada con un logro de cobertura del 107%. </t>
  </si>
  <si>
    <t>El trabajo con Centros Penales durante el año 2016 ha sido complicado debido a las medidas extraordinarias implementadas este año en los Centros penales y al cierre de dos de estos, las dificultades las actividades se continuaron realizando y se ha logrado tamizar a las PPL. El resultado de este indicador se esta reportando en base al número de personas, no al de número de pruebas.</t>
  </si>
  <si>
    <t>Este indicador se encuentra en construcción debido a las nuevas actualizaciones que se le han realizado al SIAPS.</t>
  </si>
  <si>
    <t>Según registros del SUMEVE se reporta el 81% de los usuarios  12 meses despues de iniciar  TAR aun se encontraban con vida, pero a pesar de este resultado el PNVIH a iniciado un pilotaje para implementar la estrategia de adherencia y tratar de poder obtener disminuir las tasas de abandonos. Los datos han sido obtenido de la cohorte de enero a diciembre del año 2,013 para ser cerrada en diciembre del año 2,014.</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</si>
  <si>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</si>
  <si>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</si>
  <si>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</si>
  <si>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</si>
  <si>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</si>
  <si>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</si>
  <si>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</si>
  <si>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</si>
  <si>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</si>
  <si>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</si>
  <si>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</si>
  <si>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</si>
  <si>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</si>
  <si>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</si>
  <si>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</si>
  <si>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</si>
  <si>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</si>
  <si>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</si>
  <si>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</si>
  <si>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</si>
  <si>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</si>
  <si>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</si>
  <si>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</si>
  <si>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</si>
  <si>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</si>
  <si>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</si>
  <si>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</si>
  <si>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</si>
  <si>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</si>
  <si>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</si>
  <si>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</si>
  <si>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</si>
  <si>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</si>
  <si>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</si>
  <si>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</si>
  <si>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</si>
  <si>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Ronda 1</t>
  </si>
  <si>
    <t>A1</t>
  </si>
  <si>
    <t>CA (Crown Agents)</t>
  </si>
  <si>
    <t>PASER</t>
  </si>
  <si>
    <t>Antigua y Barbuda</t>
  </si>
  <si>
    <t>MALARIA</t>
  </si>
  <si>
    <t>€</t>
  </si>
  <si>
    <t>Ronda 2</t>
  </si>
  <si>
    <t>Fase 2</t>
  </si>
  <si>
    <t>A2</t>
  </si>
  <si>
    <t>DEL (Deloitte)</t>
  </si>
  <si>
    <t>Cicloserina 250mg</t>
  </si>
  <si>
    <t>Antillas Holandesas</t>
  </si>
  <si>
    <t>TB</t>
  </si>
  <si>
    <t>Ronda 3</t>
  </si>
  <si>
    <t>RCC</t>
  </si>
  <si>
    <t>B1</t>
  </si>
  <si>
    <t>DTT (DTT Emerging Markets)</t>
  </si>
  <si>
    <t>Kanamicina 1gr</t>
  </si>
  <si>
    <t>Argentina</t>
  </si>
  <si>
    <t>VIHSIDA / TB</t>
  </si>
  <si>
    <t>Ronda 4</t>
  </si>
  <si>
    <t>FIN (Finconsult)</t>
  </si>
  <si>
    <t>Etionamida 250mg</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</si>
  <si>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</si>
  <si>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</si>
  <si>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</si>
  <si>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</si>
  <si>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</si>
  <si>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</si>
  <si>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</si>
  <si>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</si>
  <si>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</si>
  <si>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</si>
  <si>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</si>
  <si>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</si>
  <si>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</si>
  <si>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</si>
  <si>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</si>
  <si>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</si>
  <si>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</si>
  <si>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</si>
  <si>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</si>
  <si>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</si>
  <si>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</si>
  <si>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</si>
  <si>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</si>
  <si>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</si>
  <si>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</si>
  <si>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</si>
  <si>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</si>
  <si>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</si>
  <si>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</si>
  <si>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</si>
  <si>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</si>
  <si>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</si>
  <si>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</si>
  <si>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</si>
  <si>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</si>
  <si>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</si>
  <si>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</si>
  <si>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</si>
  <si>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</si>
  <si>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</si>
  <si>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</si>
  <si>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</si>
  <si>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</si>
  <si>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</si>
  <si>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</si>
  <si>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</si>
  <si>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</si>
  <si>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</si>
  <si>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</si>
  <si>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</si>
  <si>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</si>
  <si>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</si>
  <si>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</si>
  <si>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</si>
  <si>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</si>
  <si>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</si>
  <si>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</si>
  <si>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</si>
  <si>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</si>
  <si>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</si>
  <si>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</si>
  <si>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</si>
  <si>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</si>
  <si>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</si>
  <si>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</si>
  <si>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Se va a considerar las nuevas disposiciones de la OMS 2015, o a partir de cuand o se va a comenzar a implementar?</t>
  </si>
  <si>
    <t>El resultado de este indicador proviene de todas las post consejerías de las UCSF  a nivel nacional no solamente de las clínicas VICITS, ademas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efectiva y contrareferencia, el subregistro y la ampliación de la cobertura para la toma de la prueba de VIH. No obstante los resultados del año 2015 fueron 16%, 30%, 32%, recordando que estos fueron los resultados a 12 meses, observando una mejoría en las poblaciones de HSH y TS, no así en el de la población trans, la cual ha ido disminuyendo y la cual el año pasado se alcanzo con la ayuda de los resultados del estudio de tamaño poblacional realizado por Plan.</t>
  </si>
  <si>
    <t>Comité de Monitoreo Estratégico</t>
  </si>
  <si>
    <t>Se solicita presentar desglozado el numero de pruebas de VIH por unidades de salud, clinicas VICITS y por Unidades Moviles. Para ver la efectividad de la estrategia implementada, en el alcance de los resultados de los tres indicadores de poblaciones claves.</t>
  </si>
  <si>
    <t>Las estrategias implementadas deben ser difirentes por poblacion clave y por zona.</t>
  </si>
  <si>
    <t>Que acciones dirigidas al personal, estan realizando, de acuerdo a lo reportado en el periodo anterior, según memorandum de la Ministra de Salud.</t>
  </si>
  <si>
    <t>A raiz del desabastecimiento en los 7 hospitales,  que medidas se han tomado?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</si>
</sst>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00_);_(* \(#,##0.00\);_(* \-??_);_(@_)"/>
    <numFmt numFmtId="166" formatCode="_(\Q* #,##0.00_);_(\Q* \(#,##0.00\);_(\Q* \-??_);_(@_)"/>
    <numFmt numFmtId="167" formatCode="#,##0.00;\-#,##0.00"/>
    <numFmt numFmtId="168" formatCode="d&quot; de &quot;mmm&quot; de &quot;yy"/>
    <numFmt numFmtId="169" formatCode="\Q#,##0_);[Red]&quot;(Q&quot;#,##0\)"/>
    <numFmt numFmtId="170" formatCode="_(* #,##0_);_(* \(#,##0\);_(* \-??_);_(@_)"/>
    <numFmt numFmtId="171" formatCode="\$#,##0"/>
    <numFmt numFmtId="172" formatCode="\$#,##0.00"/>
    <numFmt numFmtId="173" formatCode="#.##0"/>
    <numFmt numFmtId="174" formatCode="[$$-409]#,##0"/>
    <numFmt numFmtId="175" formatCode="_(\$* #,##0.00_);_(\$* \(#,##0.00\);_(\$* \-??_);_(@_)"/>
    <numFmt numFmtId="176" formatCode="#.##000"/>
    <numFmt numFmtId="177" formatCode="_-[$$-240A]* #,##0.00000_-;\-[$$-240A]* #,##0.00000_-;_-[$$-240A]* \-?????_-;_-@_-"/>
    <numFmt numFmtId="178" formatCode="000%"/>
    <numFmt numFmtId="179" formatCode="\$#,##0.000"/>
    <numFmt numFmtId="180" formatCode="#"/>
    <numFmt numFmtId="181" formatCode="0.0"/>
    <numFmt numFmtId="182" formatCode="#,##0.0"/>
    <numFmt numFmtId="183" formatCode="#.00"/>
    <numFmt numFmtId="184" formatCode="#.0"/>
    <numFmt numFmtId="185" formatCode="dd/mm/yyyy"/>
    <numFmt numFmtId="186" formatCode="[$$-409]#,##0_);\([$$-409]#,##0\)"/>
    <numFmt numFmtId="187" formatCode="d/mmm/yyyy;@"/>
    <numFmt numFmtId="188" formatCode="dd/mm/yy\ hh:mm"/>
    <numFmt numFmtId="189" formatCode="000"/>
    <numFmt numFmtId="190" formatCode=";;;"/>
    <numFmt numFmtId="191" formatCode=";;;&quot;Financial Variance in %&quot;"/>
  </numFmts>
  <fonts count="152">
    <font>
      <sz val="11"/>
      <color indexed="8"/>
      <name val="Calibri"/>
      <family val="2"/>
    </font>
    <font>
      <sz val="10"/>
      <name val="Arial"/>
      <family val="0"/>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sz val="11"/>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name val="Calibri"/>
      <family val="2"/>
    </font>
    <font>
      <i/>
      <sz val="11"/>
      <name val="Calibri"/>
      <family val="2"/>
    </font>
    <font>
      <sz val="14"/>
      <name val="Arial"/>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sz val="48"/>
      <color indexed="8"/>
      <name val="Calibri"/>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sz val="12"/>
      <color indexed="10"/>
      <name val="Calibri"/>
      <family val="2"/>
    </font>
    <font>
      <i/>
      <sz val="8"/>
      <color indexed="8"/>
      <name val="Calibri"/>
      <family val="2"/>
    </font>
    <font>
      <sz val="11"/>
      <color indexed="29"/>
      <name val="Calibri"/>
      <family val="2"/>
    </font>
    <font>
      <b/>
      <sz val="9"/>
      <name val="Calibri"/>
      <family val="2"/>
    </font>
    <font>
      <sz val="18"/>
      <color indexed="8"/>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6"/>
      <color indexed="8"/>
      <name val="Arial"/>
      <family val="2"/>
    </font>
    <font>
      <sz val="7"/>
      <color indexed="8"/>
      <name val="Arial"/>
      <family val="2"/>
    </font>
    <font>
      <sz val="5"/>
      <color indexed="8"/>
      <name val="Arial"/>
      <family val="2"/>
    </font>
    <font>
      <b/>
      <sz val="10.5"/>
      <color indexed="8"/>
      <name val="Calibri"/>
      <family val="2"/>
    </font>
    <font>
      <b/>
      <sz val="9"/>
      <color indexed="8"/>
      <name val="Arial"/>
      <family val="2"/>
    </font>
    <font>
      <sz val="8"/>
      <color indexed="8"/>
      <name val="Arial"/>
      <family val="2"/>
    </font>
    <font>
      <b/>
      <sz val="8"/>
      <color indexed="8"/>
      <name val="Arial"/>
      <family val="2"/>
    </font>
    <font>
      <b/>
      <sz val="11"/>
      <color indexed="9"/>
      <name val="Calibri"/>
      <family val="2"/>
    </font>
    <font>
      <sz val="6.75"/>
      <color indexed="8"/>
      <name val="Arial"/>
      <family val="2"/>
    </font>
    <font>
      <sz val="4.25"/>
      <color indexed="8"/>
      <name val="Arial"/>
      <family val="2"/>
    </font>
    <font>
      <b/>
      <sz val="5.5"/>
      <color indexed="8"/>
      <name val="Arial"/>
      <family val="2"/>
    </font>
    <font>
      <sz val="4.75"/>
      <color indexed="8"/>
      <name val="Arial"/>
      <family val="2"/>
    </font>
    <font>
      <sz val="7.8"/>
      <color indexed="8"/>
      <name val="Arial"/>
      <family val="2"/>
    </font>
    <font>
      <sz val="5.45"/>
      <color indexed="8"/>
      <name val="Calibri"/>
      <family val="2"/>
    </font>
    <font>
      <sz val="3.65"/>
      <color indexed="8"/>
      <name val="Arial"/>
      <family val="2"/>
    </font>
    <font>
      <sz val="3.75"/>
      <color indexed="8"/>
      <name val="Arial"/>
      <family val="2"/>
    </font>
    <font>
      <sz val="11"/>
      <color indexed="20"/>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b/>
      <sz val="11"/>
      <color indexed="63"/>
      <name val="Calibri"/>
      <family val="2"/>
    </font>
    <font>
      <sz val="18"/>
      <color indexed="54"/>
      <name val="Calibri Light"/>
      <family val="2"/>
    </font>
    <font>
      <sz val="11"/>
      <color indexed="10"/>
      <name val="Calibri"/>
      <family val="2"/>
    </font>
    <font>
      <sz val="12"/>
      <color indexed="8"/>
      <name val="Arial"/>
      <family val="2"/>
    </font>
    <font>
      <sz val="9"/>
      <color indexed="8"/>
      <name val="Calibri"/>
      <family val="2"/>
    </font>
    <font>
      <b/>
      <sz val="5.75"/>
      <color indexed="8"/>
      <name val="Arial"/>
      <family val="2"/>
    </font>
    <font>
      <sz val="9.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25"/>
        <bgColor indexed="64"/>
      </patternFill>
    </fill>
    <fill>
      <patternFill patternType="solid">
        <fgColor indexed="11"/>
        <bgColor indexed="64"/>
      </patternFill>
    </fill>
    <fill>
      <patternFill patternType="solid">
        <fgColor indexed="42"/>
        <bgColor indexed="64"/>
      </patternFill>
    </fill>
    <fill>
      <patternFill patternType="solid">
        <fgColor indexed="18"/>
        <bgColor indexed="64"/>
      </patternFill>
    </fill>
    <fill>
      <patternFill patternType="solid">
        <fgColor indexed="62"/>
        <bgColor indexed="64"/>
      </patternFill>
    </fill>
    <fill>
      <patternFill patternType="solid">
        <fgColor indexed="57"/>
        <bgColor indexed="64"/>
      </patternFill>
    </fill>
    <fill>
      <patternFill patternType="solid">
        <fgColor indexed="61"/>
        <bgColor indexed="64"/>
      </patternFill>
    </fill>
    <fill>
      <patternFill patternType="solid">
        <fgColor indexed="13"/>
        <bgColor indexed="64"/>
      </patternFill>
    </fill>
  </fills>
  <borders count="1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style="thin">
        <color indexed="32"/>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58"/>
      </left>
      <right style="thin">
        <color indexed="58"/>
      </right>
      <top style="thin">
        <color indexed="58"/>
      </top>
      <bottom style="thin">
        <color indexed="58"/>
      </bottom>
    </border>
    <border>
      <left style="thin">
        <color indexed="28"/>
      </left>
      <right style="thin">
        <color indexed="28"/>
      </right>
      <top style="thin">
        <color indexed="28"/>
      </top>
      <bottom style="thin">
        <color indexed="28"/>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thin">
        <color indexed="16"/>
      </left>
      <right style="medium">
        <color indexed="51"/>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style="thin">
        <color indexed="32"/>
      </bottom>
    </border>
    <border>
      <left style="thin">
        <color indexed="32"/>
      </left>
      <right style="medium">
        <color indexed="51"/>
      </right>
      <top style="thin">
        <color indexed="32"/>
      </top>
      <bottom style="thin">
        <color indexed="32"/>
      </bottom>
    </border>
    <border>
      <left style="thin">
        <color indexed="28"/>
      </left>
      <right style="thin">
        <color indexed="28"/>
      </right>
      <top style="thin">
        <color indexed="28"/>
      </top>
      <bottom style="medium">
        <color indexed="51"/>
      </bottom>
    </border>
    <border>
      <left style="thin">
        <color indexed="32"/>
      </left>
      <right style="thin">
        <color indexed="32"/>
      </right>
      <top style="thin">
        <color indexed="32"/>
      </top>
      <bottom style="medium">
        <color indexed="51"/>
      </bottom>
    </border>
    <border>
      <left style="thin">
        <color indexed="32"/>
      </left>
      <right style="medium">
        <color indexed="51"/>
      </right>
      <top style="thin">
        <color indexed="32"/>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style="thin">
        <color indexed="9"/>
      </left>
      <right style="thin">
        <color indexed="9"/>
      </right>
      <top style="thin">
        <color indexed="9"/>
      </top>
      <bottom style="thin">
        <color indexed="9"/>
      </bottom>
    </border>
    <border>
      <left>
        <color indexed="63"/>
      </left>
      <right style="thick">
        <color indexed="9"/>
      </right>
      <top>
        <color indexed="63"/>
      </top>
      <bottom>
        <color indexed="63"/>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style="thin">
        <color indexed="32"/>
      </top>
      <bottom>
        <color indexed="63"/>
      </bottom>
    </border>
    <border>
      <left style="thin">
        <color indexed="32"/>
      </left>
      <right style="thin">
        <color indexed="32"/>
      </right>
      <top style="thin">
        <color indexed="32"/>
      </top>
      <bottom>
        <color indexed="63"/>
      </bottom>
    </border>
    <border>
      <left style="thin">
        <color indexed="32"/>
      </left>
      <right style="thin">
        <color indexed="32"/>
      </right>
      <top>
        <color indexed="63"/>
      </top>
      <bottom>
        <color indexed="63"/>
      </bottom>
    </border>
    <border>
      <left>
        <color indexed="63"/>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16"/>
      </left>
      <right style="medium">
        <color indexed="16"/>
      </right>
      <top style="thin">
        <color indexed="16"/>
      </top>
      <bottom style="medium">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color indexed="63"/>
      </left>
      <right style="medium">
        <color indexed="51"/>
      </right>
      <top>
        <color indexed="63"/>
      </top>
      <bottom>
        <color indexed="63"/>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color indexed="63"/>
      </bottom>
    </border>
    <border>
      <left style="medium">
        <color indexed="51"/>
      </left>
      <right style="thin">
        <color indexed="32"/>
      </right>
      <top style="thin">
        <color indexed="32"/>
      </top>
      <bottom>
        <color indexed="63"/>
      </bottom>
    </border>
    <border>
      <left style="medium">
        <color indexed="51"/>
      </left>
      <right style="medium">
        <color indexed="51"/>
      </right>
      <top style="thin">
        <color indexed="32"/>
      </top>
      <bottom style="medium">
        <color indexed="51"/>
      </bottom>
    </border>
    <border>
      <left style="medium">
        <color indexed="32"/>
      </left>
      <right style="medium">
        <color indexed="32"/>
      </right>
      <top style="medium">
        <color indexed="32"/>
      </top>
      <bottom style="thin">
        <color indexed="32"/>
      </bottom>
    </border>
    <border>
      <left style="medium">
        <color indexed="32"/>
      </left>
      <right style="medium">
        <color indexed="32"/>
      </right>
      <top style="thin">
        <color indexed="32"/>
      </top>
      <bottom style="thin">
        <color indexed="32"/>
      </bottom>
    </border>
    <border>
      <left style="medium">
        <color indexed="32"/>
      </left>
      <right style="medium">
        <color indexed="32"/>
      </right>
      <top style="thin">
        <color indexed="32"/>
      </top>
      <bottom style="medium">
        <color indexed="32"/>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color indexed="63"/>
      </left>
      <right style="medium">
        <color indexed="32"/>
      </right>
      <top style="hair">
        <color indexed="32"/>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style="hair">
        <color indexed="32"/>
      </left>
      <right style="medium">
        <color indexed="32"/>
      </right>
      <top style="medium">
        <color indexed="57"/>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134" fillId="3" borderId="0" applyNumberFormat="0" applyBorder="0" applyAlignment="0" applyProtection="0"/>
    <xf numFmtId="0" fontId="134" fillId="4" borderId="0" applyNumberFormat="0" applyBorder="0" applyAlignment="0" applyProtection="0"/>
    <xf numFmtId="0" fontId="134" fillId="5" borderId="0" applyNumberFormat="0" applyBorder="0" applyAlignment="0" applyProtection="0"/>
    <xf numFmtId="0" fontId="134" fillId="6" borderId="0" applyNumberFormat="0" applyBorder="0" applyAlignment="0" applyProtection="0"/>
    <xf numFmtId="0" fontId="134" fillId="7" borderId="0" applyNumberFormat="0" applyBorder="0" applyAlignment="0" applyProtection="0"/>
    <xf numFmtId="0" fontId="134" fillId="8" borderId="0" applyNumberFormat="0" applyBorder="0" applyAlignment="0" applyProtection="0"/>
    <xf numFmtId="0" fontId="134" fillId="9" borderId="0" applyNumberFormat="0" applyBorder="0" applyAlignment="0" applyProtection="0"/>
    <xf numFmtId="0" fontId="134" fillId="10" borderId="0" applyNumberFormat="0" applyBorder="0" applyAlignment="0" applyProtection="0"/>
    <xf numFmtId="0" fontId="134" fillId="11" borderId="0" applyNumberFormat="0" applyBorder="0" applyAlignment="0" applyProtection="0"/>
    <xf numFmtId="0" fontId="134" fillId="12" borderId="0" applyNumberFormat="0" applyBorder="0" applyAlignment="0" applyProtection="0"/>
    <xf numFmtId="0" fontId="134"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36" fillId="26" borderId="0" applyNumberFormat="0" applyBorder="0" applyAlignment="0" applyProtection="0"/>
    <xf numFmtId="0" fontId="137" fillId="27" borderId="1" applyNumberFormat="0" applyAlignment="0" applyProtection="0"/>
    <xf numFmtId="0" fontId="138" fillId="28" borderId="2" applyNumberFormat="0" applyAlignment="0" applyProtection="0"/>
    <xf numFmtId="165" fontId="0"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139" fillId="0" borderId="0" applyNumberFormat="0" applyFill="0" applyBorder="0" applyAlignment="0" applyProtection="0"/>
    <xf numFmtId="0" fontId="140" fillId="29" borderId="0" applyNumberFormat="0" applyBorder="0" applyAlignment="0" applyProtection="0"/>
    <xf numFmtId="0" fontId="141" fillId="0" borderId="3" applyNumberFormat="0" applyFill="0" applyAlignment="0" applyProtection="0"/>
    <xf numFmtId="0" fontId="142" fillId="0" borderId="4" applyNumberFormat="0" applyFill="0" applyAlignment="0" applyProtection="0"/>
    <xf numFmtId="0" fontId="143" fillId="0" borderId="5" applyNumberFormat="0" applyFill="0" applyAlignment="0" applyProtection="0"/>
    <xf numFmtId="0" fontId="143" fillId="0" borderId="0" applyNumberFormat="0" applyFill="0" applyBorder="0" applyAlignment="0" applyProtection="0"/>
    <xf numFmtId="0" fontId="144" fillId="30" borderId="1" applyNumberFormat="0" applyAlignment="0" applyProtection="0"/>
    <xf numFmtId="0" fontId="145" fillId="0" borderId="6" applyNumberFormat="0" applyFill="0" applyAlignment="0" applyProtection="0"/>
    <xf numFmtId="165" fontId="1" fillId="0" borderId="0" applyFill="0" applyBorder="0" applyAlignment="0" applyProtection="0"/>
    <xf numFmtId="0" fontId="146" fillId="31" borderId="0" applyNumberFormat="0" applyBorder="0" applyAlignment="0" applyProtection="0"/>
    <xf numFmtId="165"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1" fillId="0" borderId="0">
      <alignment/>
      <protection/>
    </xf>
    <xf numFmtId="0" fontId="0" fillId="32" borderId="7" applyNumberFormat="0" applyFont="0" applyAlignment="0" applyProtection="0"/>
    <xf numFmtId="0" fontId="147" fillId="27" borderId="8" applyNumberFormat="0" applyAlignment="0" applyProtection="0"/>
    <xf numFmtId="9"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148" fillId="0" borderId="0" applyNumberFormat="0" applyFill="0" applyBorder="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49" fillId="0" borderId="10" applyNumberFormat="0" applyFill="0" applyAlignment="0" applyProtection="0"/>
    <xf numFmtId="0" fontId="150" fillId="0" borderId="0" applyNumberFormat="0" applyFill="0" applyBorder="0" applyAlignment="0" applyProtection="0"/>
  </cellStyleXfs>
  <cellXfs count="656">
    <xf numFmtId="0" fontId="0" fillId="0" borderId="0" xfId="0" applyAlignment="1">
      <alignment/>
    </xf>
    <xf numFmtId="165" fontId="3" fillId="0" borderId="0" xfId="66" applyFont="1" applyFill="1" applyAlignment="1">
      <alignment vertical="center"/>
      <protection/>
    </xf>
    <xf numFmtId="0" fontId="5" fillId="0" borderId="0" xfId="0" applyFont="1" applyAlignment="1">
      <alignment/>
    </xf>
    <xf numFmtId="165" fontId="5" fillId="0" borderId="0" xfId="0" applyNumberFormat="1" applyFont="1" applyAlignment="1">
      <alignment/>
    </xf>
    <xf numFmtId="165" fontId="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65" fontId="2" fillId="0" borderId="0" xfId="65" applyFont="1" applyFill="1" applyAlignment="1" applyProtection="1">
      <alignment horizontal="center" vertical="center"/>
      <protection/>
    </xf>
    <xf numFmtId="165" fontId="3" fillId="0" borderId="0" xfId="65" applyFont="1" applyFill="1" applyAlignment="1" applyProtection="1">
      <alignment vertical="center"/>
      <protection/>
    </xf>
    <xf numFmtId="0" fontId="15"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horizontal="center"/>
    </xf>
    <xf numFmtId="0" fontId="18" fillId="0" borderId="0" xfId="0" applyFont="1" applyFill="1" applyAlignment="1">
      <alignment/>
    </xf>
    <xf numFmtId="0" fontId="0" fillId="0" borderId="0" xfId="0" applyFont="1" applyAlignment="1">
      <alignment/>
    </xf>
    <xf numFmtId="0" fontId="9" fillId="33" borderId="11" xfId="0" applyFont="1" applyFill="1" applyBorder="1" applyAlignment="1">
      <alignment horizontal="justify" vertical="center" wrapText="1"/>
    </xf>
    <xf numFmtId="0" fontId="13" fillId="33" borderId="12" xfId="0" applyFont="1" applyFill="1" applyBorder="1" applyAlignment="1">
      <alignment horizontal="justify" vertical="center" wrapText="1"/>
    </xf>
    <xf numFmtId="0" fontId="13" fillId="33" borderId="13" xfId="0" applyFont="1" applyFill="1" applyBorder="1" applyAlignment="1">
      <alignment horizontal="justify"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12" xfId="0" applyFont="1" applyBorder="1" applyAlignment="1">
      <alignment horizontal="justify" vertical="center" wrapText="1"/>
    </xf>
    <xf numFmtId="0" fontId="13"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1" xfId="0" applyFont="1" applyBorder="1" applyAlignment="1">
      <alignment horizontal="justify" vertical="center" wrapText="1"/>
    </xf>
    <xf numFmtId="165" fontId="24" fillId="0" borderId="0" xfId="57" applyFont="1" applyFill="1" applyAlignment="1" applyProtection="1">
      <alignment vertical="center"/>
      <protection/>
    </xf>
    <xf numFmtId="165" fontId="25" fillId="0" borderId="0" xfId="0" applyNumberFormat="1" applyFont="1" applyAlignment="1" applyProtection="1">
      <alignment horizontal="right"/>
      <protection/>
    </xf>
    <xf numFmtId="165" fontId="0" fillId="0" borderId="14" xfId="0" applyNumberFormat="1" applyFont="1" applyBorder="1" applyAlignment="1" applyProtection="1">
      <alignment horizontal="center"/>
      <protection locked="0"/>
    </xf>
    <xf numFmtId="165" fontId="25" fillId="0" borderId="0" xfId="0" applyNumberFormat="1" applyFont="1" applyBorder="1" applyAlignment="1" applyProtection="1">
      <alignment horizontal="right"/>
      <protection/>
    </xf>
    <xf numFmtId="0" fontId="25" fillId="0" borderId="0" xfId="0" applyFont="1" applyAlignment="1" applyProtection="1">
      <alignment horizontal="right"/>
      <protection/>
    </xf>
    <xf numFmtId="0" fontId="25" fillId="0" borderId="0" xfId="0" applyFont="1" applyAlignment="1" applyProtection="1">
      <alignment/>
      <protection/>
    </xf>
    <xf numFmtId="49" fontId="25" fillId="0" borderId="0" xfId="0" applyNumberFormat="1" applyFont="1" applyAlignment="1" applyProtection="1">
      <alignment horizontal="right"/>
      <protection/>
    </xf>
    <xf numFmtId="0" fontId="25" fillId="0" borderId="0" xfId="0" applyFont="1" applyBorder="1" applyAlignment="1" applyProtection="1">
      <alignment/>
      <protection/>
    </xf>
    <xf numFmtId="168" fontId="0" fillId="0" borderId="0" xfId="0" applyNumberFormat="1" applyAlignment="1" applyProtection="1">
      <alignment/>
      <protection/>
    </xf>
    <xf numFmtId="168" fontId="0" fillId="0" borderId="14" xfId="87" applyNumberFormat="1" applyFont="1" applyFill="1" applyBorder="1" applyAlignment="1" applyProtection="1">
      <alignment horizontal="center"/>
      <protection locked="0"/>
    </xf>
    <xf numFmtId="165" fontId="25" fillId="0" borderId="15" xfId="0" applyNumberFormat="1" applyFont="1" applyBorder="1" applyAlignment="1" applyProtection="1">
      <alignment horizontal="right"/>
      <protection/>
    </xf>
    <xf numFmtId="0" fontId="0" fillId="0" borderId="0" xfId="0" applyBorder="1" applyAlignment="1" applyProtection="1">
      <alignment/>
      <protection/>
    </xf>
    <xf numFmtId="165" fontId="25" fillId="0" borderId="0" xfId="0" applyNumberFormat="1" applyFont="1" applyAlignment="1" applyProtection="1">
      <alignment/>
      <protection/>
    </xf>
    <xf numFmtId="0" fontId="0" fillId="0" borderId="0" xfId="0" applyAlignment="1" applyProtection="1">
      <alignment/>
      <protection/>
    </xf>
    <xf numFmtId="0" fontId="0" fillId="34" borderId="14" xfId="0" applyFill="1" applyBorder="1" applyAlignment="1" applyProtection="1">
      <alignment/>
      <protection/>
    </xf>
    <xf numFmtId="0" fontId="0" fillId="35" borderId="14" xfId="0" applyFill="1" applyBorder="1" applyAlignment="1" applyProtection="1">
      <alignment/>
      <protection/>
    </xf>
    <xf numFmtId="0" fontId="0" fillId="0" borderId="0" xfId="0" applyFill="1" applyBorder="1" applyAlignment="1">
      <alignment/>
    </xf>
    <xf numFmtId="165" fontId="28" fillId="0" borderId="16" xfId="93" applyNumberFormat="1" applyFont="1" applyFill="1" applyBorder="1" applyAlignment="1" applyProtection="1">
      <alignment/>
      <protection/>
    </xf>
    <xf numFmtId="165" fontId="0" fillId="0" borderId="16" xfId="93" applyNumberFormat="1" applyFill="1" applyBorder="1" applyAlignment="1" applyProtection="1">
      <alignment vertical="center"/>
      <protection/>
    </xf>
    <xf numFmtId="165" fontId="29" fillId="0" borderId="16" xfId="93" applyNumberFormat="1" applyFont="1" applyFill="1" applyBorder="1" applyAlignment="1" applyProtection="1">
      <alignment horizontal="left" vertical="center"/>
      <protection/>
    </xf>
    <xf numFmtId="165" fontId="0" fillId="34" borderId="17" xfId="93" applyNumberFormat="1" applyFill="1" applyBorder="1" applyAlignment="1" applyProtection="1">
      <alignment vertical="center"/>
      <protection/>
    </xf>
    <xf numFmtId="165" fontId="0" fillId="0" borderId="0" xfId="93" applyNumberFormat="1" applyFill="1" applyBorder="1" applyAlignment="1" applyProtection="1">
      <alignment vertical="center"/>
      <protection locked="0"/>
    </xf>
    <xf numFmtId="165" fontId="30" fillId="0" borderId="0" xfId="93" applyNumberFormat="1" applyFont="1" applyFill="1" applyBorder="1" applyAlignment="1" applyProtection="1">
      <alignment vertical="center"/>
      <protection locked="0"/>
    </xf>
    <xf numFmtId="165" fontId="7" fillId="0" borderId="14" xfId="0" applyNumberFormat="1" applyFont="1" applyBorder="1" applyAlignment="1" applyProtection="1">
      <alignment horizontal="center"/>
      <protection locked="0"/>
    </xf>
    <xf numFmtId="165" fontId="0" fillId="0" borderId="0" xfId="93" applyNumberFormat="1" applyFill="1" applyBorder="1" applyAlignment="1" applyProtection="1">
      <alignment vertical="center"/>
      <protection/>
    </xf>
    <xf numFmtId="165" fontId="0" fillId="0" borderId="0" xfId="93" applyNumberFormat="1" applyFont="1" applyFill="1" applyBorder="1" applyAlignment="1" applyProtection="1">
      <alignment vertical="center"/>
      <protection/>
    </xf>
    <xf numFmtId="165" fontId="28" fillId="0" borderId="0" xfId="93" applyNumberFormat="1" applyFont="1" applyFill="1" applyBorder="1" applyAlignment="1" applyProtection="1">
      <alignment/>
      <protection/>
    </xf>
    <xf numFmtId="0" fontId="26" fillId="36" borderId="0" xfId="0" applyFont="1" applyFill="1" applyAlignment="1">
      <alignment/>
    </xf>
    <xf numFmtId="169" fontId="26" fillId="36" borderId="0" xfId="0" applyNumberFormat="1" applyFont="1" applyFill="1" applyAlignment="1">
      <alignment/>
    </xf>
    <xf numFmtId="170" fontId="26" fillId="36" borderId="0" xfId="0" applyNumberFormat="1" applyFont="1" applyFill="1" applyAlignment="1">
      <alignment/>
    </xf>
    <xf numFmtId="165" fontId="31" fillId="0" borderId="18" xfId="0" applyNumberFormat="1" applyFont="1" applyBorder="1" applyAlignment="1" applyProtection="1">
      <alignment horizontal="left"/>
      <protection/>
    </xf>
    <xf numFmtId="169" fontId="31" fillId="37" borderId="19" xfId="0" applyNumberFormat="1" applyFont="1" applyFill="1" applyBorder="1" applyAlignment="1" applyProtection="1">
      <alignment horizontal="center"/>
      <protection locked="0"/>
    </xf>
    <xf numFmtId="169" fontId="31" fillId="37" borderId="20" xfId="0" applyNumberFormat="1" applyFont="1" applyFill="1" applyBorder="1" applyAlignment="1" applyProtection="1">
      <alignment horizontal="center"/>
      <protection locked="0"/>
    </xf>
    <xf numFmtId="169" fontId="31" fillId="37" borderId="21" xfId="0" applyNumberFormat="1" applyFont="1" applyFill="1" applyBorder="1" applyAlignment="1" applyProtection="1">
      <alignment horizontal="center" wrapText="1"/>
      <protection locked="0"/>
    </xf>
    <xf numFmtId="168" fontId="22" fillId="0" borderId="22" xfId="0" applyNumberFormat="1" applyFont="1" applyBorder="1" applyAlignment="1" applyProtection="1">
      <alignment horizontal="left"/>
      <protection/>
    </xf>
    <xf numFmtId="171" fontId="22" fillId="34" borderId="23" xfId="0" applyNumberFormat="1" applyFont="1" applyFill="1" applyBorder="1" applyAlignment="1" applyProtection="1">
      <alignment/>
      <protection locked="0"/>
    </xf>
    <xf numFmtId="172" fontId="22" fillId="34" borderId="19" xfId="44" applyNumberFormat="1" applyFont="1" applyFill="1" applyBorder="1" applyAlignment="1" applyProtection="1">
      <alignment/>
      <protection locked="0"/>
    </xf>
    <xf numFmtId="172" fontId="22" fillId="0" borderId="14" xfId="44" applyNumberFormat="1" applyFont="1" applyFill="1" applyBorder="1" applyAlignment="1" applyProtection="1">
      <alignment/>
      <protection/>
    </xf>
    <xf numFmtId="173" fontId="22" fillId="34" borderId="19" xfId="0" applyNumberFormat="1" applyFont="1" applyFill="1" applyBorder="1" applyAlignment="1" applyProtection="1">
      <alignment/>
      <protection locked="0"/>
    </xf>
    <xf numFmtId="0" fontId="22" fillId="0" borderId="18" xfId="0" applyFont="1" applyBorder="1" applyAlignment="1" applyProtection="1">
      <alignment horizontal="left"/>
      <protection/>
    </xf>
    <xf numFmtId="172" fontId="22" fillId="34" borderId="23" xfId="44" applyNumberFormat="1" applyFont="1" applyFill="1" applyBorder="1" applyAlignment="1" applyProtection="1">
      <alignment/>
      <protection locked="0"/>
    </xf>
    <xf numFmtId="173" fontId="22" fillId="34" borderId="23" xfId="0" applyNumberFormat="1" applyFont="1" applyFill="1" applyBorder="1" applyAlignment="1" applyProtection="1">
      <alignment/>
      <protection locked="0"/>
    </xf>
    <xf numFmtId="168" fontId="22" fillId="0" borderId="24" xfId="0" applyNumberFormat="1" applyFont="1" applyBorder="1" applyAlignment="1" applyProtection="1">
      <alignment horizontal="left"/>
      <protection/>
    </xf>
    <xf numFmtId="171" fontId="22" fillId="0" borderId="14" xfId="0" applyNumberFormat="1" applyFont="1" applyFill="1" applyBorder="1" applyAlignment="1" applyProtection="1">
      <alignment/>
      <protection/>
    </xf>
    <xf numFmtId="173" fontId="22" fillId="0" borderId="14" xfId="0" applyNumberFormat="1" applyFont="1" applyFill="1" applyBorder="1" applyAlignment="1" applyProtection="1">
      <alignment/>
      <protection/>
    </xf>
    <xf numFmtId="174" fontId="32" fillId="36" borderId="0" xfId="0" applyNumberFormat="1" applyFont="1" applyFill="1" applyAlignment="1">
      <alignment/>
    </xf>
    <xf numFmtId="168" fontId="22" fillId="0" borderId="25" xfId="0" applyNumberFormat="1" applyFont="1" applyBorder="1" applyAlignment="1" applyProtection="1">
      <alignment horizontal="left"/>
      <protection/>
    </xf>
    <xf numFmtId="171" fontId="22" fillId="0" borderId="26" xfId="0" applyNumberFormat="1" applyFont="1" applyFill="1" applyBorder="1" applyAlignment="1" applyProtection="1">
      <alignment/>
      <protection/>
    </xf>
    <xf numFmtId="172" fontId="22" fillId="0" borderId="26" xfId="0" applyNumberFormat="1" applyFont="1" applyFill="1" applyBorder="1" applyAlignment="1" applyProtection="1">
      <alignment/>
      <protection/>
    </xf>
    <xf numFmtId="173" fontId="22" fillId="0" borderId="26" xfId="0" applyNumberFormat="1" applyFont="1" applyFill="1" applyBorder="1" applyAlignment="1" applyProtection="1">
      <alignment/>
      <protection/>
    </xf>
    <xf numFmtId="9" fontId="26" fillId="0" borderId="0" xfId="77" applyFont="1" applyFill="1" applyBorder="1" applyAlignment="1" applyProtection="1">
      <alignment/>
      <protection/>
    </xf>
    <xf numFmtId="173" fontId="0" fillId="0" borderId="0" xfId="0" applyNumberFormat="1" applyFill="1" applyAlignment="1" applyProtection="1">
      <alignment/>
      <protection/>
    </xf>
    <xf numFmtId="173" fontId="26" fillId="36" borderId="0" xfId="0" applyNumberFormat="1" applyFont="1" applyFill="1" applyAlignment="1" applyProtection="1">
      <alignment/>
      <protection/>
    </xf>
    <xf numFmtId="169" fontId="26" fillId="36" borderId="0" xfId="0" applyNumberFormat="1" applyFont="1" applyFill="1" applyAlignment="1" applyProtection="1">
      <alignment/>
      <protection/>
    </xf>
    <xf numFmtId="49" fontId="0" fillId="0" borderId="0" xfId="0" applyNumberFormat="1" applyAlignment="1" applyProtection="1">
      <alignment/>
      <protection/>
    </xf>
    <xf numFmtId="170" fontId="0" fillId="0" borderId="0" xfId="0" applyNumberFormat="1" applyAlignment="1" applyProtection="1">
      <alignment/>
      <protection/>
    </xf>
    <xf numFmtId="169" fontId="31" fillId="0" borderId="0" xfId="0" applyNumberFormat="1" applyFont="1" applyFill="1" applyBorder="1" applyAlignment="1">
      <alignment horizontal="center"/>
    </xf>
    <xf numFmtId="165" fontId="22" fillId="0" borderId="0" xfId="0" applyNumberFormat="1" applyFont="1" applyFill="1" applyBorder="1" applyAlignment="1">
      <alignment/>
    </xf>
    <xf numFmtId="165" fontId="33" fillId="0" borderId="27" xfId="0" applyNumberFormat="1" applyFont="1" applyFill="1" applyBorder="1" applyAlignment="1" applyProtection="1">
      <alignment vertical="center" wrapText="1"/>
      <protection/>
    </xf>
    <xf numFmtId="0" fontId="33" fillId="0" borderId="28" xfId="0" applyNumberFormat="1" applyFont="1" applyFill="1" applyBorder="1" applyAlignment="1" applyProtection="1">
      <alignment horizontal="center" vertical="center" wrapText="1"/>
      <protection/>
    </xf>
    <xf numFmtId="0" fontId="33" fillId="0" borderId="29"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protection/>
    </xf>
    <xf numFmtId="0" fontId="34"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protection/>
    </xf>
    <xf numFmtId="0" fontId="35" fillId="0" borderId="0" xfId="0" applyFont="1" applyFill="1" applyBorder="1" applyAlignment="1">
      <alignment horizontal="center"/>
    </xf>
    <xf numFmtId="165" fontId="35" fillId="0" borderId="30" xfId="0" applyNumberFormat="1" applyFont="1" applyFill="1" applyBorder="1" applyAlignment="1" applyProtection="1">
      <alignment wrapText="1"/>
      <protection locked="0"/>
    </xf>
    <xf numFmtId="175" fontId="0" fillId="34" borderId="14" xfId="44" applyNumberFormat="1" applyFill="1" applyBorder="1" applyAlignment="1" applyProtection="1">
      <alignment/>
      <protection locked="0"/>
    </xf>
    <xf numFmtId="168" fontId="25" fillId="0" borderId="0" xfId="0" applyNumberFormat="1" applyFont="1" applyFill="1" applyBorder="1" applyAlignment="1" applyProtection="1">
      <alignment horizontal="center"/>
      <protection/>
    </xf>
    <xf numFmtId="176" fontId="0" fillId="0" borderId="0" xfId="0" applyNumberFormat="1" applyFill="1" applyBorder="1" applyAlignment="1" applyProtection="1">
      <alignment/>
      <protection locked="0"/>
    </xf>
    <xf numFmtId="176"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65" fontId="35" fillId="0" borderId="30"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73" fontId="0" fillId="0" borderId="0" xfId="0" applyNumberFormat="1" applyFill="1" applyBorder="1" applyAlignment="1" applyProtection="1">
      <alignment/>
      <protection locked="0"/>
    </xf>
    <xf numFmtId="49" fontId="35" fillId="0" borderId="30" xfId="0" applyNumberFormat="1" applyFont="1" applyFill="1" applyBorder="1" applyAlignment="1" applyProtection="1">
      <alignment/>
      <protection locked="0"/>
    </xf>
    <xf numFmtId="0" fontId="35" fillId="0" borderId="30" xfId="0" applyFont="1" applyFill="1" applyBorder="1" applyAlignment="1" applyProtection="1">
      <alignment wrapText="1"/>
      <protection locked="0"/>
    </xf>
    <xf numFmtId="165" fontId="0" fillId="0" borderId="31" xfId="0" applyNumberFormat="1" applyFont="1" applyBorder="1" applyAlignment="1" applyProtection="1">
      <alignment/>
      <protection/>
    </xf>
    <xf numFmtId="177" fontId="0" fillId="0" borderId="32" xfId="0" applyNumberFormat="1" applyBorder="1" applyAlignment="1" applyProtection="1">
      <alignment/>
      <protection/>
    </xf>
    <xf numFmtId="173" fontId="0" fillId="0" borderId="0" xfId="0" applyNumberFormat="1" applyAlignment="1" applyProtection="1">
      <alignment/>
      <protection/>
    </xf>
    <xf numFmtId="173" fontId="34" fillId="0" borderId="0" xfId="0" applyNumberFormat="1" applyFont="1" applyAlignment="1" applyProtection="1">
      <alignment horizontal="right"/>
      <protection/>
    </xf>
    <xf numFmtId="0" fontId="33" fillId="0" borderId="33" xfId="0" applyFont="1" applyBorder="1" applyAlignment="1" applyProtection="1">
      <alignment vertical="distributed" wrapText="1"/>
      <protection/>
    </xf>
    <xf numFmtId="165" fontId="36" fillId="0" borderId="34" xfId="0" applyNumberFormat="1" applyFont="1" applyFill="1" applyBorder="1" applyAlignment="1" applyProtection="1">
      <alignment horizontal="center" vertical="center" wrapText="1"/>
      <protection/>
    </xf>
    <xf numFmtId="168" fontId="36" fillId="0" borderId="35" xfId="0" applyNumberFormat="1"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protection/>
    </xf>
    <xf numFmtId="168" fontId="38" fillId="0" borderId="0" xfId="0" applyNumberFormat="1" applyFont="1" applyFill="1" applyBorder="1" applyAlignment="1" applyProtection="1">
      <alignment horizontal="center" vertical="center" wrapText="1"/>
      <protection/>
    </xf>
    <xf numFmtId="168" fontId="38" fillId="0" borderId="0" xfId="0" applyNumberFormat="1" applyFont="1" applyFill="1" applyBorder="1" applyAlignment="1" applyProtection="1">
      <alignment horizontal="center" vertical="center" wrapText="1"/>
      <protection locked="0"/>
    </xf>
    <xf numFmtId="165" fontId="34" fillId="0" borderId="36" xfId="0" applyNumberFormat="1" applyFont="1" applyBorder="1" applyAlignment="1" applyProtection="1">
      <alignment/>
      <protection/>
    </xf>
    <xf numFmtId="175" fontId="0" fillId="0" borderId="37" xfId="44" applyNumberFormat="1" applyFill="1" applyBorder="1" applyAlignment="1" applyProtection="1">
      <alignment/>
      <protection/>
    </xf>
    <xf numFmtId="0" fontId="34" fillId="0" borderId="0" xfId="0" applyFont="1" applyFill="1" applyBorder="1" applyAlignment="1" applyProtection="1">
      <alignment horizontal="center"/>
      <protection/>
    </xf>
    <xf numFmtId="0" fontId="34" fillId="0" borderId="0" xfId="0" applyFont="1" applyFill="1" applyBorder="1" applyAlignment="1" applyProtection="1">
      <alignment/>
      <protection locked="0"/>
    </xf>
    <xf numFmtId="170" fontId="26" fillId="0" borderId="0" xfId="0" applyNumberFormat="1" applyFont="1" applyFill="1" applyBorder="1" applyAlignment="1" applyProtection="1">
      <alignment/>
      <protection/>
    </xf>
    <xf numFmtId="170" fontId="34" fillId="0" borderId="0" xfId="42" applyNumberFormat="1" applyFont="1" applyFill="1" applyBorder="1" applyAlignment="1" applyProtection="1">
      <alignment/>
      <protection locked="0"/>
    </xf>
    <xf numFmtId="178" fontId="34" fillId="0" borderId="0" xfId="77" applyNumberFormat="1" applyFont="1" applyFill="1" applyBorder="1" applyAlignment="1" applyProtection="1">
      <alignment horizontal="center"/>
      <protection/>
    </xf>
    <xf numFmtId="168" fontId="34" fillId="0" borderId="0" xfId="0" applyNumberFormat="1" applyFont="1" applyFill="1" applyBorder="1" applyAlignment="1" applyProtection="1">
      <alignment horizontal="center"/>
      <protection/>
    </xf>
    <xf numFmtId="178" fontId="34" fillId="0" borderId="0" xfId="77" applyNumberFormat="1" applyFont="1" applyFill="1" applyBorder="1" applyAlignment="1" applyProtection="1">
      <alignment horizontal="center"/>
      <protection locked="0"/>
    </xf>
    <xf numFmtId="165" fontId="34" fillId="0" borderId="38" xfId="0" applyNumberFormat="1" applyFont="1" applyBorder="1" applyAlignment="1" applyProtection="1">
      <alignment/>
      <protection/>
    </xf>
    <xf numFmtId="175" fontId="0" fillId="34" borderId="39" xfId="44" applyNumberFormat="1" applyFill="1" applyBorder="1" applyAlignment="1" applyProtection="1">
      <alignment/>
      <protection locked="0"/>
    </xf>
    <xf numFmtId="0" fontId="39" fillId="0" borderId="0" xfId="0" applyFont="1" applyFill="1" applyBorder="1" applyAlignment="1" applyProtection="1">
      <alignment horizontal="left"/>
      <protection locked="0"/>
    </xf>
    <xf numFmtId="0" fontId="34" fillId="0" borderId="0" xfId="0" applyFont="1" applyFill="1" applyBorder="1" applyAlignment="1" applyProtection="1">
      <alignment/>
      <protection/>
    </xf>
    <xf numFmtId="168" fontId="35" fillId="0" borderId="40" xfId="0" applyNumberFormat="1" applyFont="1" applyFill="1" applyBorder="1" applyAlignment="1" applyProtection="1">
      <alignment/>
      <protection/>
    </xf>
    <xf numFmtId="165" fontId="35" fillId="0" borderId="14" xfId="0" applyNumberFormat="1" applyFont="1" applyFill="1" applyBorder="1" applyAlignment="1" applyProtection="1">
      <alignment horizontal="center"/>
      <protection/>
    </xf>
    <xf numFmtId="165" fontId="35" fillId="0" borderId="41" xfId="0" applyNumberFormat="1" applyFont="1" applyFill="1" applyBorder="1" applyAlignment="1" applyProtection="1">
      <alignment horizontal="center"/>
      <protection/>
    </xf>
    <xf numFmtId="165" fontId="35" fillId="0" borderId="40" xfId="0" applyNumberFormat="1" applyFont="1" applyFill="1" applyBorder="1" applyAlignment="1" applyProtection="1">
      <alignment/>
      <protection/>
    </xf>
    <xf numFmtId="1" fontId="0" fillId="34" borderId="14" xfId="0" applyNumberFormat="1" applyFill="1" applyBorder="1" applyAlignment="1" applyProtection="1">
      <alignment horizontal="center"/>
      <protection locked="0"/>
    </xf>
    <xf numFmtId="1" fontId="0" fillId="34" borderId="41" xfId="0" applyNumberFormat="1" applyFill="1" applyBorder="1" applyAlignment="1" applyProtection="1">
      <alignment horizontal="center"/>
      <protection locked="0"/>
    </xf>
    <xf numFmtId="165" fontId="35" fillId="0" borderId="42" xfId="0" applyNumberFormat="1" applyFont="1" applyFill="1" applyBorder="1" applyAlignment="1" applyProtection="1">
      <alignment/>
      <protection/>
    </xf>
    <xf numFmtId="165" fontId="35" fillId="0" borderId="43" xfId="0" applyNumberFormat="1" applyFont="1" applyFill="1" applyBorder="1" applyAlignment="1" applyProtection="1">
      <alignment wrapText="1"/>
      <protection/>
    </xf>
    <xf numFmtId="1" fontId="0" fillId="34" borderId="26" xfId="0" applyNumberFormat="1" applyFill="1" applyBorder="1" applyAlignment="1" applyProtection="1">
      <alignment horizontal="center"/>
      <protection locked="0"/>
    </xf>
    <xf numFmtId="1" fontId="0" fillId="34" borderId="44" xfId="0" applyNumberFormat="1" applyFill="1" applyBorder="1" applyAlignment="1" applyProtection="1">
      <alignment horizontal="center"/>
      <protection locked="0"/>
    </xf>
    <xf numFmtId="0" fontId="0" fillId="0" borderId="45" xfId="0" applyBorder="1" applyAlignment="1" applyProtection="1">
      <alignment/>
      <protection/>
    </xf>
    <xf numFmtId="165" fontId="40" fillId="0" borderId="45" xfId="93" applyNumberFormat="1" applyFont="1" applyFill="1" applyBorder="1" applyAlignment="1" applyProtection="1">
      <alignment/>
      <protection/>
    </xf>
    <xf numFmtId="165" fontId="30" fillId="0" borderId="45" xfId="93" applyNumberFormat="1" applyFont="1" applyFill="1" applyBorder="1" applyAlignment="1" applyProtection="1">
      <alignment vertical="center"/>
      <protection/>
    </xf>
    <xf numFmtId="165" fontId="41" fillId="0" borderId="45" xfId="93" applyNumberFormat="1" applyFont="1" applyFill="1" applyBorder="1" applyAlignment="1" applyProtection="1">
      <alignment vertical="center"/>
      <protection/>
    </xf>
    <xf numFmtId="165" fontId="30" fillId="0" borderId="45" xfId="93" applyNumberFormat="1" applyFont="1" applyFill="1" applyBorder="1" applyAlignment="1" applyProtection="1">
      <alignment horizontal="center" vertical="center"/>
      <protection/>
    </xf>
    <xf numFmtId="165" fontId="30" fillId="35" borderId="46" xfId="93" applyNumberFormat="1" applyFont="1" applyFill="1" applyBorder="1" applyAlignment="1" applyProtection="1">
      <alignment horizontal="center" vertical="center"/>
      <protection/>
    </xf>
    <xf numFmtId="165" fontId="30" fillId="0" borderId="47" xfId="93" applyNumberFormat="1" applyFont="1" applyFill="1" applyBorder="1" applyAlignment="1" applyProtection="1">
      <alignment vertical="center"/>
      <protection/>
    </xf>
    <xf numFmtId="165" fontId="30" fillId="0" borderId="0" xfId="93" applyNumberFormat="1" applyFont="1" applyFill="1" applyBorder="1" applyAlignment="1" applyProtection="1">
      <alignment horizontal="center" vertical="center"/>
      <protection locked="0"/>
    </xf>
    <xf numFmtId="165" fontId="40" fillId="0" borderId="0" xfId="93" applyNumberFormat="1" applyFont="1" applyFill="1" applyBorder="1" applyAlignment="1" applyProtection="1">
      <alignment/>
      <protection/>
    </xf>
    <xf numFmtId="165" fontId="30" fillId="0" borderId="0" xfId="93" applyNumberFormat="1" applyFont="1" applyFill="1" applyBorder="1" applyAlignment="1" applyProtection="1">
      <alignment vertical="center"/>
      <protection/>
    </xf>
    <xf numFmtId="165" fontId="42" fillId="0" borderId="0" xfId="93" applyNumberFormat="1" applyFont="1" applyFill="1" applyBorder="1" applyAlignment="1" applyProtection="1">
      <alignment vertical="center"/>
      <protection/>
    </xf>
    <xf numFmtId="165" fontId="43" fillId="0" borderId="0" xfId="93" applyNumberFormat="1" applyFont="1" applyFill="1" applyBorder="1" applyAlignment="1" applyProtection="1">
      <alignment/>
      <protection/>
    </xf>
    <xf numFmtId="165" fontId="32" fillId="0" borderId="0" xfId="93" applyNumberFormat="1" applyFont="1" applyFill="1" applyBorder="1" applyAlignment="1" applyProtection="1">
      <alignment vertic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165" fontId="19" fillId="0" borderId="48" xfId="0" applyNumberFormat="1" applyFont="1" applyBorder="1" applyAlignment="1" applyProtection="1">
      <alignment horizontal="center"/>
      <protection/>
    </xf>
    <xf numFmtId="165" fontId="19" fillId="0" borderId="48" xfId="0" applyNumberFormat="1" applyFont="1" applyBorder="1" applyAlignment="1" applyProtection="1">
      <alignment horizontal="center" wrapText="1"/>
      <protection/>
    </xf>
    <xf numFmtId="165" fontId="19" fillId="0" borderId="49"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30" fillId="0" borderId="0" xfId="0" applyFont="1" applyFill="1" applyBorder="1" applyAlignment="1" applyProtection="1">
      <alignment horizontal="center" vertical="center"/>
      <protection/>
    </xf>
    <xf numFmtId="165" fontId="0" fillId="0" borderId="50" xfId="0" applyNumberFormat="1" applyFont="1" applyBorder="1" applyAlignment="1" applyProtection="1">
      <alignment horizontal="left"/>
      <protection/>
    </xf>
    <xf numFmtId="1" fontId="32" fillId="35" borderId="14" xfId="0" applyNumberFormat="1" applyFont="1" applyFill="1" applyBorder="1" applyAlignment="1" applyProtection="1">
      <alignment horizontal="center"/>
      <protection locked="0"/>
    </xf>
    <xf numFmtId="1" fontId="32" fillId="36" borderId="51"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65" fontId="0" fillId="0" borderId="52" xfId="0" applyNumberFormat="1" applyFont="1" applyBorder="1" applyAlignment="1" applyProtection="1">
      <alignment horizontal="left"/>
      <protection/>
    </xf>
    <xf numFmtId="1" fontId="32" fillId="35" borderId="53" xfId="0" applyNumberFormat="1" applyFont="1" applyFill="1" applyBorder="1" applyAlignment="1" applyProtection="1">
      <alignment horizontal="center"/>
      <protection locked="0"/>
    </xf>
    <xf numFmtId="1" fontId="32" fillId="36" borderId="54" xfId="0" applyNumberFormat="1" applyFont="1" applyFill="1" applyBorder="1" applyAlignment="1" applyProtection="1">
      <alignment horizontal="center"/>
      <protection/>
    </xf>
    <xf numFmtId="0" fontId="32" fillId="0" borderId="0" xfId="0" applyFont="1" applyBorder="1" applyAlignment="1" applyProtection="1">
      <alignment/>
      <protection/>
    </xf>
    <xf numFmtId="0" fontId="0" fillId="0" borderId="55" xfId="0" applyBorder="1" applyAlignment="1" applyProtection="1">
      <alignment/>
      <protection/>
    </xf>
    <xf numFmtId="165" fontId="0" fillId="0" borderId="48" xfId="0" applyNumberFormat="1" applyFont="1" applyBorder="1" applyAlignment="1" applyProtection="1">
      <alignment horizontal="center"/>
      <protection/>
    </xf>
    <xf numFmtId="165" fontId="0" fillId="0" borderId="49" xfId="0" applyNumberFormat="1" applyFont="1" applyBorder="1" applyAlignment="1" applyProtection="1">
      <alignment horizontal="center"/>
      <protection/>
    </xf>
    <xf numFmtId="0" fontId="0" fillId="35" borderId="53" xfId="0" applyNumberFormat="1" applyFill="1" applyBorder="1" applyAlignment="1" applyProtection="1">
      <alignment horizontal="center"/>
      <protection locked="0"/>
    </xf>
    <xf numFmtId="0" fontId="0" fillId="0" borderId="54" xfId="0" applyNumberFormat="1" applyFill="1" applyBorder="1" applyAlignment="1" applyProtection="1">
      <alignment horizontal="center"/>
      <protection/>
    </xf>
    <xf numFmtId="0" fontId="25" fillId="0" borderId="0" xfId="0" applyFont="1" applyFill="1" applyBorder="1" applyAlignment="1" applyProtection="1">
      <alignment horizontal="right"/>
      <protection/>
    </xf>
    <xf numFmtId="168" fontId="0" fillId="0" borderId="0" xfId="0" applyNumberFormat="1" applyFont="1" applyFill="1" applyBorder="1" applyAlignment="1" applyProtection="1">
      <alignment horizontal="left"/>
      <protection/>
    </xf>
    <xf numFmtId="165" fontId="0" fillId="0" borderId="49" xfId="0" applyNumberFormat="1" applyFont="1" applyBorder="1" applyAlignment="1" applyProtection="1">
      <alignment horizontal="center" wrapText="1"/>
      <protection/>
    </xf>
    <xf numFmtId="0" fontId="44" fillId="0" borderId="0" xfId="0" applyFont="1" applyFill="1" applyBorder="1" applyAlignment="1" applyProtection="1">
      <alignment horizontal="center" wrapText="1"/>
      <protection/>
    </xf>
    <xf numFmtId="0" fontId="0" fillId="35" borderId="54" xfId="0" applyNumberFormat="1" applyFont="1" applyFill="1" applyBorder="1" applyAlignment="1" applyProtection="1">
      <alignment horizontal="center"/>
      <protection locked="0"/>
    </xf>
    <xf numFmtId="168" fontId="0" fillId="0" borderId="0" xfId="0" applyNumberFormat="1" applyFill="1" applyBorder="1" applyAlignment="1" applyProtection="1">
      <alignment horizontal="center"/>
      <protection locked="0"/>
    </xf>
    <xf numFmtId="165" fontId="31" fillId="0" borderId="48" xfId="0" applyNumberFormat="1" applyFont="1" applyBorder="1" applyAlignment="1" applyProtection="1">
      <alignment horizontal="center"/>
      <protection/>
    </xf>
    <xf numFmtId="165" fontId="31" fillId="0" borderId="49" xfId="0" applyNumberFormat="1" applyFont="1" applyBorder="1" applyAlignment="1" applyProtection="1">
      <alignment horizontal="center"/>
      <protection/>
    </xf>
    <xf numFmtId="1" fontId="0" fillId="35" borderId="14" xfId="0" applyNumberFormat="1" applyFont="1" applyFill="1" applyBorder="1" applyAlignment="1" applyProtection="1">
      <alignment horizontal="center"/>
      <protection locked="0"/>
    </xf>
    <xf numFmtId="1" fontId="0" fillId="0" borderId="51" xfId="0" applyNumberFormat="1" applyFont="1" applyFill="1" applyBorder="1" applyAlignment="1" applyProtection="1">
      <alignment horizontal="center"/>
      <protection/>
    </xf>
    <xf numFmtId="1" fontId="0" fillId="35" borderId="53" xfId="0" applyNumberFormat="1" applyFont="1" applyFill="1" applyBorder="1" applyAlignment="1" applyProtection="1">
      <alignment horizontal="center"/>
      <protection locked="0"/>
    </xf>
    <xf numFmtId="0" fontId="0" fillId="0" borderId="56" xfId="0" applyBorder="1" applyAlignment="1" applyProtection="1">
      <alignment/>
      <protection/>
    </xf>
    <xf numFmtId="169" fontId="31" fillId="37" borderId="57" xfId="0" applyNumberFormat="1" applyFont="1" applyFill="1" applyBorder="1" applyAlignment="1" applyProtection="1">
      <alignment horizontal="center"/>
      <protection locked="0"/>
    </xf>
    <xf numFmtId="169" fontId="31" fillId="37" borderId="58" xfId="0" applyNumberFormat="1" applyFont="1" applyFill="1" applyBorder="1" applyAlignment="1" applyProtection="1">
      <alignment horizontal="center"/>
      <protection locked="0"/>
    </xf>
    <xf numFmtId="169" fontId="0" fillId="0" borderId="59" xfId="0" applyNumberFormat="1" applyFont="1" applyFill="1" applyBorder="1" applyAlignment="1" applyProtection="1">
      <alignment horizontal="left"/>
      <protection/>
    </xf>
    <xf numFmtId="179" fontId="0" fillId="35" borderId="14" xfId="44" applyNumberFormat="1" applyFont="1" applyFill="1" applyBorder="1" applyAlignment="1" applyProtection="1">
      <alignment horizontal="right" wrapText="1"/>
      <protection locked="0"/>
    </xf>
    <xf numFmtId="173" fontId="0" fillId="35" borderId="14" xfId="0" applyNumberFormat="1" applyFill="1" applyBorder="1" applyAlignment="1" applyProtection="1">
      <alignment horizontal="right" wrapText="1"/>
      <protection locked="0"/>
    </xf>
    <xf numFmtId="169" fontId="0" fillId="0" borderId="60" xfId="0" applyNumberFormat="1" applyFont="1" applyBorder="1" applyAlignment="1" applyProtection="1">
      <alignment horizontal="left"/>
      <protection/>
    </xf>
    <xf numFmtId="179" fontId="0" fillId="36" borderId="14" xfId="44" applyNumberFormat="1" applyFont="1" applyFill="1" applyBorder="1" applyAlignment="1" applyProtection="1">
      <alignment horizontal="right" wrapText="1"/>
      <protection locked="0"/>
    </xf>
    <xf numFmtId="179" fontId="0" fillId="0" borderId="14" xfId="0" applyNumberFormat="1" applyBorder="1" applyAlignment="1" applyProtection="1">
      <alignment horizontal="right" wrapText="1"/>
      <protection/>
    </xf>
    <xf numFmtId="179" fontId="0" fillId="0" borderId="14" xfId="44" applyNumberFormat="1" applyFont="1" applyFill="1" applyBorder="1" applyAlignment="1" applyProtection="1">
      <alignment horizontal="right" wrapText="1"/>
      <protection/>
    </xf>
    <xf numFmtId="173" fontId="0" fillId="0" borderId="14" xfId="0" applyNumberFormat="1" applyBorder="1" applyAlignment="1" applyProtection="1">
      <alignment horizontal="right" wrapText="1"/>
      <protection/>
    </xf>
    <xf numFmtId="169" fontId="0" fillId="0" borderId="42" xfId="0" applyNumberFormat="1" applyFont="1" applyBorder="1" applyAlignment="1" applyProtection="1">
      <alignment horizontal="left" wrapText="1"/>
      <protection/>
    </xf>
    <xf numFmtId="0" fontId="0" fillId="0" borderId="0" xfId="0" applyFill="1" applyBorder="1" applyAlignment="1" applyProtection="1">
      <alignment horizontal="center" wrapText="1"/>
      <protection/>
    </xf>
    <xf numFmtId="165" fontId="0" fillId="0" borderId="0" xfId="42" applyFont="1" applyFill="1" applyBorder="1" applyAlignment="1" applyProtection="1">
      <alignment/>
      <protection/>
    </xf>
    <xf numFmtId="165" fontId="0" fillId="0" borderId="0" xfId="0" applyNumberFormat="1" applyFill="1" applyBorder="1" applyAlignment="1" applyProtection="1">
      <alignment/>
      <protection/>
    </xf>
    <xf numFmtId="169" fontId="0" fillId="0" borderId="0" xfId="0" applyNumberFormat="1" applyFont="1" applyBorder="1" applyAlignment="1" applyProtection="1">
      <alignment/>
      <protection/>
    </xf>
    <xf numFmtId="0" fontId="32" fillId="0" borderId="0" xfId="0" applyFont="1" applyAlignment="1" applyProtection="1">
      <alignment/>
      <protection/>
    </xf>
    <xf numFmtId="165" fontId="0" fillId="0" borderId="56" xfId="0" applyNumberFormat="1" applyFont="1" applyFill="1" applyBorder="1" applyAlignment="1" applyProtection="1">
      <alignment horizontal="left"/>
      <protection/>
    </xf>
    <xf numFmtId="165" fontId="0" fillId="0" borderId="61" xfId="0" applyNumberFormat="1" applyFont="1" applyFill="1" applyBorder="1" applyAlignment="1" applyProtection="1">
      <alignment horizontal="center" wrapText="1"/>
      <protection/>
    </xf>
    <xf numFmtId="165" fontId="22" fillId="0" borderId="61" xfId="0" applyNumberFormat="1" applyFont="1" applyBorder="1" applyAlignment="1">
      <alignment horizontal="center" wrapText="1"/>
    </xf>
    <xf numFmtId="165" fontId="0" fillId="0" borderId="61" xfId="0" applyNumberFormat="1" applyFont="1" applyBorder="1" applyAlignment="1">
      <alignment horizontal="center" wrapText="1"/>
    </xf>
    <xf numFmtId="165" fontId="0" fillId="0" borderId="62" xfId="0" applyNumberFormat="1" applyFont="1" applyFill="1" applyBorder="1" applyAlignment="1" applyProtection="1">
      <alignment horizontal="center" wrapText="1"/>
      <protection/>
    </xf>
    <xf numFmtId="165" fontId="0" fillId="0" borderId="63" xfId="0" applyNumberFormat="1" applyFont="1" applyFill="1" applyBorder="1" applyAlignment="1" applyProtection="1">
      <alignment horizontal="center" vertical="center"/>
      <protection locked="0"/>
    </xf>
    <xf numFmtId="165" fontId="0" fillId="35" borderId="64" xfId="0" applyNumberFormat="1" applyFont="1" applyFill="1" applyBorder="1" applyAlignment="1" applyProtection="1">
      <alignment wrapText="1"/>
      <protection locked="0"/>
    </xf>
    <xf numFmtId="0" fontId="45" fillId="35" borderId="65" xfId="0" applyNumberFormat="1" applyFont="1" applyFill="1" applyBorder="1" applyAlignment="1" applyProtection="1">
      <alignment horizontal="center" vertical="center"/>
      <protection locked="0"/>
    </xf>
    <xf numFmtId="0" fontId="45" fillId="0" borderId="66" xfId="0" applyNumberFormat="1" applyFont="1" applyFill="1" applyBorder="1" applyAlignment="1" applyProtection="1">
      <alignment horizontal="center" vertical="center"/>
      <protection/>
    </xf>
    <xf numFmtId="180" fontId="45" fillId="35" borderId="66" xfId="0" applyNumberFormat="1" applyFont="1" applyFill="1" applyBorder="1" applyAlignment="1" applyProtection="1">
      <alignment horizontal="center" vertical="center"/>
      <protection locked="0"/>
    </xf>
    <xf numFmtId="180" fontId="45" fillId="0" borderId="66" xfId="0" applyNumberFormat="1" applyFont="1" applyFill="1" applyBorder="1" applyAlignment="1" applyProtection="1">
      <alignment horizontal="center" vertical="center"/>
      <protection/>
    </xf>
    <xf numFmtId="181" fontId="45" fillId="0" borderId="66" xfId="0" applyNumberFormat="1" applyFont="1" applyFill="1" applyBorder="1" applyAlignment="1" applyProtection="1">
      <alignment horizontal="center" vertical="center"/>
      <protection/>
    </xf>
    <xf numFmtId="0" fontId="45" fillId="35" borderId="66" xfId="0" applyNumberFormat="1" applyFont="1" applyFill="1" applyBorder="1" applyAlignment="1" applyProtection="1">
      <alignment horizontal="center" vertical="center"/>
      <protection locked="0"/>
    </xf>
    <xf numFmtId="181" fontId="45" fillId="0" borderId="67" xfId="0" applyNumberFormat="1" applyFont="1" applyFill="1" applyBorder="1" applyAlignment="1" applyProtection="1">
      <alignment horizontal="center" vertical="center"/>
      <protection/>
    </xf>
    <xf numFmtId="165" fontId="46" fillId="0" borderId="68" xfId="93" applyNumberFormat="1" applyFont="1" applyFill="1" applyBorder="1" applyAlignment="1" applyProtection="1">
      <alignment/>
      <protection/>
    </xf>
    <xf numFmtId="165" fontId="47" fillId="0" borderId="68" xfId="93" applyNumberFormat="1" applyFont="1" applyFill="1" applyBorder="1" applyAlignment="1" applyProtection="1">
      <alignment/>
      <protection/>
    </xf>
    <xf numFmtId="165" fontId="30" fillId="0" borderId="68" xfId="93" applyNumberFormat="1" applyFont="1" applyFill="1" applyBorder="1" applyAlignment="1" applyProtection="1">
      <alignment vertical="center"/>
      <protection/>
    </xf>
    <xf numFmtId="165" fontId="48" fillId="0" borderId="68" xfId="93" applyNumberFormat="1" applyFont="1" applyFill="1" applyBorder="1" applyAlignment="1" applyProtection="1">
      <alignment vertical="center"/>
      <protection/>
    </xf>
    <xf numFmtId="165" fontId="49" fillId="0" borderId="68" xfId="93" applyNumberFormat="1" applyFont="1" applyFill="1" applyBorder="1" applyAlignment="1" applyProtection="1">
      <alignment vertical="center"/>
      <protection/>
    </xf>
    <xf numFmtId="0" fontId="0" fillId="0" borderId="68" xfId="0" applyFill="1" applyBorder="1" applyAlignment="1" applyProtection="1">
      <alignment/>
      <protection/>
    </xf>
    <xf numFmtId="165" fontId="47" fillId="0" borderId="68" xfId="93" applyNumberFormat="1" applyFont="1" applyFill="1" applyBorder="1" applyAlignment="1" applyProtection="1">
      <alignment vertical="center"/>
      <protection/>
    </xf>
    <xf numFmtId="0" fontId="0" fillId="0" borderId="68" xfId="0" applyBorder="1" applyAlignment="1" applyProtection="1">
      <alignment/>
      <protection/>
    </xf>
    <xf numFmtId="0" fontId="0" fillId="0" borderId="68" xfId="0" applyBorder="1" applyAlignment="1">
      <alignment/>
    </xf>
    <xf numFmtId="0" fontId="0" fillId="33" borderId="69" xfId="0" applyFill="1" applyBorder="1" applyAlignment="1">
      <alignment/>
    </xf>
    <xf numFmtId="165" fontId="50" fillId="0" borderId="70" xfId="0" applyNumberFormat="1" applyFont="1" applyFill="1" applyBorder="1" applyAlignment="1" applyProtection="1">
      <alignment horizontal="center" vertical="center"/>
      <protection/>
    </xf>
    <xf numFmtId="165" fontId="50" fillId="0" borderId="71" xfId="0" applyNumberFormat="1" applyFont="1" applyFill="1" applyBorder="1" applyAlignment="1" applyProtection="1">
      <alignment horizontal="center" vertical="center" wrapText="1"/>
      <protection/>
    </xf>
    <xf numFmtId="0" fontId="1" fillId="0" borderId="72" xfId="0" applyFont="1" applyFill="1" applyBorder="1" applyAlignment="1" applyProtection="1">
      <alignment horizontal="center"/>
      <protection/>
    </xf>
    <xf numFmtId="169" fontId="19" fillId="37" borderId="73" xfId="0" applyNumberFormat="1" applyFont="1" applyFill="1" applyBorder="1" applyAlignment="1" applyProtection="1">
      <alignment horizontal="center"/>
      <protection locked="0"/>
    </xf>
    <xf numFmtId="169" fontId="19" fillId="37" borderId="74" xfId="0" applyNumberFormat="1" applyFont="1" applyFill="1" applyBorder="1" applyAlignment="1" applyProtection="1">
      <alignment horizontal="center"/>
      <protection locked="0"/>
    </xf>
    <xf numFmtId="165" fontId="50" fillId="0" borderId="75" xfId="0" applyNumberFormat="1" applyFont="1" applyFill="1" applyBorder="1" applyAlignment="1" applyProtection="1">
      <alignment horizontal="center" vertical="center"/>
      <protection/>
    </xf>
    <xf numFmtId="0" fontId="50" fillId="0" borderId="76" xfId="0" applyFont="1" applyFill="1" applyBorder="1" applyAlignment="1" applyProtection="1">
      <alignment horizontal="center" vertical="center"/>
      <protection/>
    </xf>
    <xf numFmtId="165" fontId="50" fillId="0" borderId="77" xfId="0" applyNumberFormat="1" applyFont="1" applyFill="1" applyBorder="1" applyAlignment="1" applyProtection="1">
      <alignment horizontal="center" vertical="center"/>
      <protection/>
    </xf>
    <xf numFmtId="165" fontId="50" fillId="0" borderId="78" xfId="0" applyNumberFormat="1" applyFont="1" applyFill="1" applyBorder="1" applyAlignment="1" applyProtection="1">
      <alignment horizontal="center" vertical="center" wrapText="1"/>
      <protection/>
    </xf>
    <xf numFmtId="0" fontId="1" fillId="0" borderId="79" xfId="0" applyFont="1" applyFill="1" applyBorder="1" applyAlignment="1" applyProtection="1">
      <alignment horizontal="center"/>
      <protection/>
    </xf>
    <xf numFmtId="169" fontId="19" fillId="37" borderId="76" xfId="0" applyNumberFormat="1" applyFont="1" applyFill="1" applyBorder="1" applyAlignment="1" applyProtection="1">
      <alignment horizontal="center"/>
      <protection locked="0"/>
    </xf>
    <xf numFmtId="169" fontId="19" fillId="37" borderId="80"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left"/>
      <protection/>
    </xf>
    <xf numFmtId="0" fontId="45" fillId="38" borderId="14" xfId="0" applyNumberFormat="1" applyFont="1" applyFill="1" applyBorder="1" applyAlignment="1" applyProtection="1">
      <alignment horizontal="center" vertical="center"/>
      <protection locked="0"/>
    </xf>
    <xf numFmtId="0" fontId="45" fillId="33" borderId="14" xfId="77" applyNumberFormat="1" applyFont="1" applyFill="1" applyBorder="1" applyAlignment="1" applyProtection="1">
      <alignment horizontal="center" vertical="center"/>
      <protection locked="0"/>
    </xf>
    <xf numFmtId="180" fontId="45" fillId="33" borderId="64" xfId="0" applyNumberFormat="1" applyFont="1" applyFill="1" applyBorder="1" applyAlignment="1" applyProtection="1">
      <alignment horizontal="center" vertical="center"/>
      <protection locked="0"/>
    </xf>
    <xf numFmtId="180" fontId="45" fillId="33" borderId="14" xfId="0" applyNumberFormat="1" applyFont="1" applyFill="1" applyBorder="1" applyAlignment="1" applyProtection="1">
      <alignment horizontal="center" vertical="center"/>
      <protection locked="0"/>
    </xf>
    <xf numFmtId="173" fontId="45" fillId="33" borderId="14" xfId="0" applyNumberFormat="1" applyFont="1" applyFill="1" applyBorder="1" applyAlignment="1" applyProtection="1">
      <alignment horizontal="center" vertical="center"/>
      <protection locked="0"/>
    </xf>
    <xf numFmtId="173" fontId="45" fillId="33" borderId="81" xfId="0" applyNumberFormat="1" applyFont="1" applyFill="1" applyBorder="1" applyAlignment="1" applyProtection="1">
      <alignment horizontal="center" vertical="center"/>
      <protection locked="0"/>
    </xf>
    <xf numFmtId="180" fontId="45" fillId="33" borderId="14" xfId="0" applyNumberFormat="1" applyFont="1" applyFill="1" applyBorder="1" applyAlignment="1" applyProtection="1">
      <alignment horizontal="left" vertical="center" indent="2"/>
      <protection locked="0"/>
    </xf>
    <xf numFmtId="49" fontId="1" fillId="39" borderId="14" xfId="0" applyNumberFormat="1" applyFont="1" applyFill="1" applyBorder="1" applyAlignment="1" applyProtection="1">
      <alignment horizontal="left"/>
      <protection/>
    </xf>
    <xf numFmtId="180" fontId="45" fillId="38" borderId="64" xfId="0" applyNumberFormat="1" applyFont="1" applyFill="1" applyBorder="1" applyAlignment="1" applyProtection="1">
      <alignment horizontal="center" vertical="center"/>
      <protection locked="0"/>
    </xf>
    <xf numFmtId="180" fontId="45" fillId="38" borderId="14" xfId="0" applyNumberFormat="1" applyFont="1" applyFill="1" applyBorder="1" applyAlignment="1" applyProtection="1">
      <alignment horizontal="center" vertical="center"/>
      <protection locked="0"/>
    </xf>
    <xf numFmtId="173" fontId="45" fillId="38" borderId="14" xfId="0" applyNumberFormat="1" applyFont="1" applyFill="1" applyBorder="1" applyAlignment="1" applyProtection="1">
      <alignment horizontal="center" vertical="center"/>
      <protection locked="0"/>
    </xf>
    <xf numFmtId="173" fontId="45" fillId="38" borderId="81" xfId="0" applyNumberFormat="1" applyFont="1" applyFill="1" applyBorder="1" applyAlignment="1" applyProtection="1">
      <alignment horizontal="center" vertical="center"/>
      <protection locked="0"/>
    </xf>
    <xf numFmtId="0" fontId="45" fillId="33" borderId="14" xfId="0" applyNumberFormat="1" applyFont="1" applyFill="1" applyBorder="1" applyAlignment="1" applyProtection="1">
      <alignment horizontal="center" vertical="center"/>
      <protection locked="0"/>
    </xf>
    <xf numFmtId="182" fontId="45" fillId="38" borderId="14" xfId="0" applyNumberFormat="1" applyFont="1" applyFill="1" applyBorder="1" applyAlignment="1" applyProtection="1">
      <alignment horizontal="center" vertical="center"/>
      <protection locked="0"/>
    </xf>
    <xf numFmtId="173" fontId="45" fillId="38" borderId="64" xfId="0" applyNumberFormat="1" applyFont="1" applyFill="1" applyBorder="1" applyAlignment="1" applyProtection="1">
      <alignment horizontal="center" vertical="center"/>
      <protection locked="0"/>
    </xf>
    <xf numFmtId="173" fontId="45" fillId="38" borderId="82" xfId="0" applyNumberFormat="1" applyFont="1" applyFill="1" applyBorder="1" applyAlignment="1" applyProtection="1">
      <alignment horizontal="center" vertical="center"/>
      <protection locked="0"/>
    </xf>
    <xf numFmtId="180" fontId="45" fillId="38" borderId="83" xfId="0" applyNumberFormat="1" applyFont="1" applyFill="1" applyBorder="1" applyAlignment="1" applyProtection="1">
      <alignment horizontal="center" vertical="center"/>
      <protection locked="0"/>
    </xf>
    <xf numFmtId="173" fontId="45" fillId="38" borderId="83" xfId="0" applyNumberFormat="1" applyFont="1" applyFill="1" applyBorder="1" applyAlignment="1" applyProtection="1">
      <alignment horizontal="center" vertical="center"/>
      <protection locked="0"/>
    </xf>
    <xf numFmtId="173" fontId="45" fillId="38" borderId="84" xfId="0" applyNumberFormat="1" applyFont="1" applyFill="1" applyBorder="1" applyAlignment="1" applyProtection="1">
      <alignment horizontal="center" vertical="center"/>
      <protection locked="0"/>
    </xf>
    <xf numFmtId="49" fontId="1" fillId="39" borderId="83" xfId="0" applyNumberFormat="1" applyFont="1" applyFill="1" applyBorder="1" applyAlignment="1" applyProtection="1">
      <alignment horizontal="left"/>
      <protection/>
    </xf>
    <xf numFmtId="176" fontId="45" fillId="38" borderId="14" xfId="0" applyNumberFormat="1" applyFont="1" applyFill="1" applyBorder="1" applyAlignment="1" applyProtection="1">
      <alignment horizontal="center" vertical="center"/>
      <protection locked="0"/>
    </xf>
    <xf numFmtId="176" fontId="45" fillId="33" borderId="14" xfId="0" applyNumberFormat="1" applyFont="1" applyFill="1" applyBorder="1" applyAlignment="1" applyProtection="1">
      <alignment horizontal="center" vertical="center"/>
      <protection locked="0"/>
    </xf>
    <xf numFmtId="173" fontId="45" fillId="33" borderId="64" xfId="0" applyNumberFormat="1" applyFont="1" applyFill="1" applyBorder="1" applyAlignment="1" applyProtection="1">
      <alignment horizontal="center" vertical="center"/>
      <protection locked="0"/>
    </xf>
    <xf numFmtId="183" fontId="45" fillId="38" borderId="64" xfId="0" applyNumberFormat="1" applyFont="1" applyFill="1" applyBorder="1" applyAlignment="1" applyProtection="1">
      <alignment horizontal="center" vertical="center"/>
      <protection locked="0"/>
    </xf>
    <xf numFmtId="184" fontId="45" fillId="38" borderId="82" xfId="0" applyNumberFormat="1" applyFont="1" applyFill="1" applyBorder="1" applyAlignment="1" applyProtection="1">
      <alignment horizontal="center" vertical="center"/>
      <protection locked="0"/>
    </xf>
    <xf numFmtId="165" fontId="53" fillId="0" borderId="0" xfId="57" applyFont="1" applyFill="1" applyAlignment="1" applyProtection="1">
      <alignment vertical="center"/>
      <protection/>
    </xf>
    <xf numFmtId="165" fontId="54" fillId="0" borderId="0" xfId="69" applyFont="1" applyFill="1" applyAlignment="1" applyProtection="1">
      <alignment horizontal="right" vertical="center"/>
      <protection/>
    </xf>
    <xf numFmtId="0" fontId="26" fillId="0" borderId="0" xfId="0" applyFont="1" applyFill="1" applyBorder="1" applyAlignment="1" applyProtection="1">
      <alignment horizontal="center"/>
      <protection/>
    </xf>
    <xf numFmtId="0" fontId="55" fillId="0" borderId="0" xfId="0" applyFont="1" applyFill="1" applyBorder="1" applyAlignment="1" applyProtection="1">
      <alignment horizontal="left"/>
      <protection/>
    </xf>
    <xf numFmtId="0" fontId="56" fillId="0" borderId="0" xfId="0" applyFont="1" applyFill="1" applyAlignment="1" applyProtection="1">
      <alignment/>
      <protection/>
    </xf>
    <xf numFmtId="0" fontId="26" fillId="0" borderId="0" xfId="0" applyFont="1" applyAlignment="1" applyProtection="1">
      <alignment/>
      <protection/>
    </xf>
    <xf numFmtId="165" fontId="57" fillId="0" borderId="0" xfId="69" applyFont="1" applyFill="1" applyAlignment="1" applyProtection="1">
      <alignment/>
      <protection/>
    </xf>
    <xf numFmtId="165" fontId="57" fillId="0" borderId="0" xfId="69" applyFont="1" applyFill="1" applyAlignment="1" applyProtection="1">
      <alignment horizontal="center"/>
      <protection/>
    </xf>
    <xf numFmtId="165" fontId="57" fillId="0" borderId="0" xfId="69" applyFont="1" applyFill="1" applyAlignment="1" applyProtection="1">
      <alignment horizontal="right"/>
      <protection/>
    </xf>
    <xf numFmtId="165" fontId="57" fillId="0" borderId="0" xfId="69" applyFont="1" applyFill="1" applyBorder="1" applyAlignment="1" applyProtection="1">
      <alignment horizontal="center"/>
      <protection/>
    </xf>
    <xf numFmtId="165" fontId="0" fillId="0" borderId="0" xfId="68" applyProtection="1">
      <alignment/>
      <protection/>
    </xf>
    <xf numFmtId="0" fontId="26" fillId="0" borderId="0" xfId="0" applyFont="1" applyAlignment="1" applyProtection="1">
      <alignment horizontal="left" indent="1"/>
      <protection/>
    </xf>
    <xf numFmtId="0" fontId="6" fillId="0" borderId="0" xfId="0" applyFont="1" applyAlignment="1" applyProtection="1">
      <alignment horizontal="left" indent="1"/>
      <protection/>
    </xf>
    <xf numFmtId="165" fontId="0" fillId="0" borderId="85" xfId="87" applyNumberFormat="1" applyFont="1" applyFill="1" applyBorder="1" applyAlignment="1" applyProtection="1">
      <alignment horizontal="right"/>
      <protection/>
    </xf>
    <xf numFmtId="185" fontId="20" fillId="35" borderId="85" xfId="87" applyNumberFormat="1" applyFont="1" applyFill="1" applyBorder="1" applyAlignment="1" applyProtection="1">
      <alignment horizontal="center" vertical="center"/>
      <protection/>
    </xf>
    <xf numFmtId="165" fontId="54" fillId="0" borderId="85" xfId="87" applyNumberFormat="1" applyFont="1" applyFill="1" applyBorder="1" applyAlignment="1" applyProtection="1">
      <alignment horizontal="right"/>
      <protection/>
    </xf>
    <xf numFmtId="165" fontId="20" fillId="35" borderId="85" xfId="87" applyNumberFormat="1" applyFont="1" applyFill="1" applyBorder="1" applyAlignment="1" applyProtection="1">
      <alignment horizontal="center" vertical="center"/>
      <protection/>
    </xf>
    <xf numFmtId="168" fontId="20" fillId="35" borderId="85" xfId="87" applyNumberFormat="1" applyFont="1" applyFill="1" applyBorder="1" applyAlignment="1" applyProtection="1">
      <alignment horizontal="center" vertical="center"/>
      <protection/>
    </xf>
    <xf numFmtId="165" fontId="26" fillId="0" borderId="0" xfId="68" applyFont="1" applyProtection="1">
      <alignment/>
      <protection/>
    </xf>
    <xf numFmtId="187" fontId="20" fillId="35" borderId="85" xfId="87" applyNumberFormat="1" applyFont="1" applyFill="1" applyBorder="1" applyAlignment="1" applyProtection="1">
      <alignment horizontal="center"/>
      <protection/>
    </xf>
    <xf numFmtId="173" fontId="20" fillId="35" borderId="85" xfId="87" applyNumberFormat="1" applyFont="1" applyFill="1" applyBorder="1" applyAlignment="1" applyProtection="1">
      <alignment horizontal="center"/>
      <protection/>
    </xf>
    <xf numFmtId="165" fontId="20" fillId="35" borderId="85" xfId="87" applyNumberFormat="1" applyFont="1" applyFill="1" applyBorder="1" applyAlignment="1" applyProtection="1">
      <alignment horizontal="center"/>
      <protection/>
    </xf>
    <xf numFmtId="0" fontId="26" fillId="0" borderId="0" xfId="0" applyFont="1" applyFill="1" applyBorder="1" applyAlignment="1" applyProtection="1">
      <alignment/>
      <protection/>
    </xf>
    <xf numFmtId="168" fontId="20" fillId="35" borderId="85" xfId="87" applyNumberFormat="1" applyFont="1" applyFill="1" applyBorder="1" applyAlignment="1" applyProtection="1">
      <alignment horizontal="center"/>
      <protection/>
    </xf>
    <xf numFmtId="0" fontId="59" fillId="0" borderId="0" xfId="0" applyFont="1" applyFill="1" applyBorder="1" applyAlignment="1" applyProtection="1">
      <alignment/>
      <protection/>
    </xf>
    <xf numFmtId="0" fontId="6" fillId="0" borderId="0" xfId="68" applyNumberFormat="1" applyFont="1" applyBorder="1" applyProtection="1">
      <alignment/>
      <protection/>
    </xf>
    <xf numFmtId="165" fontId="60" fillId="0" borderId="0" xfId="68" applyFont="1" applyProtection="1">
      <alignment/>
      <protection/>
    </xf>
    <xf numFmtId="165" fontId="26" fillId="0" borderId="0" xfId="70" applyFont="1" applyProtection="1">
      <alignment/>
      <protection/>
    </xf>
    <xf numFmtId="165" fontId="60" fillId="0" borderId="0" xfId="70" applyFont="1" applyProtection="1">
      <alignment/>
      <protection/>
    </xf>
    <xf numFmtId="165" fontId="3" fillId="0" borderId="0" xfId="57" applyFont="1" applyFill="1" applyAlignment="1">
      <alignment vertical="center"/>
      <protection/>
    </xf>
    <xf numFmtId="165" fontId="22" fillId="0" borderId="0" xfId="0" applyNumberFormat="1" applyFont="1" applyAlignment="1" applyProtection="1">
      <alignment horizontal="right"/>
      <protection/>
    </xf>
    <xf numFmtId="165" fontId="22" fillId="0" borderId="0" xfId="0" applyNumberFormat="1" applyFont="1" applyBorder="1" applyAlignment="1" applyProtection="1">
      <alignment horizontal="right"/>
      <protection/>
    </xf>
    <xf numFmtId="0" fontId="22" fillId="0" borderId="0" xfId="0" applyNumberFormat="1" applyFont="1" applyAlignment="1" applyProtection="1">
      <alignment horizontal="center"/>
      <protection/>
    </xf>
    <xf numFmtId="0" fontId="59" fillId="0" borderId="0" xfId="0" applyFont="1" applyAlignment="1">
      <alignment/>
    </xf>
    <xf numFmtId="168" fontId="22" fillId="0" borderId="0" xfId="0" applyNumberFormat="1" applyFont="1" applyAlignment="1" applyProtection="1">
      <alignment horizontal="center"/>
      <protection/>
    </xf>
    <xf numFmtId="165" fontId="22" fillId="0" borderId="0" xfId="0" applyNumberFormat="1" applyFont="1" applyAlignment="1" applyProtection="1">
      <alignment/>
      <protection/>
    </xf>
    <xf numFmtId="170" fontId="22" fillId="0" borderId="0" xfId="42" applyNumberFormat="1" applyFont="1" applyFill="1" applyBorder="1" applyAlignment="1" applyProtection="1">
      <alignment horizontal="left"/>
      <protection/>
    </xf>
    <xf numFmtId="165" fontId="22" fillId="0" borderId="0" xfId="0" applyNumberFormat="1" applyFont="1" applyBorder="1" applyAlignment="1" applyProtection="1">
      <alignment/>
      <protection/>
    </xf>
    <xf numFmtId="0" fontId="57" fillId="0" borderId="0" xfId="0" applyFont="1" applyBorder="1" applyAlignment="1" applyProtection="1">
      <alignment horizontal="center"/>
      <protection/>
    </xf>
    <xf numFmtId="0" fontId="57" fillId="0" borderId="0" xfId="0" applyFont="1" applyAlignment="1" applyProtection="1">
      <alignment horizontal="center"/>
      <protection/>
    </xf>
    <xf numFmtId="168" fontId="22" fillId="0" borderId="0" xfId="0" applyNumberFormat="1" applyFont="1" applyAlignment="1" applyProtection="1">
      <alignment horizontal="right"/>
      <protection/>
    </xf>
    <xf numFmtId="168" fontId="22" fillId="0" borderId="0" xfId="0" applyNumberFormat="1" applyFont="1" applyAlignment="1" applyProtection="1">
      <alignment horizontal="left"/>
      <protection/>
    </xf>
    <xf numFmtId="165" fontId="62" fillId="0" borderId="0" xfId="0" applyNumberFormat="1" applyFont="1" applyBorder="1" applyAlignment="1" applyProtection="1">
      <alignment/>
      <protection/>
    </xf>
    <xf numFmtId="0" fontId="63" fillId="0" borderId="0" xfId="0" applyFont="1" applyBorder="1" applyAlignment="1" applyProtection="1">
      <alignment/>
      <protection/>
    </xf>
    <xf numFmtId="0" fontId="64" fillId="33" borderId="0" xfId="0" applyNumberFormat="1" applyFont="1" applyFill="1" applyBorder="1" applyAlignment="1" applyProtection="1">
      <alignment horizontal="left"/>
      <protection locked="0"/>
    </xf>
    <xf numFmtId="0" fontId="63" fillId="33" borderId="0" xfId="0" applyNumberFormat="1" applyFont="1" applyFill="1" applyBorder="1" applyAlignment="1" applyProtection="1">
      <alignment horizontal="left"/>
      <protection locked="0"/>
    </xf>
    <xf numFmtId="0" fontId="26" fillId="0" borderId="0" xfId="0" applyFont="1" applyAlignment="1">
      <alignment/>
    </xf>
    <xf numFmtId="165" fontId="65" fillId="0" borderId="0" xfId="0" applyNumberFormat="1" applyFont="1" applyAlignment="1" applyProtection="1">
      <alignment/>
      <protection/>
    </xf>
    <xf numFmtId="0" fontId="0" fillId="0" borderId="0" xfId="0" applyBorder="1" applyAlignment="1">
      <alignment horizontal="left" wrapText="1"/>
    </xf>
    <xf numFmtId="0" fontId="63" fillId="0" borderId="0" xfId="0" applyFont="1" applyFill="1" applyAlignment="1" applyProtection="1">
      <alignment horizontal="left"/>
      <protection locked="0"/>
    </xf>
    <xf numFmtId="0" fontId="63" fillId="0" borderId="0" xfId="0" applyFont="1" applyFill="1" applyBorder="1" applyAlignment="1" applyProtection="1">
      <alignment horizontal="left"/>
      <protection locked="0"/>
    </xf>
    <xf numFmtId="165" fontId="66" fillId="0" borderId="0" xfId="0" applyNumberFormat="1" applyFont="1" applyBorder="1" applyAlignment="1" applyProtection="1">
      <alignment vertical="center" wrapText="1"/>
      <protection/>
    </xf>
    <xf numFmtId="165" fontId="66" fillId="0" borderId="56" xfId="0" applyNumberFormat="1" applyFont="1" applyFill="1" applyBorder="1" applyAlignment="1" applyProtection="1">
      <alignment horizontal="center" wrapText="1"/>
      <protection/>
    </xf>
    <xf numFmtId="165" fontId="66" fillId="0" borderId="62" xfId="0" applyNumberFormat="1" applyFont="1" applyFill="1" applyBorder="1" applyAlignment="1" applyProtection="1">
      <alignment horizontal="center" wrapText="1"/>
      <protection/>
    </xf>
    <xf numFmtId="0" fontId="66" fillId="0" borderId="0" xfId="0" applyFont="1" applyFill="1" applyBorder="1" applyAlignment="1" applyProtection="1">
      <alignment wrapText="1"/>
      <protection/>
    </xf>
    <xf numFmtId="0" fontId="62" fillId="0" borderId="42" xfId="0" applyFont="1" applyFill="1" applyBorder="1" applyAlignment="1" applyProtection="1">
      <alignment horizontal="center"/>
      <protection/>
    </xf>
    <xf numFmtId="0" fontId="31" fillId="34" borderId="86" xfId="0" applyFont="1" applyFill="1" applyBorder="1" applyAlignment="1" applyProtection="1">
      <alignment horizontal="center"/>
      <protection/>
    </xf>
    <xf numFmtId="0" fontId="62" fillId="0" borderId="87" xfId="0" applyFont="1" applyFill="1" applyBorder="1" applyAlignment="1" applyProtection="1">
      <alignment horizontal="center"/>
      <protection/>
    </xf>
    <xf numFmtId="0" fontId="31" fillId="34" borderId="88" xfId="0" applyFont="1" applyFill="1" applyBorder="1" applyAlignment="1" applyProtection="1">
      <alignment horizontal="center"/>
      <protection/>
    </xf>
    <xf numFmtId="0" fontId="63" fillId="0" borderId="0" xfId="0" applyFont="1" applyAlignment="1" applyProtection="1">
      <alignment/>
      <protection/>
    </xf>
    <xf numFmtId="165" fontId="0" fillId="0" borderId="0" xfId="0" applyNumberFormat="1" applyAlignment="1">
      <alignment/>
    </xf>
    <xf numFmtId="165" fontId="3" fillId="0" borderId="0" xfId="67" applyFont="1" applyFill="1" applyAlignment="1">
      <alignment vertical="center"/>
      <protection/>
    </xf>
    <xf numFmtId="165" fontId="22" fillId="0" borderId="0" xfId="0" applyNumberFormat="1" applyFont="1" applyAlignment="1">
      <alignment horizontal="right"/>
    </xf>
    <xf numFmtId="165" fontId="22" fillId="0" borderId="0" xfId="0" applyNumberFormat="1" applyFont="1" applyAlignment="1">
      <alignment/>
    </xf>
    <xf numFmtId="165" fontId="65" fillId="0" borderId="0" xfId="0" applyNumberFormat="1" applyFont="1" applyAlignment="1">
      <alignment/>
    </xf>
    <xf numFmtId="0" fontId="63" fillId="0" borderId="0" xfId="0" applyFont="1" applyAlignment="1">
      <alignment/>
    </xf>
    <xf numFmtId="0" fontId="63" fillId="33" borderId="0" xfId="0" applyNumberFormat="1" applyFont="1" applyFill="1" applyAlignment="1" applyProtection="1">
      <alignment horizontal="left"/>
      <protection locked="0"/>
    </xf>
    <xf numFmtId="0" fontId="0" fillId="0" borderId="0" xfId="0" applyBorder="1" applyAlignment="1">
      <alignment horizontal="left"/>
    </xf>
    <xf numFmtId="188" fontId="0" fillId="0" borderId="0" xfId="0" applyNumberFormat="1" applyAlignment="1">
      <alignment/>
    </xf>
    <xf numFmtId="0" fontId="19" fillId="0" borderId="0" xfId="0" applyFont="1" applyBorder="1" applyAlignment="1">
      <alignment horizontal="center"/>
    </xf>
    <xf numFmtId="189" fontId="0" fillId="0" borderId="0" xfId="87" applyNumberFormat="1" applyFill="1" applyBorder="1" applyAlignment="1" applyProtection="1">
      <alignment horizontal="center"/>
      <protection locked="0"/>
    </xf>
    <xf numFmtId="189" fontId="0" fillId="0" borderId="0" xfId="0" applyNumberFormat="1" applyFill="1" applyAlignment="1">
      <alignment/>
    </xf>
    <xf numFmtId="168" fontId="0" fillId="0" borderId="0" xfId="0" applyNumberFormat="1" applyFont="1" applyFill="1" applyBorder="1" applyAlignment="1">
      <alignment horizontal="center"/>
    </xf>
    <xf numFmtId="1" fontId="32" fillId="0" borderId="0" xfId="0" applyNumberFormat="1" applyFont="1" applyFill="1" applyBorder="1" applyAlignment="1">
      <alignment horizontal="center"/>
    </xf>
    <xf numFmtId="1" fontId="55" fillId="36" borderId="0" xfId="0" applyNumberFormat="1"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pplyProtection="1">
      <alignment wrapText="1"/>
      <protection/>
    </xf>
    <xf numFmtId="0" fontId="22" fillId="0" borderId="56" xfId="0" applyFont="1" applyFill="1" applyBorder="1" applyAlignment="1" applyProtection="1">
      <alignment horizontal="center" wrapText="1"/>
      <protection/>
    </xf>
    <xf numFmtId="0" fontId="22" fillId="0" borderId="89" xfId="0" applyFont="1" applyFill="1" applyBorder="1" applyAlignment="1" applyProtection="1">
      <alignment wrapText="1"/>
      <protection/>
    </xf>
    <xf numFmtId="0" fontId="63" fillId="0" borderId="61" xfId="0" applyFont="1" applyFill="1" applyBorder="1" applyAlignment="1" applyProtection="1">
      <alignment horizontal="center" wrapText="1"/>
      <protection/>
    </xf>
    <xf numFmtId="0" fontId="22" fillId="0" borderId="61" xfId="0" applyNumberFormat="1" applyFont="1" applyFill="1" applyBorder="1" applyAlignment="1" applyProtection="1">
      <alignment horizontal="center" wrapText="1"/>
      <protection/>
    </xf>
    <xf numFmtId="0" fontId="63" fillId="0" borderId="90" xfId="0" applyNumberFormat="1" applyFont="1" applyFill="1" applyBorder="1" applyAlignment="1" applyProtection="1">
      <alignment horizontal="center" wrapText="1"/>
      <protection/>
    </xf>
    <xf numFmtId="165" fontId="0" fillId="0" borderId="87" xfId="0" applyNumberFormat="1" applyFill="1" applyBorder="1" applyAlignment="1" applyProtection="1">
      <alignment horizontal="center" vertical="center"/>
      <protection/>
    </xf>
    <xf numFmtId="0" fontId="32" fillId="36" borderId="11" xfId="0" applyFont="1" applyFill="1" applyBorder="1" applyAlignment="1" applyProtection="1">
      <alignment wrapText="1"/>
      <protection/>
    </xf>
    <xf numFmtId="181" fontId="0" fillId="36" borderId="14" xfId="0" applyNumberFormat="1" applyFill="1" applyBorder="1" applyAlignment="1" applyProtection="1">
      <alignment horizontal="center"/>
      <protection/>
    </xf>
    <xf numFmtId="181" fontId="0" fillId="0" borderId="14" xfId="0" applyNumberFormat="1" applyBorder="1" applyAlignment="1" applyProtection="1">
      <alignment horizontal="center"/>
      <protection/>
    </xf>
    <xf numFmtId="181" fontId="26" fillId="40" borderId="91" xfId="0" applyNumberFormat="1" applyFont="1" applyFill="1" applyBorder="1" applyAlignment="1" applyProtection="1">
      <alignment horizontal="center"/>
      <protection/>
    </xf>
    <xf numFmtId="0" fontId="22" fillId="0" borderId="0" xfId="0" applyFont="1" applyAlignment="1" applyProtection="1">
      <alignment horizontal="center"/>
      <protection/>
    </xf>
    <xf numFmtId="165" fontId="22" fillId="0" borderId="0" xfId="0" applyNumberFormat="1" applyFont="1" applyAlignment="1" applyProtection="1">
      <alignment/>
      <protection/>
    </xf>
    <xf numFmtId="168" fontId="22" fillId="0" borderId="0" xfId="0" applyNumberFormat="1" applyFont="1" applyAlignment="1">
      <alignment/>
    </xf>
    <xf numFmtId="0" fontId="70" fillId="0" borderId="0" xfId="0" applyFont="1" applyAlignment="1">
      <alignment/>
    </xf>
    <xf numFmtId="0" fontId="26" fillId="0" borderId="0" xfId="0" applyNumberFormat="1" applyFont="1" applyAlignment="1">
      <alignment/>
    </xf>
    <xf numFmtId="165" fontId="19" fillId="0" borderId="0" xfId="0" applyNumberFormat="1" applyFont="1" applyAlignment="1" applyProtection="1">
      <alignment horizontal="center"/>
      <protection/>
    </xf>
    <xf numFmtId="165" fontId="0" fillId="0" borderId="0" xfId="0" applyNumberFormat="1" applyAlignment="1" applyProtection="1">
      <alignment horizontal="right"/>
      <protection/>
    </xf>
    <xf numFmtId="168" fontId="31" fillId="0" borderId="0" xfId="0" applyNumberFormat="1" applyFont="1" applyAlignment="1" applyProtection="1">
      <alignment horizontal="center"/>
      <protection/>
    </xf>
    <xf numFmtId="165" fontId="63" fillId="33" borderId="0" xfId="0" applyNumberFormat="1" applyFont="1" applyFill="1" applyAlignment="1" applyProtection="1">
      <alignment horizontal="left" vertical="top"/>
      <protection locked="0"/>
    </xf>
    <xf numFmtId="0" fontId="63" fillId="0" borderId="14" xfId="0" applyFont="1" applyBorder="1" applyAlignment="1" applyProtection="1">
      <alignment horizontal="center" vertical="center" wrapText="1"/>
      <protection/>
    </xf>
    <xf numFmtId="9" fontId="71" fillId="41" borderId="14" xfId="77" applyFont="1" applyFill="1" applyBorder="1" applyAlignment="1" applyProtection="1">
      <alignment horizontal="center" vertical="center" wrapText="1"/>
      <protection/>
    </xf>
    <xf numFmtId="173" fontId="26" fillId="36" borderId="92" xfId="0" applyNumberFormat="1" applyFont="1" applyFill="1" applyBorder="1" applyAlignment="1">
      <alignment horizontal="right"/>
    </xf>
    <xf numFmtId="173" fontId="26" fillId="36" borderId="92" xfId="42" applyNumberFormat="1" applyFont="1" applyFill="1" applyBorder="1" applyAlignment="1" applyProtection="1">
      <alignment/>
      <protection/>
    </xf>
    <xf numFmtId="9" fontId="26" fillId="36" borderId="92" xfId="77" applyFont="1" applyFill="1" applyBorder="1" applyAlignment="1" applyProtection="1">
      <alignment/>
      <protection/>
    </xf>
    <xf numFmtId="180" fontId="54" fillId="0" borderId="14" xfId="0" applyNumberFormat="1" applyFont="1" applyBorder="1" applyAlignment="1" applyProtection="1">
      <alignment horizontal="center" vertical="center" wrapText="1"/>
      <protection/>
    </xf>
    <xf numFmtId="9" fontId="26" fillId="36" borderId="92" xfId="77" applyNumberFormat="1" applyFont="1" applyFill="1" applyBorder="1" applyAlignment="1" applyProtection="1">
      <alignment/>
      <protection/>
    </xf>
    <xf numFmtId="0" fontId="26" fillId="36" borderId="92" xfId="0" applyFont="1" applyFill="1" applyBorder="1" applyAlignment="1">
      <alignment/>
    </xf>
    <xf numFmtId="9" fontId="26" fillId="36" borderId="92" xfId="77" applyFont="1" applyFill="1" applyBorder="1" applyAlignment="1" applyProtection="1">
      <alignment horizontal="center"/>
      <protection/>
    </xf>
    <xf numFmtId="173" fontId="26" fillId="0" borderId="0" xfId="0" applyNumberFormat="1" applyFont="1" applyAlignment="1">
      <alignment/>
    </xf>
    <xf numFmtId="173" fontId="26" fillId="36" borderId="92" xfId="0" applyNumberFormat="1" applyFont="1" applyFill="1" applyBorder="1" applyAlignment="1">
      <alignment/>
    </xf>
    <xf numFmtId="165" fontId="26" fillId="0" borderId="0" xfId="0" applyNumberFormat="1" applyFont="1" applyAlignment="1">
      <alignment/>
    </xf>
    <xf numFmtId="176" fontId="54" fillId="0" borderId="14" xfId="0" applyNumberFormat="1" applyFont="1" applyBorder="1" applyAlignment="1" applyProtection="1">
      <alignment horizontal="center" vertical="center" wrapText="1"/>
      <protection/>
    </xf>
    <xf numFmtId="173" fontId="22" fillId="0" borderId="14" xfId="0" applyNumberFormat="1" applyFont="1" applyBorder="1" applyAlignment="1" applyProtection="1">
      <alignment horizontal="center" vertical="center" wrapText="1"/>
      <protection/>
    </xf>
    <xf numFmtId="0" fontId="0" fillId="36" borderId="0" xfId="0" applyFill="1" applyAlignment="1" applyProtection="1">
      <alignment/>
      <protection/>
    </xf>
    <xf numFmtId="0" fontId="0" fillId="36" borderId="93" xfId="0" applyFill="1" applyBorder="1" applyAlignment="1" applyProtection="1">
      <alignment/>
      <protection/>
    </xf>
    <xf numFmtId="0" fontId="73" fillId="0" borderId="0" xfId="0" applyFont="1" applyAlignment="1">
      <alignment/>
    </xf>
    <xf numFmtId="0" fontId="73" fillId="0" borderId="0" xfId="0" applyFont="1" applyAlignment="1">
      <alignment horizontal="right"/>
    </xf>
    <xf numFmtId="0" fontId="73" fillId="0" borderId="0" xfId="0" applyFont="1" applyAlignment="1" applyProtection="1">
      <alignment/>
      <protection/>
    </xf>
    <xf numFmtId="0" fontId="73" fillId="0" borderId="0" xfId="0" applyFont="1" applyAlignment="1" applyProtection="1">
      <alignment horizontal="right"/>
      <protection/>
    </xf>
    <xf numFmtId="165" fontId="23" fillId="0" borderId="0" xfId="67" applyFont="1" applyFill="1" applyAlignment="1">
      <alignment vertical="center"/>
      <protection/>
    </xf>
    <xf numFmtId="0" fontId="73" fillId="0" borderId="0" xfId="0" applyFont="1" applyBorder="1" applyAlignment="1" applyProtection="1">
      <alignment/>
      <protection/>
    </xf>
    <xf numFmtId="0" fontId="74" fillId="0" borderId="0" xfId="0" applyFont="1" applyBorder="1" applyAlignment="1" applyProtection="1">
      <alignment horizontal="left" vertical="center"/>
      <protection/>
    </xf>
    <xf numFmtId="0" fontId="74" fillId="0" borderId="0" xfId="0" applyFont="1" applyBorder="1" applyAlignment="1" applyProtection="1">
      <alignment horizontal="left"/>
      <protection/>
    </xf>
    <xf numFmtId="190" fontId="74" fillId="0" borderId="0" xfId="0" applyNumberFormat="1" applyFont="1" applyBorder="1" applyAlignment="1" applyProtection="1">
      <alignment horizontal="left"/>
      <protection/>
    </xf>
    <xf numFmtId="0" fontId="73" fillId="0" borderId="0" xfId="0" applyFont="1" applyBorder="1" applyAlignment="1">
      <alignment/>
    </xf>
    <xf numFmtId="0" fontId="76" fillId="0" borderId="0" xfId="0" applyFont="1" applyAlignment="1" applyProtection="1">
      <alignment/>
      <protection/>
    </xf>
    <xf numFmtId="0" fontId="79" fillId="0" borderId="0" xfId="0" applyFont="1" applyFill="1" applyBorder="1" applyAlignment="1" applyProtection="1">
      <alignment horizontal="right"/>
      <protection/>
    </xf>
    <xf numFmtId="0" fontId="76" fillId="0" borderId="0" xfId="0" applyFont="1" applyAlignment="1">
      <alignment/>
    </xf>
    <xf numFmtId="0" fontId="50" fillId="0" borderId="94" xfId="0" applyFont="1" applyFill="1" applyBorder="1" applyAlignment="1" applyProtection="1">
      <alignment horizontal="center" vertical="center" wrapText="1"/>
      <protection/>
    </xf>
    <xf numFmtId="0" fontId="80" fillId="0" borderId="95" xfId="0" applyNumberFormat="1" applyFont="1" applyFill="1" applyBorder="1" applyAlignment="1" applyProtection="1">
      <alignment horizontal="right"/>
      <protection/>
    </xf>
    <xf numFmtId="9" fontId="81" fillId="0" borderId="0" xfId="0" applyNumberFormat="1" applyFont="1" applyFill="1" applyBorder="1" applyAlignment="1" applyProtection="1">
      <alignment/>
      <protection/>
    </xf>
    <xf numFmtId="0" fontId="50" fillId="0" borderId="96" xfId="0" applyFont="1" applyFill="1" applyBorder="1" applyAlignment="1" applyProtection="1">
      <alignment horizontal="center"/>
      <protection/>
    </xf>
    <xf numFmtId="0" fontId="80" fillId="0" borderId="97" xfId="0" applyNumberFormat="1" applyFont="1" applyFill="1" applyBorder="1" applyAlignment="1" applyProtection="1">
      <alignment horizontal="right"/>
      <protection/>
    </xf>
    <xf numFmtId="0" fontId="50" fillId="0" borderId="98" xfId="0" applyFont="1" applyFill="1" applyBorder="1" applyAlignment="1" applyProtection="1">
      <alignment horizontal="center"/>
      <protection/>
    </xf>
    <xf numFmtId="0" fontId="80" fillId="0" borderId="99" xfId="0" applyNumberFormat="1" applyFont="1" applyFill="1" applyBorder="1" applyAlignment="1" applyProtection="1">
      <alignment horizontal="right"/>
      <protection/>
    </xf>
    <xf numFmtId="0" fontId="82" fillId="0" borderId="0" xfId="0" applyFont="1" applyFill="1" applyBorder="1" applyAlignment="1" applyProtection="1">
      <alignment horizontal="center"/>
      <protection/>
    </xf>
    <xf numFmtId="0" fontId="80"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9" fontId="81" fillId="0" borderId="0" xfId="0" applyNumberFormat="1" applyFont="1" applyFill="1" applyBorder="1" applyAlignment="1" applyProtection="1">
      <alignment horizontal="center"/>
      <protection/>
    </xf>
    <xf numFmtId="0" fontId="76" fillId="0" borderId="0" xfId="0" applyFont="1" applyFill="1" applyAlignment="1">
      <alignment/>
    </xf>
    <xf numFmtId="191" fontId="83" fillId="36" borderId="0" xfId="0" applyNumberFormat="1" applyFont="1" applyFill="1" applyBorder="1" applyAlignment="1" applyProtection="1">
      <alignment vertical="center"/>
      <protection/>
    </xf>
    <xf numFmtId="0" fontId="80" fillId="36" borderId="0" xfId="0" applyNumberFormat="1" applyFont="1" applyFill="1" applyBorder="1" applyAlignment="1" applyProtection="1">
      <alignment horizontal="right"/>
      <protection/>
    </xf>
    <xf numFmtId="0" fontId="9" fillId="36" borderId="0" xfId="0" applyFont="1" applyFill="1" applyBorder="1" applyAlignment="1" applyProtection="1">
      <alignment horizontal="center" vertical="center"/>
      <protection/>
    </xf>
    <xf numFmtId="0" fontId="84" fillId="36" borderId="0" xfId="0" applyFont="1" applyFill="1" applyBorder="1" applyAlignment="1" applyProtection="1">
      <alignment horizontal="center" vertical="center"/>
      <protection/>
    </xf>
    <xf numFmtId="181" fontId="83" fillId="36" borderId="0" xfId="77" applyNumberFormat="1" applyFont="1" applyFill="1" applyBorder="1" applyAlignment="1" applyProtection="1">
      <alignment horizontal="right"/>
      <protection/>
    </xf>
    <xf numFmtId="9" fontId="85" fillId="36" borderId="0" xfId="0" applyNumberFormat="1" applyFont="1" applyFill="1" applyBorder="1" applyAlignment="1" applyProtection="1">
      <alignment/>
      <protection/>
    </xf>
    <xf numFmtId="0" fontId="86" fillId="36" borderId="0" xfId="0" applyFont="1" applyFill="1" applyBorder="1" applyAlignment="1" applyProtection="1">
      <alignment horizontal="center" vertical="center"/>
      <protection/>
    </xf>
    <xf numFmtId="9" fontId="85" fillId="36" borderId="0" xfId="0" applyNumberFormat="1" applyFont="1" applyFill="1" applyBorder="1" applyAlignment="1" applyProtection="1">
      <alignment horizontal="left"/>
      <protection/>
    </xf>
    <xf numFmtId="0" fontId="63" fillId="0" borderId="0" xfId="0" applyFont="1" applyBorder="1" applyAlignment="1" applyProtection="1">
      <alignment horizontal="center" vertical="center"/>
      <protection/>
    </xf>
    <xf numFmtId="0" fontId="83" fillId="36" borderId="0" xfId="0" applyFont="1" applyFill="1" applyBorder="1" applyAlignment="1" applyProtection="1">
      <alignment horizontal="left" vertical="center"/>
      <protection/>
    </xf>
    <xf numFmtId="173" fontId="87" fillId="0" borderId="0" xfId="0" applyNumberFormat="1" applyFont="1" applyFill="1" applyBorder="1" applyAlignment="1" applyProtection="1">
      <alignment horizontal="right" vertical="center"/>
      <protection/>
    </xf>
    <xf numFmtId="0" fontId="88" fillId="36" borderId="0" xfId="0" applyFont="1" applyFill="1" applyBorder="1" applyAlignment="1" applyProtection="1">
      <alignment horizontal="left" vertical="center"/>
      <protection/>
    </xf>
    <xf numFmtId="0" fontId="50" fillId="0" borderId="100" xfId="0" applyNumberFormat="1" applyFont="1" applyFill="1" applyBorder="1" applyAlignment="1" applyProtection="1">
      <alignment horizontal="center"/>
      <protection/>
    </xf>
    <xf numFmtId="0" fontId="80" fillId="0" borderId="101" xfId="0" applyNumberFormat="1" applyFont="1" applyFill="1" applyBorder="1" applyAlignment="1" applyProtection="1">
      <alignment horizontal="right"/>
      <protection/>
    </xf>
    <xf numFmtId="9" fontId="85" fillId="0" borderId="0" xfId="0" applyNumberFormat="1" applyFont="1" applyFill="1" applyBorder="1" applyAlignment="1" applyProtection="1">
      <alignment/>
      <protection/>
    </xf>
    <xf numFmtId="0" fontId="50" fillId="0" borderId="102" xfId="0" applyNumberFormat="1" applyFont="1" applyFill="1" applyBorder="1" applyAlignment="1" applyProtection="1">
      <alignment horizontal="center"/>
      <protection/>
    </xf>
    <xf numFmtId="0" fontId="80" fillId="0" borderId="103" xfId="0" applyNumberFormat="1" applyFont="1" applyFill="1" applyBorder="1" applyAlignment="1" applyProtection="1">
      <alignment horizontal="right"/>
      <protection/>
    </xf>
    <xf numFmtId="0" fontId="73" fillId="0" borderId="0" xfId="0" applyNumberFormat="1" applyFont="1" applyBorder="1" applyAlignment="1">
      <alignment/>
    </xf>
    <xf numFmtId="0" fontId="50" fillId="0" borderId="102" xfId="0" applyNumberFormat="1" applyFont="1" applyFill="1" applyBorder="1" applyAlignment="1" applyProtection="1">
      <alignment horizontal="center" vertical="center"/>
      <protection/>
    </xf>
    <xf numFmtId="0" fontId="50" fillId="0" borderId="104" xfId="0" applyNumberFormat="1" applyFont="1" applyFill="1" applyBorder="1" applyAlignment="1" applyProtection="1">
      <alignment horizontal="center" vertical="center"/>
      <protection/>
    </xf>
    <xf numFmtId="0" fontId="80" fillId="0" borderId="105" xfId="0" applyNumberFormat="1" applyFont="1" applyFill="1" applyBorder="1" applyAlignment="1" applyProtection="1">
      <alignment horizontal="right"/>
      <protection/>
    </xf>
    <xf numFmtId="0" fontId="90" fillId="0" borderId="0" xfId="0" applyFont="1" applyFill="1" applyBorder="1" applyAlignment="1" applyProtection="1">
      <alignment/>
      <protection/>
    </xf>
    <xf numFmtId="0" fontId="91" fillId="0" borderId="0" xfId="0" applyFont="1" applyFill="1" applyBorder="1" applyAlignment="1" applyProtection="1">
      <alignment/>
      <protection/>
    </xf>
    <xf numFmtId="0" fontId="92" fillId="0" borderId="0" xfId="0" applyFont="1" applyFill="1" applyBorder="1" applyAlignment="1" applyProtection="1">
      <alignment horizontal="center" vertical="center"/>
      <protection/>
    </xf>
    <xf numFmtId="0" fontId="93" fillId="0" borderId="0" xfId="0" applyFont="1" applyFill="1" applyBorder="1" applyAlignment="1" applyProtection="1">
      <alignment horizontal="center" vertical="center"/>
      <protection/>
    </xf>
    <xf numFmtId="0" fontId="93" fillId="0" borderId="0" xfId="0" applyFont="1" applyFill="1" applyBorder="1" applyAlignment="1" applyProtection="1">
      <alignment horizontal="right" vertical="center" indent="1"/>
      <protection/>
    </xf>
    <xf numFmtId="0" fontId="94" fillId="0" borderId="0" xfId="0" applyFont="1" applyFill="1" applyBorder="1" applyAlignment="1" applyProtection="1">
      <alignment horizontal="center"/>
      <protection/>
    </xf>
    <xf numFmtId="0" fontId="95" fillId="0" borderId="106" xfId="0" applyNumberFormat="1" applyFont="1" applyFill="1" applyBorder="1" applyAlignment="1" applyProtection="1">
      <alignment horizontal="center" vertical="center"/>
      <protection/>
    </xf>
    <xf numFmtId="0" fontId="63" fillId="0" borderId="107" xfId="0" applyNumberFormat="1" applyFont="1" applyFill="1" applyBorder="1" applyAlignment="1" applyProtection="1">
      <alignment vertical="center"/>
      <protection/>
    </xf>
    <xf numFmtId="0" fontId="95" fillId="0" borderId="108" xfId="0" applyNumberFormat="1" applyFont="1" applyFill="1" applyBorder="1" applyAlignment="1" applyProtection="1">
      <alignment horizontal="center" vertical="center"/>
      <protection/>
    </xf>
    <xf numFmtId="0" fontId="63" fillId="0" borderId="109" xfId="0" applyNumberFormat="1" applyFont="1" applyFill="1" applyBorder="1" applyAlignment="1" applyProtection="1">
      <alignment vertical="center"/>
      <protection/>
    </xf>
    <xf numFmtId="0" fontId="95" fillId="0" borderId="110" xfId="0" applyNumberFormat="1" applyFont="1" applyFill="1" applyBorder="1" applyAlignment="1" applyProtection="1">
      <alignment horizontal="center" vertical="center"/>
      <protection/>
    </xf>
    <xf numFmtId="0" fontId="63" fillId="0" borderId="111" xfId="0" applyNumberFormat="1" applyFont="1" applyFill="1" applyBorder="1" applyAlignment="1" applyProtection="1">
      <alignment vertical="center"/>
      <protection/>
    </xf>
    <xf numFmtId="0" fontId="63" fillId="0" borderId="112" xfId="0" applyNumberFormat="1" applyFont="1" applyFill="1" applyBorder="1" applyAlignment="1" applyProtection="1">
      <alignment vertical="center"/>
      <protection/>
    </xf>
    <xf numFmtId="168" fontId="0" fillId="0" borderId="0" xfId="0" applyNumberFormat="1" applyAlignment="1">
      <alignment/>
    </xf>
    <xf numFmtId="0" fontId="4" fillId="0" borderId="0" xfId="0" applyFont="1" applyAlignment="1">
      <alignment horizontal="center"/>
    </xf>
    <xf numFmtId="0" fontId="75" fillId="37" borderId="113" xfId="0" applyNumberFormat="1" applyFont="1" applyFill="1" applyBorder="1" applyAlignment="1">
      <alignment vertical="center"/>
    </xf>
    <xf numFmtId="0" fontId="75" fillId="37" borderId="113" xfId="0" applyFont="1" applyFill="1" applyBorder="1" applyAlignment="1">
      <alignment vertical="center"/>
    </xf>
    <xf numFmtId="0" fontId="19" fillId="0" borderId="0" xfId="0" applyFont="1" applyAlignment="1">
      <alignment/>
    </xf>
    <xf numFmtId="0" fontId="35" fillId="0" borderId="0" xfId="0" applyFont="1" applyAlignment="1">
      <alignment/>
    </xf>
    <xf numFmtId="0" fontId="96" fillId="0" borderId="0" xfId="74" applyNumberFormat="1" applyFont="1" applyFill="1" applyBorder="1" applyAlignment="1">
      <alignment horizontal="center" vertical="center" wrapText="1"/>
      <protection/>
    </xf>
    <xf numFmtId="0" fontId="96" fillId="42" borderId="114" xfId="74" applyNumberFormat="1" applyFont="1" applyFill="1" applyBorder="1" applyAlignment="1">
      <alignment horizontal="center" vertical="center" wrapText="1"/>
      <protection/>
    </xf>
    <xf numFmtId="0" fontId="98" fillId="0" borderId="0" xfId="0" applyNumberFormat="1" applyFont="1" applyAlignment="1">
      <alignment/>
    </xf>
    <xf numFmtId="0" fontId="98" fillId="0" borderId="0" xfId="0" applyFont="1" applyAlignment="1">
      <alignment/>
    </xf>
    <xf numFmtId="0" fontId="98" fillId="0" borderId="0" xfId="0" applyFont="1" applyAlignment="1">
      <alignment horizontal="center"/>
    </xf>
    <xf numFmtId="0" fontId="99" fillId="0" borderId="0" xfId="0" applyFont="1" applyBorder="1" applyAlignment="1">
      <alignment/>
    </xf>
    <xf numFmtId="0" fontId="100" fillId="37" borderId="113" xfId="0" applyFont="1" applyFill="1" applyBorder="1" applyAlignment="1">
      <alignment vertical="center"/>
    </xf>
    <xf numFmtId="0" fontId="33" fillId="0" borderId="0" xfId="0" applyFont="1" applyAlignment="1">
      <alignment/>
    </xf>
    <xf numFmtId="0" fontId="101" fillId="37" borderId="14" xfId="0" applyFont="1" applyFill="1" applyBorder="1" applyAlignment="1" applyProtection="1">
      <alignment horizontal="center"/>
      <protection/>
    </xf>
    <xf numFmtId="0" fontId="101" fillId="37"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60" fillId="0" borderId="14" xfId="0" applyFont="1" applyFill="1" applyBorder="1" applyAlignment="1" applyProtection="1">
      <alignment horizontal="center"/>
      <protection/>
    </xf>
    <xf numFmtId="0" fontId="60" fillId="0" borderId="14" xfId="0" applyFont="1" applyBorder="1" applyAlignment="1" applyProtection="1">
      <alignment horizontal="center"/>
      <protection/>
    </xf>
    <xf numFmtId="0" fontId="102" fillId="0" borderId="14" xfId="0" applyFont="1" applyBorder="1" applyAlignment="1" applyProtection="1">
      <alignment horizontal="left" indent="1"/>
      <protection/>
    </xf>
    <xf numFmtId="0" fontId="0" fillId="0" borderId="14" xfId="0" applyFont="1" applyBorder="1" applyAlignment="1">
      <alignment horizontal="center"/>
    </xf>
    <xf numFmtId="0" fontId="60" fillId="0" borderId="0" xfId="0" applyFont="1" applyFill="1" applyBorder="1" applyAlignment="1" applyProtection="1">
      <alignment/>
      <protection/>
    </xf>
    <xf numFmtId="0" fontId="60" fillId="0" borderId="14" xfId="0" applyFont="1" applyFill="1" applyBorder="1" applyAlignment="1" applyProtection="1">
      <alignment/>
      <protection/>
    </xf>
    <xf numFmtId="165" fontId="60" fillId="0" borderId="14" xfId="70" applyFont="1" applyBorder="1" applyProtection="1">
      <alignment/>
      <protection/>
    </xf>
    <xf numFmtId="0" fontId="0" fillId="0" borderId="14" xfId="0" applyFont="1" applyBorder="1" applyAlignment="1">
      <alignment/>
    </xf>
    <xf numFmtId="0" fontId="0" fillId="0" borderId="14" xfId="0" applyBorder="1" applyAlignment="1">
      <alignment/>
    </xf>
    <xf numFmtId="173" fontId="26" fillId="36" borderId="92" xfId="0" applyNumberFormat="1" applyFont="1" applyFill="1" applyBorder="1" applyAlignment="1">
      <alignment horizontal="right" wrapText="1"/>
    </xf>
    <xf numFmtId="9" fontId="26" fillId="36" borderId="92" xfId="77" applyNumberFormat="1" applyFont="1" applyFill="1" applyBorder="1" applyAlignment="1" applyProtection="1">
      <alignment wrapText="1"/>
      <protection/>
    </xf>
    <xf numFmtId="0" fontId="0" fillId="0" borderId="0" xfId="0" applyAlignment="1">
      <alignment/>
    </xf>
    <xf numFmtId="165" fontId="2" fillId="43" borderId="0" xfId="66" applyFont="1" applyFill="1" applyBorder="1" applyAlignment="1">
      <alignment horizontal="center" vertical="center"/>
      <protection/>
    </xf>
    <xf numFmtId="165" fontId="4" fillId="0" borderId="0" xfId="0" applyNumberFormat="1" applyFont="1" applyBorder="1" applyAlignment="1">
      <alignment horizontal="center"/>
    </xf>
    <xf numFmtId="165" fontId="2" fillId="44" borderId="0" xfId="65" applyFont="1" applyFill="1" applyBorder="1" applyAlignment="1" applyProtection="1">
      <alignment horizontal="center" vertical="center"/>
      <protection/>
    </xf>
    <xf numFmtId="0" fontId="10" fillId="0" borderId="0" xfId="0" applyNumberFormat="1" applyFont="1" applyBorder="1" applyAlignment="1">
      <alignment horizontal="center"/>
    </xf>
    <xf numFmtId="0" fontId="11" fillId="34" borderId="14" xfId="0" applyNumberFormat="1" applyFont="1" applyFill="1" applyBorder="1" applyAlignment="1">
      <alignment horizontal="center"/>
    </xf>
    <xf numFmtId="165" fontId="12" fillId="0" borderId="14" xfId="0" applyNumberFormat="1" applyFont="1" applyBorder="1" applyAlignment="1">
      <alignment horizontal="justify" vertical="center" wrapText="1"/>
    </xf>
    <xf numFmtId="9" fontId="13" fillId="0" borderId="14" xfId="77" applyFont="1" applyFill="1" applyBorder="1" applyAlignment="1" applyProtection="1">
      <alignment horizontal="justify" vertical="center" wrapText="1"/>
      <protection/>
    </xf>
    <xf numFmtId="9" fontId="9" fillId="0" borderId="14" xfId="0" applyNumberFormat="1" applyFont="1" applyBorder="1" applyAlignment="1">
      <alignment horizontal="left" vertical="center" wrapText="1"/>
    </xf>
    <xf numFmtId="0" fontId="13" fillId="0" borderId="14" xfId="0" applyFont="1" applyBorder="1" applyAlignment="1">
      <alignment horizontal="justify" vertical="center" wrapText="1"/>
    </xf>
    <xf numFmtId="0" fontId="9" fillId="0" borderId="14" xfId="0" applyNumberFormat="1" applyFont="1" applyBorder="1" applyAlignment="1">
      <alignment horizontal="left" vertical="center" wrapText="1"/>
    </xf>
    <xf numFmtId="165" fontId="12" fillId="0" borderId="14" xfId="0" applyNumberFormat="1" applyFont="1" applyBorder="1" applyAlignment="1">
      <alignment horizontal="left" vertical="center" wrapText="1"/>
    </xf>
    <xf numFmtId="0" fontId="9" fillId="0" borderId="14" xfId="0" applyFont="1" applyBorder="1" applyAlignment="1">
      <alignment horizontal="left" vertical="center" wrapText="1"/>
    </xf>
    <xf numFmtId="0" fontId="0" fillId="0" borderId="115" xfId="0" applyBorder="1" applyAlignment="1">
      <alignment horizontal="center"/>
    </xf>
    <xf numFmtId="0" fontId="0" fillId="0" borderId="115"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11" fillId="35" borderId="14" xfId="0" applyNumberFormat="1" applyFont="1" applyFill="1" applyBorder="1" applyAlignment="1">
      <alignment horizontal="center"/>
    </xf>
    <xf numFmtId="0" fontId="9" fillId="0" borderId="14" xfId="0"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116" xfId="0" applyFont="1" applyBorder="1" applyAlignment="1">
      <alignment horizontal="justify" wrapText="1"/>
    </xf>
    <xf numFmtId="0" fontId="13" fillId="0" borderId="79" xfId="0" applyFont="1" applyBorder="1" applyAlignment="1">
      <alignment horizontal="justify" vertical="center" wrapText="1"/>
    </xf>
    <xf numFmtId="0" fontId="17" fillId="0" borderId="79" xfId="0" applyNumberFormat="1" applyFont="1" applyBorder="1" applyAlignment="1">
      <alignment horizontal="justify" vertical="center" wrapText="1"/>
    </xf>
    <xf numFmtId="0" fontId="17" fillId="0" borderId="14" xfId="0" applyNumberFormat="1" applyFont="1" applyBorder="1" applyAlignment="1">
      <alignment horizontal="left" vertical="center" wrapText="1"/>
    </xf>
    <xf numFmtId="0" fontId="17" fillId="0" borderId="14" xfId="0" applyNumberFormat="1" applyFont="1" applyBorder="1" applyAlignment="1">
      <alignment horizontal="justify" vertical="center" wrapText="1"/>
    </xf>
    <xf numFmtId="0" fontId="19" fillId="33" borderId="14" xfId="0" applyNumberFormat="1" applyFont="1" applyFill="1" applyBorder="1" applyAlignment="1">
      <alignment horizontal="center" vertical="center" wrapText="1"/>
    </xf>
    <xf numFmtId="0" fontId="20" fillId="33" borderId="14" xfId="0" applyNumberFormat="1" applyFont="1" applyFill="1" applyBorder="1" applyAlignment="1">
      <alignment horizontal="center" vertical="center"/>
    </xf>
    <xf numFmtId="0" fontId="13" fillId="0" borderId="14" xfId="0" applyFont="1" applyBorder="1" applyAlignment="1" applyProtection="1">
      <alignment vertical="center" wrapText="1"/>
      <protection locked="0"/>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left" vertical="center" wrapText="1"/>
      <protection locked="0"/>
    </xf>
    <xf numFmtId="0" fontId="13" fillId="33" borderId="14" xfId="0" applyFont="1" applyFill="1" applyBorder="1" applyAlignment="1">
      <alignment vertical="center" wrapText="1"/>
    </xf>
    <xf numFmtId="0" fontId="13" fillId="36" borderId="14" xfId="0" applyFont="1" applyFill="1" applyBorder="1" applyAlignment="1" applyProtection="1">
      <alignment vertical="center" wrapText="1"/>
      <protection locked="0"/>
    </xf>
    <xf numFmtId="0" fontId="21" fillId="36" borderId="14" xfId="0" applyFont="1" applyFill="1" applyBorder="1" applyAlignment="1" applyProtection="1">
      <alignment vertical="center" wrapText="1"/>
      <protection locked="0"/>
    </xf>
    <xf numFmtId="0" fontId="9" fillId="0" borderId="14" xfId="0" applyNumberFormat="1" applyFont="1" applyBorder="1" applyAlignment="1" applyProtection="1">
      <alignment horizontal="left" vertical="center" wrapText="1"/>
      <protection locked="0"/>
    </xf>
    <xf numFmtId="0" fontId="12" fillId="0" borderId="14" xfId="0" applyFont="1" applyBorder="1" applyAlignment="1" applyProtection="1">
      <alignment vertical="center" wrapText="1"/>
      <protection locked="0"/>
    </xf>
    <xf numFmtId="0" fontId="2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165" fontId="23" fillId="44" borderId="0" xfId="57" applyFont="1" applyFill="1" applyBorder="1" applyAlignment="1" applyProtection="1">
      <alignment horizontal="center" vertical="center"/>
      <protection/>
    </xf>
    <xf numFmtId="165" fontId="0" fillId="0" borderId="14" xfId="0" applyNumberFormat="1" applyFont="1" applyBorder="1" applyAlignment="1" applyProtection="1">
      <alignment horizontal="center"/>
      <protection locked="0"/>
    </xf>
    <xf numFmtId="165" fontId="25" fillId="0" borderId="0" xfId="0" applyNumberFormat="1" applyFont="1" applyBorder="1" applyAlignment="1" applyProtection="1">
      <alignment horizontal="right"/>
      <protection/>
    </xf>
    <xf numFmtId="49" fontId="0" fillId="0" borderId="14" xfId="0" applyNumberFormat="1" applyFont="1" applyBorder="1" applyAlignment="1" applyProtection="1">
      <alignment horizontal="center"/>
      <protection locked="0"/>
    </xf>
    <xf numFmtId="167" fontId="0" fillId="0" borderId="14" xfId="44" applyNumberFormat="1" applyFont="1" applyFill="1" applyBorder="1" applyAlignment="1" applyProtection="1">
      <alignment horizontal="center"/>
      <protection locked="0"/>
    </xf>
    <xf numFmtId="168" fontId="0" fillId="0" borderId="14" xfId="87" applyNumberFormat="1" applyFont="1" applyFill="1" applyBorder="1" applyAlignment="1" applyProtection="1">
      <alignment horizontal="center"/>
      <protection locked="0"/>
    </xf>
    <xf numFmtId="165" fontId="25" fillId="0" borderId="117" xfId="0" applyNumberFormat="1" applyFont="1" applyBorder="1" applyAlignment="1" applyProtection="1">
      <alignment horizontal="right"/>
      <protection/>
    </xf>
    <xf numFmtId="165" fontId="26" fillId="45" borderId="14" xfId="87" applyNumberFormat="1" applyFont="1" applyFill="1" applyBorder="1" applyAlignment="1" applyProtection="1">
      <alignment horizontal="center"/>
      <protection locked="0"/>
    </xf>
    <xf numFmtId="165" fontId="25" fillId="0" borderId="15" xfId="0" applyNumberFormat="1" applyFont="1" applyBorder="1" applyAlignment="1" applyProtection="1">
      <alignment horizontal="right"/>
      <protection/>
    </xf>
    <xf numFmtId="165" fontId="27" fillId="0" borderId="117" xfId="0" applyNumberFormat="1" applyFont="1" applyBorder="1" applyAlignment="1" applyProtection="1">
      <alignment horizontal="right"/>
      <protection/>
    </xf>
    <xf numFmtId="165" fontId="25" fillId="0" borderId="118" xfId="0" applyNumberFormat="1" applyFont="1" applyBorder="1" applyAlignment="1" applyProtection="1">
      <alignment horizontal="right"/>
      <protection/>
    </xf>
    <xf numFmtId="0" fontId="0" fillId="33" borderId="14" xfId="0" applyFill="1" applyBorder="1" applyAlignment="1" applyProtection="1">
      <alignment horizontal="center"/>
      <protection/>
    </xf>
    <xf numFmtId="165" fontId="7" fillId="0" borderId="119" xfId="0" applyNumberFormat="1" applyFont="1" applyBorder="1" applyAlignment="1" applyProtection="1">
      <alignment horizontal="right"/>
      <protection/>
    </xf>
    <xf numFmtId="165" fontId="19" fillId="0" borderId="120" xfId="0" applyNumberFormat="1" applyFont="1" applyBorder="1" applyAlignment="1" applyProtection="1">
      <alignment horizontal="center"/>
      <protection/>
    </xf>
    <xf numFmtId="9" fontId="4" fillId="0" borderId="121" xfId="77" applyFont="1" applyFill="1" applyBorder="1" applyAlignment="1" applyProtection="1">
      <alignment horizontal="center" vertical="center"/>
      <protection/>
    </xf>
    <xf numFmtId="0" fontId="0" fillId="46" borderId="122" xfId="0" applyFill="1" applyBorder="1" applyAlignment="1" applyProtection="1">
      <alignment horizontal="center"/>
      <protection/>
    </xf>
    <xf numFmtId="165" fontId="35" fillId="0" borderId="123" xfId="0" applyNumberFormat="1" applyFont="1" applyBorder="1" applyAlignment="1" applyProtection="1">
      <alignment horizontal="center" wrapText="1"/>
      <protection/>
    </xf>
    <xf numFmtId="0" fontId="0" fillId="0" borderId="124" xfId="0" applyBorder="1" applyAlignment="1" applyProtection="1">
      <alignment horizontal="center"/>
      <protection/>
    </xf>
    <xf numFmtId="165" fontId="0" fillId="0" borderId="50" xfId="0" applyNumberFormat="1" applyFont="1" applyBorder="1" applyAlignment="1" applyProtection="1">
      <alignment horizontal="left"/>
      <protection/>
    </xf>
    <xf numFmtId="165" fontId="0" fillId="0" borderId="52" xfId="0" applyNumberFormat="1" applyFont="1" applyBorder="1" applyAlignment="1" applyProtection="1">
      <alignment horizontal="left"/>
      <protection/>
    </xf>
    <xf numFmtId="165" fontId="50" fillId="0" borderId="70" xfId="0" applyNumberFormat="1" applyFont="1" applyFill="1" applyBorder="1" applyAlignment="1" applyProtection="1">
      <alignment horizontal="center" vertical="center"/>
      <protection/>
    </xf>
    <xf numFmtId="169" fontId="0" fillId="37" borderId="125" xfId="0" applyNumberFormat="1" applyFont="1" applyFill="1" applyBorder="1" applyAlignment="1" applyProtection="1">
      <alignment horizontal="center" vertical="center" textRotation="90"/>
      <protection/>
    </xf>
    <xf numFmtId="0" fontId="45" fillId="38" borderId="126" xfId="0" applyNumberFormat="1" applyFont="1" applyFill="1" applyBorder="1" applyAlignment="1" applyProtection="1">
      <alignment horizontal="left" vertical="center" wrapText="1"/>
      <protection locked="0"/>
    </xf>
    <xf numFmtId="0" fontId="1" fillId="33" borderId="126" xfId="0" applyNumberFormat="1" applyFont="1" applyFill="1" applyBorder="1" applyAlignment="1" applyProtection="1">
      <alignment horizontal="center" vertical="center" wrapText="1"/>
      <protection locked="0"/>
    </xf>
    <xf numFmtId="49" fontId="1" fillId="33" borderId="127" xfId="0" applyNumberFormat="1" applyFont="1" applyFill="1" applyBorder="1" applyAlignment="1" applyProtection="1">
      <alignment horizontal="center" vertical="center" wrapText="1"/>
      <protection locked="0"/>
    </xf>
    <xf numFmtId="173" fontId="1" fillId="33" borderId="126" xfId="0" applyNumberFormat="1" applyFont="1" applyFill="1" applyBorder="1" applyAlignment="1" applyProtection="1">
      <alignment horizontal="center" vertical="center" wrapText="1"/>
      <protection locked="0"/>
    </xf>
    <xf numFmtId="173" fontId="1" fillId="38" borderId="126" xfId="0" applyNumberFormat="1" applyFont="1" applyFill="1" applyBorder="1" applyAlignment="1" applyProtection="1">
      <alignment horizontal="center" vertical="center" wrapText="1"/>
      <protection locked="0"/>
    </xf>
    <xf numFmtId="0" fontId="45" fillId="33" borderId="126" xfId="0" applyNumberFormat="1" applyFont="1" applyFill="1" applyBorder="1" applyAlignment="1" applyProtection="1">
      <alignment horizontal="left" vertical="center" wrapText="1"/>
      <protection locked="0"/>
    </xf>
    <xf numFmtId="173" fontId="1" fillId="38" borderId="69" xfId="0" applyNumberFormat="1" applyFont="1" applyFill="1" applyBorder="1" applyAlignment="1" applyProtection="1">
      <alignment horizontal="center" vertical="center" wrapText="1"/>
      <protection locked="0"/>
    </xf>
    <xf numFmtId="0" fontId="1" fillId="33" borderId="128" xfId="0" applyNumberFormat="1" applyFont="1" applyFill="1" applyBorder="1" applyAlignment="1" applyProtection="1">
      <alignment horizontal="center" vertical="center" wrapText="1"/>
      <protection locked="0"/>
    </xf>
    <xf numFmtId="49" fontId="1" fillId="33" borderId="129" xfId="0" applyNumberFormat="1" applyFont="1" applyFill="1" applyBorder="1" applyAlignment="1" applyProtection="1">
      <alignment horizontal="center" vertical="center" wrapText="1"/>
      <protection locked="0"/>
    </xf>
    <xf numFmtId="173" fontId="1" fillId="38" borderId="70" xfId="0" applyNumberFormat="1" applyFont="1" applyFill="1" applyBorder="1" applyAlignment="1" applyProtection="1">
      <alignment horizontal="center" vertical="center" wrapText="1"/>
      <protection locked="0"/>
    </xf>
    <xf numFmtId="173" fontId="1" fillId="38" borderId="130" xfId="0" applyNumberFormat="1" applyFont="1" applyFill="1" applyBorder="1" applyAlignment="1" applyProtection="1">
      <alignment horizontal="center" vertical="center" wrapText="1"/>
      <protection locked="0"/>
    </xf>
    <xf numFmtId="0" fontId="51" fillId="0" borderId="122" xfId="0" applyFont="1" applyBorder="1" applyAlignment="1">
      <alignment horizontal="center" vertical="center" wrapText="1"/>
    </xf>
    <xf numFmtId="165" fontId="2" fillId="44" borderId="0" xfId="57" applyFont="1" applyFill="1" applyBorder="1" applyAlignment="1" applyProtection="1">
      <alignment horizontal="center" vertical="center"/>
      <protection/>
    </xf>
    <xf numFmtId="165" fontId="4" fillId="35" borderId="0" xfId="69" applyFont="1" applyFill="1" applyBorder="1" applyAlignment="1" applyProtection="1">
      <alignment horizontal="center" vertical="center" wrapText="1"/>
      <protection/>
    </xf>
    <xf numFmtId="165" fontId="54" fillId="0" borderId="0" xfId="69" applyFont="1" applyFill="1" applyBorder="1" applyAlignment="1" applyProtection="1">
      <alignment horizontal="right" vertical="center"/>
      <protection/>
    </xf>
    <xf numFmtId="165" fontId="20" fillId="35" borderId="0" xfId="69" applyFont="1" applyFill="1" applyBorder="1" applyAlignment="1" applyProtection="1">
      <alignment horizontal="center" vertical="center" wrapText="1"/>
      <protection/>
    </xf>
    <xf numFmtId="165" fontId="0" fillId="0" borderId="85" xfId="87" applyNumberFormat="1" applyFont="1" applyFill="1" applyBorder="1" applyAlignment="1" applyProtection="1">
      <alignment horizontal="right"/>
      <protection/>
    </xf>
    <xf numFmtId="186" fontId="20" fillId="35" borderId="85" xfId="87" applyNumberFormat="1" applyFont="1" applyFill="1" applyBorder="1" applyAlignment="1" applyProtection="1">
      <alignment horizontal="center" vertical="center"/>
      <protection/>
    </xf>
    <xf numFmtId="165" fontId="20" fillId="35" borderId="85" xfId="87" applyNumberFormat="1" applyFont="1" applyFill="1" applyBorder="1" applyAlignment="1" applyProtection="1">
      <alignment horizontal="center"/>
      <protection/>
    </xf>
    <xf numFmtId="168" fontId="20" fillId="35" borderId="85" xfId="87" applyNumberFormat="1" applyFont="1" applyFill="1" applyBorder="1" applyAlignment="1" applyProtection="1">
      <alignment horizontal="center"/>
      <protection/>
    </xf>
    <xf numFmtId="165" fontId="58" fillId="43" borderId="85" xfId="87" applyNumberFormat="1" applyFont="1" applyFill="1" applyBorder="1" applyAlignment="1" applyProtection="1">
      <alignment horizontal="center"/>
      <protection/>
    </xf>
    <xf numFmtId="0" fontId="63" fillId="33" borderId="14" xfId="0" applyFont="1" applyFill="1" applyBorder="1" applyAlignment="1" applyProtection="1">
      <alignment horizontal="left" wrapText="1"/>
      <protection locked="0"/>
    </xf>
    <xf numFmtId="165" fontId="22" fillId="0" borderId="0" xfId="0" applyNumberFormat="1" applyFont="1" applyBorder="1" applyAlignment="1" applyProtection="1">
      <alignment horizontal="left"/>
      <protection/>
    </xf>
    <xf numFmtId="165" fontId="19" fillId="0" borderId="0" xfId="0" applyNumberFormat="1" applyFont="1" applyBorder="1" applyAlignment="1" applyProtection="1">
      <alignment horizontal="center"/>
      <protection/>
    </xf>
    <xf numFmtId="165" fontId="22" fillId="0" borderId="0" xfId="0" applyNumberFormat="1" applyFont="1" applyBorder="1" applyAlignment="1" applyProtection="1">
      <alignment horizontal="right"/>
      <protection/>
    </xf>
    <xf numFmtId="165" fontId="26" fillId="43" borderId="0" xfId="87" applyNumberFormat="1" applyFont="1" applyFill="1" applyBorder="1" applyAlignment="1" applyProtection="1">
      <alignment horizontal="center"/>
      <protection/>
    </xf>
    <xf numFmtId="165" fontId="66" fillId="0" borderId="122" xfId="0" applyNumberFormat="1" applyFont="1" applyBorder="1" applyAlignment="1" applyProtection="1">
      <alignment horizontal="center" vertical="center" wrapText="1"/>
      <protection/>
    </xf>
    <xf numFmtId="0" fontId="0" fillId="0" borderId="131" xfId="0" applyBorder="1" applyAlignment="1" applyProtection="1">
      <alignment horizontal="center"/>
      <protection/>
    </xf>
    <xf numFmtId="0" fontId="67" fillId="0" borderId="132" xfId="0" applyFont="1" applyFill="1" applyBorder="1" applyAlignment="1" applyProtection="1">
      <alignment horizontal="left" wrapText="1"/>
      <protection/>
    </xf>
    <xf numFmtId="0" fontId="67" fillId="0" borderId="133" xfId="0" applyFont="1" applyFill="1" applyBorder="1" applyAlignment="1" applyProtection="1">
      <alignment horizontal="left" wrapText="1"/>
      <protection/>
    </xf>
    <xf numFmtId="165" fontId="19" fillId="0" borderId="0" xfId="0" applyNumberFormat="1" applyFont="1" applyBorder="1" applyAlignment="1" applyProtection="1">
      <alignment horizontal="center" wrapText="1"/>
      <protection/>
    </xf>
    <xf numFmtId="0" fontId="61" fillId="0" borderId="0" xfId="0" applyFont="1" applyBorder="1" applyAlignment="1" applyProtection="1">
      <alignment horizontal="center"/>
      <protection/>
    </xf>
    <xf numFmtId="0" fontId="64" fillId="33" borderId="14" xfId="0" applyFont="1" applyFill="1" applyBorder="1" applyAlignment="1" applyProtection="1">
      <alignment horizontal="left" wrapText="1"/>
      <protection locked="0"/>
    </xf>
    <xf numFmtId="165" fontId="23" fillId="44" borderId="0" xfId="67" applyFont="1" applyFill="1" applyBorder="1" applyAlignment="1">
      <alignment horizontal="center" vertical="center"/>
      <protection/>
    </xf>
    <xf numFmtId="165" fontId="22" fillId="0" borderId="0" xfId="0" applyNumberFormat="1" applyFont="1" applyBorder="1" applyAlignment="1">
      <alignment horizontal="left"/>
    </xf>
    <xf numFmtId="165" fontId="19" fillId="0" borderId="0" xfId="0" applyNumberFormat="1" applyFont="1" applyBorder="1" applyAlignment="1">
      <alignment horizontal="center"/>
    </xf>
    <xf numFmtId="165" fontId="22" fillId="0" borderId="0" xfId="0" applyNumberFormat="1" applyFont="1" applyBorder="1" applyAlignment="1">
      <alignment horizontal="right"/>
    </xf>
    <xf numFmtId="0" fontId="0" fillId="33" borderId="14" xfId="0" applyFont="1" applyFill="1" applyBorder="1" applyAlignment="1" applyProtection="1">
      <alignment horizontal="left" wrapText="1"/>
      <protection locked="0"/>
    </xf>
    <xf numFmtId="0" fontId="68" fillId="33" borderId="14" xfId="0" applyFont="1" applyFill="1" applyBorder="1" applyAlignment="1" applyProtection="1">
      <alignment horizontal="left" wrapText="1"/>
      <protection locked="0"/>
    </xf>
    <xf numFmtId="0" fontId="54" fillId="33" borderId="14" xfId="0" applyFont="1" applyFill="1" applyBorder="1" applyAlignment="1" applyProtection="1">
      <alignment horizontal="left" wrapText="1"/>
      <protection locked="0"/>
    </xf>
    <xf numFmtId="0" fontId="69" fillId="0" borderId="0" xfId="0" applyFont="1" applyBorder="1" applyAlignment="1">
      <alignment horizontal="left" wrapText="1"/>
    </xf>
    <xf numFmtId="0" fontId="61" fillId="0" borderId="0" xfId="0" applyFont="1" applyBorder="1" applyAlignment="1">
      <alignment horizontal="center"/>
    </xf>
    <xf numFmtId="0" fontId="19" fillId="0" borderId="0" xfId="0" applyFont="1" applyBorder="1" applyAlignment="1">
      <alignment horizontal="center"/>
    </xf>
    <xf numFmtId="165" fontId="23" fillId="44" borderId="0" xfId="67" applyFont="1" applyFill="1" applyBorder="1" applyAlignment="1" applyProtection="1">
      <alignment horizontal="center" vertical="center"/>
      <protection/>
    </xf>
    <xf numFmtId="165" fontId="26" fillId="43" borderId="0" xfId="88" applyNumberFormat="1" applyFont="1" applyFill="1" applyBorder="1" applyAlignment="1" applyProtection="1">
      <alignment horizontal="center"/>
      <protection/>
    </xf>
    <xf numFmtId="165" fontId="61" fillId="0" borderId="0" xfId="0" applyNumberFormat="1" applyFont="1" applyBorder="1" applyAlignment="1" applyProtection="1">
      <alignment horizontal="center"/>
      <protection/>
    </xf>
    <xf numFmtId="0" fontId="63" fillId="0" borderId="115" xfId="0" applyFont="1" applyBorder="1" applyAlignment="1" applyProtection="1">
      <alignment horizontal="left" vertical="center" wrapText="1"/>
      <protection/>
    </xf>
    <xf numFmtId="0" fontId="63" fillId="33" borderId="14" xfId="0" applyFont="1" applyFill="1" applyBorder="1" applyAlignment="1" applyProtection="1">
      <alignment horizontal="left" vertical="center" wrapText="1"/>
      <protection locked="0"/>
    </xf>
    <xf numFmtId="0" fontId="4" fillId="0" borderId="76" xfId="0" applyFont="1" applyBorder="1" applyAlignment="1" applyProtection="1">
      <alignment horizontal="center"/>
      <protection/>
    </xf>
    <xf numFmtId="0" fontId="63" fillId="0" borderId="14" xfId="0" applyFont="1" applyBorder="1" applyAlignment="1" applyProtection="1">
      <alignment horizontal="center" vertical="center" wrapText="1"/>
      <protection/>
    </xf>
    <xf numFmtId="9" fontId="62" fillId="46" borderId="14" xfId="77" applyFont="1" applyFill="1" applyBorder="1" applyAlignment="1" applyProtection="1">
      <alignment horizontal="center" vertical="center" wrapText="1"/>
      <protection/>
    </xf>
    <xf numFmtId="9" fontId="62" fillId="47" borderId="14" xfId="77" applyFont="1" applyFill="1" applyBorder="1" applyAlignment="1" applyProtection="1">
      <alignment horizontal="center" vertical="center" wrapText="1"/>
      <protection/>
    </xf>
    <xf numFmtId="0" fontId="63" fillId="0" borderId="14" xfId="0" applyFont="1" applyBorder="1" applyAlignment="1" applyProtection="1">
      <alignment horizontal="center" vertical="center"/>
      <protection/>
    </xf>
    <xf numFmtId="0" fontId="0" fillId="0" borderId="14" xfId="0" applyFont="1" applyBorder="1" applyAlignment="1" applyProtection="1">
      <alignment vertical="center" wrapText="1"/>
      <protection/>
    </xf>
    <xf numFmtId="9" fontId="22" fillId="0" borderId="14" xfId="77" applyFont="1" applyFill="1" applyBorder="1" applyAlignment="1" applyProtection="1">
      <alignment horizontal="center" vertical="center" wrapText="1"/>
      <protection/>
    </xf>
    <xf numFmtId="9" fontId="54" fillId="33" borderId="64" xfId="77" applyFont="1" applyFill="1" applyBorder="1" applyAlignment="1" applyProtection="1">
      <alignment horizontal="left" vertical="center" wrapText="1"/>
      <protection locked="0"/>
    </xf>
    <xf numFmtId="0" fontId="72" fillId="37" borderId="14" xfId="0" applyFont="1" applyFill="1" applyBorder="1" applyAlignment="1" applyProtection="1">
      <alignment horizontal="center" vertical="center" wrapText="1"/>
      <protection/>
    </xf>
    <xf numFmtId="9" fontId="54" fillId="33" borderId="14" xfId="77" applyFont="1" applyFill="1" applyBorder="1" applyAlignment="1" applyProtection="1">
      <alignment horizontal="left" vertical="center" wrapText="1"/>
      <protection locked="0"/>
    </xf>
    <xf numFmtId="0" fontId="63" fillId="0" borderId="14" xfId="0" applyFont="1" applyBorder="1" applyAlignment="1" applyProtection="1">
      <alignment vertical="center" wrapText="1"/>
      <protection/>
    </xf>
    <xf numFmtId="0" fontId="63" fillId="36" borderId="0" xfId="0" applyFont="1" applyFill="1" applyBorder="1" applyAlignment="1" applyProtection="1">
      <alignment horizontal="center" vertical="center" wrapText="1"/>
      <protection/>
    </xf>
    <xf numFmtId="0" fontId="63" fillId="36" borderId="115" xfId="0" applyFont="1" applyFill="1" applyBorder="1" applyAlignment="1" applyProtection="1">
      <alignment horizontal="left" vertical="center" wrapText="1"/>
      <protection/>
    </xf>
    <xf numFmtId="0" fontId="63" fillId="36" borderId="115" xfId="0" applyFont="1" applyFill="1" applyBorder="1" applyAlignment="1" applyProtection="1">
      <alignment horizontal="left"/>
      <protection/>
    </xf>
    <xf numFmtId="0" fontId="63" fillId="36" borderId="0" xfId="0" applyFont="1" applyFill="1" applyBorder="1" applyAlignment="1" applyProtection="1">
      <alignment horizontal="left"/>
      <protection/>
    </xf>
    <xf numFmtId="0" fontId="63" fillId="36" borderId="93" xfId="0" applyFont="1" applyFill="1" applyBorder="1" applyAlignment="1" applyProtection="1">
      <alignment horizontal="left"/>
      <protection locked="0"/>
    </xf>
    <xf numFmtId="0" fontId="63" fillId="36" borderId="134" xfId="0" applyFont="1" applyFill="1" applyBorder="1" applyAlignment="1" applyProtection="1">
      <alignment horizontal="left"/>
      <protection locked="0"/>
    </xf>
    <xf numFmtId="0" fontId="63" fillId="36" borderId="135" xfId="0" applyFont="1" applyFill="1" applyBorder="1" applyAlignment="1" applyProtection="1">
      <alignment horizontal="left"/>
      <protection locked="0"/>
    </xf>
    <xf numFmtId="165" fontId="4" fillId="0" borderId="0" xfId="0" applyNumberFormat="1" applyFont="1" applyBorder="1" applyAlignment="1" applyProtection="1">
      <alignment horizontal="center"/>
      <protection/>
    </xf>
    <xf numFmtId="173" fontId="61" fillId="0" borderId="0" xfId="0" applyNumberFormat="1" applyFont="1" applyBorder="1" applyAlignment="1" applyProtection="1">
      <alignment horizontal="center"/>
      <protection/>
    </xf>
    <xf numFmtId="173" fontId="75" fillId="37" borderId="113" xfId="0" applyNumberFormat="1" applyFont="1" applyFill="1" applyBorder="1" applyAlignment="1" applyProtection="1">
      <alignment horizontal="center" vertical="center"/>
      <protection/>
    </xf>
    <xf numFmtId="173" fontId="77" fillId="0" borderId="0" xfId="0" applyNumberFormat="1" applyFont="1" applyFill="1" applyBorder="1" applyAlignment="1" applyProtection="1">
      <alignment horizontal="center"/>
      <protection/>
    </xf>
    <xf numFmtId="173" fontId="78" fillId="34" borderId="17" xfId="0" applyNumberFormat="1" applyFont="1" applyFill="1" applyBorder="1" applyAlignment="1" applyProtection="1">
      <alignment horizontal="center" vertical="center"/>
      <protection/>
    </xf>
    <xf numFmtId="0" fontId="8" fillId="0" borderId="136" xfId="0" applyNumberFormat="1" applyFont="1" applyFill="1" applyBorder="1" applyAlignment="1" applyProtection="1">
      <alignment horizontal="left" vertical="top" wrapText="1"/>
      <protection/>
    </xf>
    <xf numFmtId="49" fontId="1" fillId="34" borderId="137" xfId="0" applyNumberFormat="1" applyFont="1" applyFill="1" applyBorder="1" applyAlignment="1" applyProtection="1">
      <alignment horizontal="center" vertical="center"/>
      <protection locked="0"/>
    </xf>
    <xf numFmtId="49" fontId="1" fillId="34" borderId="138" xfId="0" applyNumberFormat="1" applyFont="1" applyFill="1" applyBorder="1" applyAlignment="1" applyProtection="1">
      <alignment horizontal="center" vertical="center" wrapText="1"/>
      <protection locked="0"/>
    </xf>
    <xf numFmtId="49" fontId="1" fillId="34" borderId="138" xfId="0" applyNumberFormat="1" applyFont="1" applyFill="1" applyBorder="1" applyAlignment="1" applyProtection="1">
      <alignment horizontal="center" vertical="center"/>
      <protection locked="0"/>
    </xf>
    <xf numFmtId="0" fontId="8" fillId="0" borderId="139" xfId="0" applyNumberFormat="1" applyFont="1" applyFill="1" applyBorder="1" applyAlignment="1" applyProtection="1">
      <alignment horizontal="left" vertical="top" wrapText="1"/>
      <protection/>
    </xf>
    <xf numFmtId="49" fontId="1" fillId="34" borderId="140" xfId="0" applyNumberFormat="1" applyFont="1" applyFill="1" applyBorder="1" applyAlignment="1" applyProtection="1">
      <alignment horizontal="center" vertical="center"/>
      <protection locked="0"/>
    </xf>
    <xf numFmtId="173" fontId="77" fillId="0" borderId="141" xfId="0" applyNumberFormat="1" applyFont="1" applyFill="1" applyBorder="1" applyAlignment="1" applyProtection="1">
      <alignment horizontal="center"/>
      <protection/>
    </xf>
    <xf numFmtId="173" fontId="89" fillId="35" borderId="142" xfId="0" applyNumberFormat="1" applyFont="1" applyFill="1" applyBorder="1" applyAlignment="1" applyProtection="1">
      <alignment horizontal="center" vertical="center"/>
      <protection/>
    </xf>
    <xf numFmtId="173" fontId="89" fillId="35" borderId="143" xfId="0" applyNumberFormat="1" applyFont="1" applyFill="1" applyBorder="1" applyAlignment="1" applyProtection="1">
      <alignment horizontal="center" vertical="center"/>
      <protection/>
    </xf>
    <xf numFmtId="0" fontId="8" fillId="0" borderId="144" xfId="0" applyNumberFormat="1" applyFont="1" applyFill="1" applyBorder="1" applyAlignment="1" applyProtection="1">
      <alignment horizontal="left" vertical="top" wrapText="1"/>
      <protection/>
    </xf>
    <xf numFmtId="0" fontId="1" fillId="35" borderId="145" xfId="0" applyFont="1" applyFill="1" applyBorder="1" applyAlignment="1" applyProtection="1">
      <alignment horizontal="center" vertical="top" wrapText="1"/>
      <protection locked="0"/>
    </xf>
    <xf numFmtId="0" fontId="8" fillId="0" borderId="146" xfId="0" applyNumberFormat="1" applyFont="1" applyFill="1" applyBorder="1" applyAlignment="1" applyProtection="1">
      <alignment horizontal="left" vertical="top" wrapText="1"/>
      <protection/>
    </xf>
    <xf numFmtId="0" fontId="1" fillId="35" borderId="147" xfId="0" applyFont="1" applyFill="1" applyBorder="1" applyAlignment="1" applyProtection="1">
      <alignment horizontal="center" vertical="top" wrapText="1"/>
      <protection locked="0"/>
    </xf>
    <xf numFmtId="0" fontId="8" fillId="0" borderId="148" xfId="0" applyNumberFormat="1" applyFont="1" applyFill="1" applyBorder="1" applyAlignment="1" applyProtection="1">
      <alignment horizontal="left" vertical="top" wrapText="1"/>
      <protection/>
    </xf>
    <xf numFmtId="0" fontId="1" fillId="35" borderId="149" xfId="0" applyFont="1" applyFill="1" applyBorder="1" applyAlignment="1" applyProtection="1">
      <alignment horizontal="center" vertical="top" wrapText="1"/>
      <protection locked="0"/>
    </xf>
    <xf numFmtId="173" fontId="77" fillId="0" borderId="150" xfId="0" applyNumberFormat="1" applyFont="1" applyFill="1" applyBorder="1" applyAlignment="1" applyProtection="1">
      <alignment horizontal="center"/>
      <protection/>
    </xf>
    <xf numFmtId="173" fontId="78" fillId="33" borderId="69" xfId="0" applyNumberFormat="1" applyFont="1" applyFill="1" applyBorder="1" applyAlignment="1" applyProtection="1">
      <alignment horizontal="center" vertical="center"/>
      <protection/>
    </xf>
    <xf numFmtId="0" fontId="8" fillId="0" borderId="151" xfId="0" applyNumberFormat="1" applyFont="1" applyFill="1" applyBorder="1" applyAlignment="1" applyProtection="1">
      <alignment horizontal="left" vertical="center" wrapText="1"/>
      <protection/>
    </xf>
    <xf numFmtId="0" fontId="1" fillId="33" borderId="152" xfId="0" applyFont="1" applyFill="1" applyBorder="1" applyAlignment="1" applyProtection="1">
      <alignment horizontal="center" vertical="top" wrapText="1"/>
      <protection locked="0"/>
    </xf>
    <xf numFmtId="0" fontId="1" fillId="0" borderId="153" xfId="77" applyNumberFormat="1" applyFont="1" applyFill="1" applyBorder="1" applyAlignment="1" applyProtection="1">
      <alignment horizontal="left" vertical="center" wrapText="1"/>
      <protection/>
    </xf>
    <xf numFmtId="0" fontId="1" fillId="33" borderId="154" xfId="0" applyFont="1" applyFill="1" applyBorder="1" applyAlignment="1" applyProtection="1">
      <alignment horizontal="center" vertical="top" wrapText="1"/>
      <protection locked="0"/>
    </xf>
    <xf numFmtId="9" fontId="1" fillId="0" borderId="153" xfId="77" applyNumberFormat="1" applyFont="1" applyFill="1" applyBorder="1" applyAlignment="1" applyProtection="1">
      <alignment horizontal="left" vertical="center" wrapText="1"/>
      <protection/>
    </xf>
    <xf numFmtId="0" fontId="1" fillId="33" borderId="155" xfId="0" applyFont="1" applyFill="1" applyBorder="1" applyAlignment="1" applyProtection="1">
      <alignment horizontal="center" vertical="top" wrapText="1"/>
      <protection locked="0"/>
    </xf>
    <xf numFmtId="165" fontId="26" fillId="43" borderId="0" xfId="89" applyNumberFormat="1" applyFont="1" applyFill="1" applyBorder="1" applyAlignment="1" applyProtection="1">
      <alignment horizontal="center"/>
      <protection locked="0"/>
    </xf>
    <xf numFmtId="0" fontId="0" fillId="33" borderId="14" xfId="0" applyFill="1" applyBorder="1" applyAlignment="1" applyProtection="1">
      <alignment horizontal="center"/>
      <protection locked="0"/>
    </xf>
    <xf numFmtId="0" fontId="96" fillId="42" borderId="156" xfId="74" applyNumberFormat="1" applyFont="1" applyFill="1" applyBorder="1" applyAlignment="1">
      <alignment horizontal="center" vertical="center" wrapText="1"/>
      <protection/>
    </xf>
    <xf numFmtId="0" fontId="96" fillId="42" borderId="157" xfId="74" applyNumberFormat="1" applyFont="1" applyFill="1" applyBorder="1" applyAlignment="1">
      <alignment horizontal="center" vertical="center" wrapText="1"/>
      <protection/>
    </xf>
    <xf numFmtId="0" fontId="96" fillId="42" borderId="158" xfId="74" applyNumberFormat="1" applyFont="1" applyFill="1" applyBorder="1" applyAlignment="1">
      <alignment horizontal="center" vertical="center" wrapText="1"/>
      <protection/>
    </xf>
    <xf numFmtId="0" fontId="97" fillId="42" borderId="14" xfId="0" applyNumberFormat="1" applyFont="1" applyFill="1" applyBorder="1" applyAlignment="1">
      <alignment horizontal="center" vertical="center" textRotation="90"/>
    </xf>
    <xf numFmtId="0" fontId="35" fillId="0" borderId="159" xfId="0" applyFont="1" applyFill="1" applyBorder="1" applyAlignment="1" applyProtection="1">
      <alignment horizontal="left" vertical="center" wrapText="1"/>
      <protection locked="0"/>
    </xf>
    <xf numFmtId="0" fontId="35" fillId="0" borderId="160" xfId="0" applyFont="1" applyFill="1" applyBorder="1" applyAlignment="1" applyProtection="1">
      <alignment horizontal="left" wrapText="1"/>
      <protection locked="0"/>
    </xf>
    <xf numFmtId="0" fontId="35" fillId="0" borderId="161" xfId="0" applyFont="1" applyFill="1" applyBorder="1" applyAlignment="1" applyProtection="1">
      <alignment horizontal="left" wrapText="1"/>
      <protection locked="0"/>
    </xf>
    <xf numFmtId="0" fontId="35" fillId="0" borderId="162" xfId="0" applyFont="1" applyFill="1" applyBorder="1" applyAlignment="1" applyProtection="1">
      <alignment horizontal="left" wrapText="1"/>
      <protection locked="0"/>
    </xf>
    <xf numFmtId="0" fontId="35" fillId="0" borderId="163" xfId="0" applyFont="1" applyFill="1" applyBorder="1" applyAlignment="1" applyProtection="1">
      <alignment horizontal="left" wrapText="1"/>
      <protection locked="0"/>
    </xf>
    <xf numFmtId="0" fontId="35" fillId="0" borderId="164" xfId="0" applyFont="1" applyFill="1" applyBorder="1" applyAlignment="1" applyProtection="1">
      <alignment horizontal="left" wrapText="1"/>
      <protection locked="0"/>
    </xf>
    <xf numFmtId="0" fontId="35" fillId="0" borderId="165" xfId="0" applyFont="1" applyFill="1" applyBorder="1" applyAlignment="1" applyProtection="1">
      <alignment horizontal="left"/>
      <protection locked="0"/>
    </xf>
    <xf numFmtId="0" fontId="35" fillId="0" borderId="163" xfId="0" applyFont="1" applyFill="1" applyBorder="1" applyAlignment="1" applyProtection="1">
      <alignment horizontal="left" vertical="top" wrapText="1"/>
      <protection locked="0"/>
    </xf>
    <xf numFmtId="0" fontId="35" fillId="0" borderId="164" xfId="0" applyFont="1" applyFill="1" applyBorder="1" applyAlignment="1" applyProtection="1">
      <alignment horizontal="left"/>
      <protection locked="0"/>
    </xf>
    <xf numFmtId="0" fontId="35" fillId="0" borderId="163" xfId="0" applyFont="1" applyFill="1" applyBorder="1" applyAlignment="1" applyProtection="1">
      <alignment horizontal="left"/>
      <protection locked="0"/>
    </xf>
    <xf numFmtId="0" fontId="35" fillId="0" borderId="166" xfId="0" applyFont="1" applyFill="1" applyBorder="1" applyAlignment="1" applyProtection="1">
      <alignment horizontal="left" vertical="center" wrapText="1"/>
      <protection locked="0"/>
    </xf>
    <xf numFmtId="0" fontId="35" fillId="0" borderId="167" xfId="0" applyFont="1" applyFill="1" applyBorder="1" applyAlignment="1" applyProtection="1">
      <alignment horizontal="left"/>
      <protection locked="0"/>
    </xf>
    <xf numFmtId="0" fontId="35" fillId="0" borderId="168" xfId="0" applyFont="1" applyFill="1" applyBorder="1" applyAlignment="1" applyProtection="1">
      <alignment horizontal="left"/>
      <protection locked="0"/>
    </xf>
    <xf numFmtId="0" fontId="35" fillId="0" borderId="169" xfId="0" applyFont="1" applyFill="1" applyBorder="1" applyAlignment="1" applyProtection="1">
      <alignment horizontal="left"/>
      <protection locked="0"/>
    </xf>
    <xf numFmtId="0" fontId="35" fillId="0" borderId="170" xfId="0" applyFont="1" applyFill="1" applyBorder="1" applyAlignment="1" applyProtection="1">
      <alignment horizontal="left" vertical="top" wrapText="1"/>
      <protection locked="0"/>
    </xf>
    <xf numFmtId="0" fontId="35" fillId="0" borderId="171" xfId="0" applyFont="1" applyBorder="1" applyAlignment="1" applyProtection="1">
      <alignment horizontal="left"/>
      <protection locked="0"/>
    </xf>
    <xf numFmtId="0" fontId="35" fillId="0" borderId="109" xfId="0" applyFont="1" applyBorder="1" applyAlignment="1" applyProtection="1">
      <alignment horizontal="left"/>
      <protection locked="0"/>
    </xf>
    <xf numFmtId="0" fontId="35" fillId="0" borderId="172" xfId="0" applyFont="1" applyBorder="1" applyAlignment="1" applyProtection="1">
      <alignment horizontal="left"/>
      <protection locked="0"/>
    </xf>
    <xf numFmtId="0" fontId="35" fillId="0" borderId="173" xfId="0" applyFont="1" applyFill="1" applyBorder="1" applyAlignment="1" applyProtection="1">
      <alignment horizontal="left"/>
      <protection locked="0"/>
    </xf>
    <xf numFmtId="0" fontId="35" fillId="0" borderId="163" xfId="0" applyFont="1" applyBorder="1" applyAlignment="1" applyProtection="1">
      <alignment horizontal="left"/>
      <protection locked="0"/>
    </xf>
    <xf numFmtId="0" fontId="35" fillId="0" borderId="164" xfId="0" applyFont="1" applyBorder="1" applyAlignment="1" applyProtection="1">
      <alignment horizontal="left"/>
      <protection locked="0"/>
    </xf>
    <xf numFmtId="0" fontId="35" fillId="0" borderId="165" xfId="0" applyFont="1" applyBorder="1" applyAlignment="1" applyProtection="1">
      <alignment horizontal="left"/>
      <protection locked="0"/>
    </xf>
    <xf numFmtId="0" fontId="35" fillId="0" borderId="174" xfId="0" applyFont="1" applyFill="1" applyBorder="1" applyAlignment="1" applyProtection="1">
      <alignment horizontal="left"/>
      <protection locked="0"/>
    </xf>
    <xf numFmtId="0" fontId="35" fillId="0" borderId="167" xfId="0" applyFont="1" applyBorder="1" applyAlignment="1" applyProtection="1">
      <alignment horizontal="left"/>
      <protection locked="0"/>
    </xf>
    <xf numFmtId="0" fontId="35" fillId="0" borderId="168" xfId="0" applyFont="1" applyBorder="1" applyAlignment="1" applyProtection="1">
      <alignment horizontal="left"/>
      <protection locked="0"/>
    </xf>
    <xf numFmtId="0" fontId="35" fillId="0" borderId="169" xfId="0" applyFont="1" applyBorder="1" applyAlignment="1" applyProtection="1">
      <alignment horizontal="left"/>
      <protection locked="0"/>
    </xf>
    <xf numFmtId="165" fontId="2" fillId="44" borderId="0" xfId="57" applyFont="1" applyFill="1" applyBorder="1" applyAlignment="1">
      <alignment horizontal="center" vertical="center"/>
      <protection/>
    </xf>
    <xf numFmtId="0" fontId="4" fillId="0" borderId="0" xfId="0" applyFont="1" applyBorder="1" applyAlignment="1">
      <alignment horizontal="center"/>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Millares 2" xfId="55"/>
    <cellStyle name="Neutral" xfId="56"/>
    <cellStyle name="Normal 2" xfId="57"/>
    <cellStyle name="Normal 2 2" xfId="58"/>
    <cellStyle name="Normal 2 3" xfId="59"/>
    <cellStyle name="Normal 2 4" xfId="60"/>
    <cellStyle name="Normal 2 5" xfId="61"/>
    <cellStyle name="Normal 2 6" xfId="62"/>
    <cellStyle name="Normal 2 7" xfId="63"/>
    <cellStyle name="Normal 2 8" xfId="64"/>
    <cellStyle name="Normal 2_Dashboard ver 2.2 ES" xfId="65"/>
    <cellStyle name="Normal 2_Ficticia HIV Dashboard_ES - Set Up and Maintenance Guide" xfId="66"/>
    <cellStyle name="Normal 2_Prototipo" xfId="67"/>
    <cellStyle name="Normal 3" xfId="68"/>
    <cellStyle name="Normal 4" xfId="69"/>
    <cellStyle name="Normal 5" xfId="70"/>
    <cellStyle name="Normal 6" xfId="71"/>
    <cellStyle name="Normal 7" xfId="72"/>
    <cellStyle name="Normal 8" xfId="73"/>
    <cellStyle name="Normal_TZ_R3HIV_Phase_2_21_August_08" xfId="74"/>
    <cellStyle name="Note" xfId="75"/>
    <cellStyle name="Output" xfId="76"/>
    <cellStyle name="Percent" xfId="77"/>
    <cellStyle name="Porcentual 2" xfId="78"/>
    <cellStyle name="Porcentual 3" xfId="79"/>
    <cellStyle name="Porcentual 4" xfId="80"/>
    <cellStyle name="Porcentual 5" xfId="81"/>
    <cellStyle name="Porcentual 6" xfId="82"/>
    <cellStyle name="Porcentual 7" xfId="83"/>
    <cellStyle name="Porcentual 8" xfId="84"/>
    <cellStyle name="Title" xfId="85"/>
    <cellStyle name="Título 3 2" xfId="86"/>
    <cellStyle name="Título 3 3" xfId="87"/>
    <cellStyle name="Título 3 3_Prototipo" xfId="88"/>
    <cellStyle name="Título 3 3_PrototipoRep1" xfId="89"/>
    <cellStyle name="Título 3 4" xfId="90"/>
    <cellStyle name="Título 3 5" xfId="91"/>
    <cellStyle name="Título 3 6" xfId="92"/>
    <cellStyle name="Título 3 7" xfId="93"/>
    <cellStyle name="Título 3 8" xfId="94"/>
    <cellStyle name="Total" xfId="95"/>
    <cellStyle name="Warning Text" xfId="96"/>
  </cellStyles>
  <dxfs count="50">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i val="0"/>
        <sz val="11"/>
        <color indexed="8"/>
      </font>
      <fill>
        <patternFill patternType="solid">
          <fgColor indexed="49"/>
          <bgColor indexed="11"/>
        </patternFill>
      </fill>
    </dxf>
    <dxf>
      <font>
        <b/>
        <i val="0"/>
        <sz val="11"/>
        <color indexed="8"/>
      </font>
      <fill>
        <patternFill patternType="solid">
          <fgColor indexed="34"/>
          <bgColor indexed="13"/>
        </patternFill>
      </fill>
    </dxf>
    <dxf>
      <font>
        <b/>
        <i val="0"/>
        <sz val="11"/>
        <color indexed="9"/>
      </font>
      <fill>
        <patternFill patternType="solid">
          <fgColor indexed="29"/>
          <bgColor indexed="61"/>
        </patternFill>
      </fill>
    </dxf>
    <dxf>
      <font>
        <b/>
        <i val="0"/>
        <sz val="11"/>
        <color indexed="8"/>
      </font>
      <fill>
        <patternFill patternType="solid">
          <fgColor indexed="49"/>
          <bgColor indexed="11"/>
        </patternFill>
      </fill>
    </dxf>
    <dxf>
      <font>
        <b/>
        <i val="0"/>
        <sz val="11"/>
        <color indexed="8"/>
      </font>
      <fill>
        <patternFill patternType="solid">
          <fgColor indexed="34"/>
          <bgColor indexed="13"/>
        </patternFill>
      </fill>
    </dxf>
    <dxf>
      <font>
        <b/>
        <i val="0"/>
        <sz val="11"/>
        <color indexed="9"/>
      </font>
      <fill>
        <patternFill patternType="solid">
          <fgColor indexed="29"/>
          <bgColor indexed="61"/>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i val="0"/>
        <sz val="11"/>
        <color indexed="8"/>
      </font>
      <fill>
        <patternFill patternType="solid">
          <fgColor indexed="34"/>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9"/>
      </font>
      <fill>
        <patternFill patternType="solid">
          <fgColor indexed="61"/>
          <bgColor indexed="29"/>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8"/>
      </font>
      <fill>
        <patternFill patternType="solid">
          <fgColor indexed="26"/>
          <bgColor indexed="9"/>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61"/>
          <bgColor indexed="29"/>
        </patternFill>
      </fill>
    </dxf>
    <dxf>
      <font>
        <b val="0"/>
        <sz val="11"/>
        <color indexed="8"/>
      </font>
      <fill>
        <patternFill patternType="solid">
          <fgColor indexed="49"/>
          <bgColor indexed="11"/>
        </patternFill>
      </fill>
    </dxf>
    <dxf>
      <font>
        <b val="0"/>
        <sz val="11"/>
        <color indexed="9"/>
      </font>
      <fill>
        <patternFill patternType="solid">
          <fgColor indexed="32"/>
          <bgColor indexed="8"/>
        </patternFill>
      </fill>
    </dxf>
    <dxf>
      <font>
        <b val="0"/>
        <sz val="11"/>
        <color indexed="8"/>
      </font>
      <fill>
        <patternFill patternType="solid">
          <fgColor indexed="41"/>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FF5050"/>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FF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FF00"/>
          <bgColor rgb="FFFFFF00"/>
        </patternFill>
      </fill>
      <border/>
    </dxf>
    <dxf>
      <font>
        <b/>
        <i val="0"/>
        <sz val="11"/>
        <color rgb="FFFFFFFF"/>
      </font>
      <fill>
        <patternFill patternType="solid">
          <fgColor rgb="FFFF7171"/>
          <bgColor rgb="FFFF5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F00"/>
      <rgbColor rgb="0000FFFF"/>
      <rgbColor rgb="00800080"/>
      <rgbColor rgb="00800000"/>
      <rgbColor rgb="00008080"/>
      <rgbColor rgb="000000FF"/>
      <rgbColor rgb="0000CCFF"/>
      <rgbColor rgb="00FFF88F"/>
      <rgbColor rgb="00CCFFCC"/>
      <rgbColor rgb="00FFFF99"/>
      <rgbColor rgb="0099CCFF"/>
      <rgbColor rgb="00FF99CC"/>
      <rgbColor rgb="00CC99FF"/>
      <rgbColor rgb="00FFCC99"/>
      <rgbColor rgb="003366FF"/>
      <rgbColor rgb="0033CC33"/>
      <rgbColor rgb="0099CC00"/>
      <rgbColor rgb="00FFCC00"/>
      <rgbColor rgb="00FF9900"/>
      <rgbColor rgb="00FF6600"/>
      <rgbColor rgb="00376092"/>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8"/>
          <c:w val="0.95025"/>
          <c:h val="0.7567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3776587</c:v>
                </c:pt>
                <c:pt idx="1">
                  <c:v>4323313</c:v>
                </c:pt>
                <c:pt idx="2">
                  <c:v>5061801</c:v>
                </c:pt>
                <c:pt idx="3">
                  <c:v>8448011</c:v>
                </c:pt>
                <c:pt idx="4">
                  <c:v>11692451</c:v>
                </c:pt>
                <c:pt idx="5">
                  <c:v>12014372</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4638823.7</c:v>
                </c:pt>
                <c:pt idx="1">
                  <c:v>5580301.7700000005</c:v>
                </c:pt>
                <c:pt idx="2">
                  <c:v>8362338.7700000005</c:v>
                </c:pt>
                <c:pt idx="3">
                  <c:v>8362338.7700000005</c:v>
                </c:pt>
                <c:pt idx="4">
                  <c:v>8362338.7700000005</c:v>
                </c:pt>
                <c:pt idx="5">
                  <c:v>8362338.7700000005</c:v>
                </c:pt>
                <c:pt idx="6">
                  <c:v>0</c:v>
                </c:pt>
                <c:pt idx="7">
                  <c:v>0</c:v>
                </c:pt>
                <c:pt idx="8">
                  <c:v>0</c:v>
                </c:pt>
                <c:pt idx="9">
                  <c:v>0</c:v>
                </c:pt>
                <c:pt idx="10">
                  <c:v>0</c:v>
                </c:pt>
                <c:pt idx="11">
                  <c:v>0</c:v>
                </c:pt>
              </c:numCache>
            </c:numRef>
          </c:val>
        </c:ser>
        <c:gapWidth val="70"/>
        <c:axId val="44583424"/>
        <c:axId val="65706497"/>
      </c:barChart>
      <c:catAx>
        <c:axId val="44583424"/>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135"/>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65706497"/>
        <c:crossesAt val="0"/>
        <c:auto val="1"/>
        <c:lblOffset val="100"/>
        <c:tickLblSkip val="1"/>
        <c:noMultiLvlLbl val="0"/>
      </c:catAx>
      <c:valAx>
        <c:axId val="6570649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4583424"/>
        <c:crossesAt val="1"/>
        <c:crossBetween val="between"/>
        <c:dispUnits/>
      </c:valAx>
      <c:spPr>
        <a:solidFill>
          <a:srgbClr val="FFFFFF"/>
        </a:solidFill>
        <a:ln w="3175">
          <a:solidFill>
            <a:srgbClr val="000000"/>
          </a:solidFill>
        </a:ln>
      </c:spPr>
    </c:plotArea>
    <c:legend>
      <c:legendPos val="r"/>
      <c:layout>
        <c:manualLayout>
          <c:xMode val="edge"/>
          <c:yMode val="edge"/>
          <c:x val="0.15375"/>
          <c:y val="0.76475"/>
          <c:w val="0.68375"/>
          <c:h val="0.104"/>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defRPr>
          </a:pPr>
        </a:p>
      </c:txPr>
    </c:legend>
    <c:plotVisOnly val="1"/>
    <c:dispBlanksAs val="gap"/>
    <c:showDLblsOverMax val="0"/>
  </c:chart>
  <c:spPr>
    <a:noFill/>
    <a:ln>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151"/>
          <c:w val="0.8955"/>
          <c:h val="0.781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datos'!$H$119:$S$119</c:f>
              <c:numCache>
                <c:ptCount val="12"/>
                <c:pt idx="0">
                  <c:v>6093</c:v>
                </c:pt>
                <c:pt idx="1">
                  <c:v>12185</c:v>
                </c:pt>
                <c:pt idx="2">
                  <c:v>6651</c:v>
                </c:pt>
                <c:pt idx="3">
                  <c:v>13301</c:v>
                </c:pt>
                <c:pt idx="4">
                  <c:v>13877</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datos'!$H$120:$S$120</c:f>
              <c:numCache>
                <c:ptCount val="12"/>
                <c:pt idx="0">
                  <c:v>199</c:v>
                </c:pt>
                <c:pt idx="1">
                  <c:v>985</c:v>
                </c:pt>
                <c:pt idx="2">
                  <c:v>882</c:v>
                </c:pt>
                <c:pt idx="3">
                  <c:v>2187</c:v>
                </c:pt>
                <c:pt idx="4">
                  <c:v>1707</c:v>
                </c:pt>
              </c:numCache>
            </c:numRef>
          </c:val>
        </c:ser>
        <c:axId val="1221338"/>
        <c:axId val="10992043"/>
      </c:barChart>
      <c:catAx>
        <c:axId val="122133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0992043"/>
        <c:crossesAt val="0"/>
        <c:auto val="1"/>
        <c:lblOffset val="100"/>
        <c:tickLblSkip val="1"/>
        <c:noMultiLvlLbl val="0"/>
      </c:catAx>
      <c:valAx>
        <c:axId val="10992043"/>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221338"/>
        <c:crossesAt val="1"/>
        <c:crossBetween val="between"/>
        <c:dispUnits/>
      </c:valAx>
      <c:spPr>
        <a:noFill/>
        <a:ln>
          <a:noFill/>
        </a:ln>
      </c:spPr>
    </c:plotArea>
    <c:legend>
      <c:legendPos val="r"/>
      <c:layout>
        <c:manualLayout>
          <c:xMode val="edge"/>
          <c:yMode val="edge"/>
          <c:x val="0.2315"/>
          <c:y val="0.672"/>
          <c:w val="0.33825"/>
          <c:h val="0.08075"/>
        </c:manualLayout>
      </c:layout>
      <c:overlay val="0"/>
      <c:spPr>
        <a:solidFill>
          <a:srgbClr val="FFFFFF"/>
        </a:solid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4"/>
          <c:w val="0.88525"/>
          <c:h val="0.781"/>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datos'!$H$115:$S$115</c:f>
              <c:numCache>
                <c:ptCount val="12"/>
                <c:pt idx="0">
                  <c:v>8443</c:v>
                </c:pt>
                <c:pt idx="1">
                  <c:v>9043</c:v>
                </c:pt>
                <c:pt idx="2">
                  <c:v>9643</c:v>
                </c:pt>
                <c:pt idx="3">
                  <c:v>10243</c:v>
                </c:pt>
                <c:pt idx="4">
                  <c:v>10843</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datos'!$H$116:$S$116</c:f>
              <c:numCache>
                <c:ptCount val="12"/>
                <c:pt idx="0">
                  <c:v>7220</c:v>
                </c:pt>
                <c:pt idx="1">
                  <c:v>7688</c:v>
                </c:pt>
                <c:pt idx="2">
                  <c:v>7950</c:v>
                </c:pt>
                <c:pt idx="3">
                  <c:v>8329</c:v>
                </c:pt>
                <c:pt idx="4">
                  <c:v>8625</c:v>
                </c:pt>
              </c:numCache>
            </c:numRef>
          </c:val>
        </c:ser>
        <c:axId val="31819524"/>
        <c:axId val="17940261"/>
      </c:barChart>
      <c:catAx>
        <c:axId val="3181952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7940261"/>
        <c:crossesAt val="0"/>
        <c:auto val="1"/>
        <c:lblOffset val="100"/>
        <c:tickLblSkip val="1"/>
        <c:noMultiLvlLbl val="0"/>
      </c:catAx>
      <c:valAx>
        <c:axId val="17940261"/>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31819524"/>
        <c:crossesAt val="1"/>
        <c:crossBetween val="between"/>
        <c:dispUnits/>
      </c:valAx>
      <c:spPr>
        <a:noFill/>
        <a:ln>
          <a:noFill/>
        </a:ln>
      </c:spPr>
    </c:plotArea>
    <c:legend>
      <c:legendPos val="r"/>
      <c:layout>
        <c:manualLayout>
          <c:xMode val="edge"/>
          <c:yMode val="edge"/>
          <c:x val="0.07"/>
          <c:y val="0.65425"/>
          <c:w val="0.54975"/>
          <c:h val="0.06375"/>
        </c:manualLayout>
      </c:layout>
      <c:overlay val="0"/>
      <c:spPr>
        <a:solidFill>
          <a:srgbClr val="FFFFFF"/>
        </a:solid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5525"/>
          <c:w val="0.8105"/>
          <c:h val="0.85775"/>
        </c:manualLayout>
      </c:layout>
      <c:barChart>
        <c:barDir val="col"/>
        <c:grouping val="stacked"/>
        <c:varyColors val="0"/>
        <c:ser>
          <c:idx val="0"/>
          <c:order val="0"/>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Gastos </c:v>
                </c:pt>
                <c:pt idx="2">
                  <c:v>Compromisos </c:v>
                </c:pt>
                <c:pt idx="3">
                  <c:v>Saldo en Caja al 30 de junio MINSAL</c:v>
                </c:pt>
              </c:strCache>
            </c:strRef>
          </c:cat>
          <c:val>
            <c:numRef>
              <c:f>'Introducción de datos'!$C$52:$C$55</c:f>
              <c:numCache>
                <c:ptCount val="4"/>
                <c:pt idx="0">
                  <c:v>8362338.7700000005</c:v>
                </c:pt>
                <c:pt idx="1">
                  <c:v>7128703.5</c:v>
                </c:pt>
                <c:pt idx="2">
                  <c:v>362960.63</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Gastos </c:v>
                </c:pt>
                <c:pt idx="2">
                  <c:v>Compromisos </c:v>
                </c:pt>
                <c:pt idx="3">
                  <c:v>Saldo en Caja al 30 de junio MINSAL</c:v>
                </c:pt>
              </c:strCache>
            </c:strRef>
          </c:cat>
          <c:val>
            <c:numRef>
              <c:f>'Introducción de datos'!$D$52:$D$55</c:f>
              <c:numCache>
                <c:ptCount val="4"/>
                <c:pt idx="0">
                  <c:v>0</c:v>
                </c:pt>
                <c:pt idx="1">
                  <c:v>1415901.37</c:v>
                </c:pt>
                <c:pt idx="2">
                  <c:v>2368950.59</c:v>
                </c:pt>
                <c:pt idx="3">
                  <c:v>464662.2</c:v>
                </c:pt>
              </c:numCache>
            </c:numRef>
          </c:val>
        </c:ser>
        <c:overlap val="100"/>
        <c:axId val="54487562"/>
        <c:axId val="20626011"/>
      </c:barChart>
      <c:catAx>
        <c:axId val="5448756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0626011"/>
        <c:crossesAt val="0"/>
        <c:auto val="1"/>
        <c:lblOffset val="100"/>
        <c:tickLblSkip val="2"/>
        <c:noMultiLvlLbl val="0"/>
      </c:catAx>
      <c:valAx>
        <c:axId val="20626011"/>
        <c:scaling>
          <c:orientation val="minMax"/>
        </c:scaling>
        <c:axPos val="l"/>
        <c:majorGridlines>
          <c:spPr>
            <a:ln w="3175">
              <a:solidFill>
                <a:srgbClr val="808080"/>
              </a:solidFill>
            </a:ln>
          </c:spPr>
        </c:majorGridlines>
        <c:delete val="0"/>
        <c:numFmt formatCode="_(\$* #,##0.00_);_(\$* \(#,##0.00\);_(\$* \-??_);_(@_)"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4487562"/>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13825"/>
          <c:w val="0.81275"/>
          <c:h val="0.83"/>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datos'!$C$39:$C$44</c:f>
              <c:numCache>
                <c:ptCount val="6"/>
                <c:pt idx="0">
                  <c:v>1037551.6799999999</c:v>
                </c:pt>
                <c:pt idx="1">
                  <c:v>8584567.46</c:v>
                </c:pt>
                <c:pt idx="2">
                  <c:v>2070331.44</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datos'!$D$39:$D$44</c:f>
              <c:numCache>
                <c:ptCount val="6"/>
                <c:pt idx="0">
                  <c:v>848328.52</c:v>
                </c:pt>
                <c:pt idx="1">
                  <c:v>6304860.7700000005</c:v>
                </c:pt>
                <c:pt idx="2">
                  <c:v>1391415.5899999999</c:v>
                </c:pt>
              </c:numCache>
            </c:numRef>
          </c:val>
        </c:ser>
        <c:axId val="51416372"/>
        <c:axId val="60094165"/>
      </c:barChart>
      <c:catAx>
        <c:axId val="514163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60094165"/>
        <c:crossesAt val="0"/>
        <c:auto val="1"/>
        <c:lblOffset val="100"/>
        <c:tickLblSkip val="1"/>
        <c:noMultiLvlLbl val="0"/>
      </c:catAx>
      <c:valAx>
        <c:axId val="60094165"/>
        <c:scaling>
          <c:orientation val="minMax"/>
        </c:scaling>
        <c:axPos val="l"/>
        <c:majorGridlines>
          <c:spPr>
            <a:ln w="3175">
              <a:solidFill>
                <a:srgbClr val="000000"/>
              </a:solidFill>
            </a:ln>
          </c:spPr>
        </c:majorGridlines>
        <c:delete val="0"/>
        <c:numFmt formatCode="_(\$* #,##0.00_);_(\$* \(#,##0.00\);_(\$* \-??_);_(@_)"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51416372"/>
        <c:crossesAt val="1"/>
        <c:crossBetween val="between"/>
        <c:dispUnits/>
      </c:valAx>
      <c:spPr>
        <a:noFill/>
        <a:ln w="12700">
          <a:solidFill>
            <a:srgbClr val="000000"/>
          </a:solidFill>
        </a:ln>
      </c:spPr>
    </c:plotArea>
    <c:plotVisOnly val="1"/>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2655"/>
          <c:w val="0.9405"/>
          <c:h val="0.635"/>
        </c:manualLayout>
      </c:layout>
      <c:barChart>
        <c:barDir val="bar"/>
        <c:grouping val="percentStacked"/>
        <c:varyColors val="0"/>
        <c:ser>
          <c:idx val="0"/>
          <c:order val="0"/>
          <c:tx>
            <c:strRef>
              <c:f>'Introducción de datos'!$D$78</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datos'!$D$79</c:f>
              <c:numCache>
                <c:ptCount val="1"/>
                <c:pt idx="0">
                  <c:v>4</c:v>
                </c:pt>
              </c:numCache>
            </c:numRef>
          </c:val>
        </c:ser>
        <c:ser>
          <c:idx val="1"/>
          <c:order val="1"/>
          <c:tx>
            <c:strRef>
              <c:f>'Introducción de datos'!$E$78</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datos'!$E$79</c:f>
              <c:numCache>
                <c:ptCount val="1"/>
                <c:pt idx="0">
                  <c:v>0</c:v>
                </c:pt>
              </c:numCache>
            </c:numRef>
          </c:val>
        </c:ser>
        <c:overlap val="100"/>
        <c:gapWidth val="79"/>
        <c:axId val="3976574"/>
        <c:axId val="35789167"/>
      </c:barChart>
      <c:catAx>
        <c:axId val="3976574"/>
        <c:scaling>
          <c:orientation val="minMax"/>
        </c:scaling>
        <c:axPos val="l"/>
        <c:delete val="1"/>
        <c:majorTickMark val="out"/>
        <c:minorTickMark val="none"/>
        <c:tickLblPos val="nextTo"/>
        <c:crossAx val="35789167"/>
        <c:crossesAt val="0"/>
        <c:auto val="0"/>
        <c:lblOffset val="100"/>
        <c:tickLblSkip val="1"/>
        <c:noMultiLvlLbl val="0"/>
      </c:catAx>
      <c:valAx>
        <c:axId val="35789167"/>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976574"/>
        <c:crosses val="max"/>
        <c:crossBetween val="between"/>
        <c:dispUnits/>
      </c:valAx>
      <c:spPr>
        <a:solidFill>
          <a:srgbClr val="FFFFFF"/>
        </a:solidFill>
        <a:ln w="3175">
          <a:noFill/>
        </a:ln>
      </c:spPr>
    </c:plotArea>
    <c:legend>
      <c:legendPos val="r"/>
      <c:layout>
        <c:manualLayout>
          <c:xMode val="edge"/>
          <c:yMode val="edge"/>
          <c:x val="0.252"/>
          <c:y val="0.47575"/>
          <c:w val="0.43625"/>
          <c:h val="0.173"/>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Chart Title</a:t>
            </a:r>
          </a:p>
        </c:rich>
      </c:tx>
      <c:layout>
        <c:manualLayout>
          <c:xMode val="factor"/>
          <c:yMode val="factor"/>
          <c:x val="-0.05625"/>
          <c:y val="0.11425"/>
        </c:manualLayout>
      </c:layout>
      <c:spPr>
        <a:noFill/>
        <a:ln>
          <a:noFill/>
        </a:ln>
      </c:spPr>
    </c:title>
    <c:plotArea>
      <c:layout>
        <c:manualLayout>
          <c:xMode val="edge"/>
          <c:yMode val="edge"/>
          <c:x val="0.07125"/>
          <c:y val="0.55475"/>
          <c:w val="0.9015"/>
          <c:h val="0.35025"/>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_(* #,##0.00_);_(* \(#,##0.00\);_(* \-??_);_(@_)" sourceLinked="0"/>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multiLvlStrRef>
              <c:f>'Introducción de datos'!$C$83:$F$84</c:f>
              <c:multiLvlStrCache>
                <c:ptCount val="2"/>
                <c:lvl>
                  <c:pt idx="0">
                    <c:v>Firmados</c:v>
                  </c:pt>
                  <c:pt idx="1">
                    <c:v>N/A</c:v>
                  </c:pt>
                </c:lvl>
                <c:lvl>
                  <c:pt idx="0">
                    <c:v>Aprobados</c:v>
                  </c:pt>
                  <c:pt idx="1">
                    <c:v>N/A</c:v>
                  </c:pt>
                </c:lvl>
                <c:lvl>
                  <c:pt idx="0">
                    <c:v>Evaluados</c:v>
                  </c:pt>
                  <c:pt idx="1">
                    <c:v>N/A</c:v>
                  </c:pt>
                </c:lvl>
                <c:lvl>
                  <c:pt idx="0">
                    <c:v>Identificados</c:v>
                  </c:pt>
                  <c:pt idx="1">
                    <c:v>N/A</c:v>
                  </c:pt>
                </c:lvl>
              </c:multiLvlStrCache>
            </c:multiLvlStrRef>
          </c:cat>
          <c:val>
            <c:numRef>
              <c:f>'Introducción de datos'!$G$83:$G$84</c:f>
              <c:numCache>
                <c:ptCount val="2"/>
                <c:pt idx="0">
                  <c:v>0</c:v>
                </c:pt>
                <c:pt idx="1">
                  <c:v>0</c:v>
                </c:pt>
              </c:numCache>
            </c:numRef>
          </c:val>
        </c:ser>
        <c:overlap val="-20"/>
        <c:axId val="53667048"/>
        <c:axId val="13241385"/>
      </c:barChart>
      <c:catAx>
        <c:axId val="53667048"/>
        <c:scaling>
          <c:orientation val="minMax"/>
        </c:scaling>
        <c:axPos val="b"/>
        <c:delete val="0"/>
        <c:numFmt formatCode="General" sourceLinked="1"/>
        <c:majorTickMark val="none"/>
        <c:minorTickMark val="none"/>
        <c:tickLblPos val="none"/>
        <c:spPr>
          <a:ln w="3175">
            <a:solidFill>
              <a:srgbClr val="000000"/>
            </a:solidFill>
          </a:ln>
        </c:spPr>
        <c:crossAx val="13241385"/>
        <c:crossesAt val="0"/>
        <c:auto val="0"/>
        <c:lblOffset val="100"/>
        <c:tickLblSkip val="1"/>
        <c:noMultiLvlLbl val="0"/>
      </c:catAx>
      <c:valAx>
        <c:axId val="13241385"/>
        <c:scaling>
          <c:orientation val="minMax"/>
        </c:scaling>
        <c:axPos val="l"/>
        <c:delete val="0"/>
        <c:numFmt formatCode="_(* #,##0.00_);_(* \(#,##0.00\);_(* \-??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667048"/>
        <c:crossesAt val="1"/>
        <c:crossBetween val="between"/>
        <c:dispUnits/>
      </c:valAx>
      <c:spPr>
        <a:noFill/>
        <a:ln>
          <a:noFill/>
        </a:ln>
      </c:spPr>
    </c:plotArea>
    <c:legend>
      <c:legendPos val="r"/>
      <c:layout>
        <c:manualLayout>
          <c:xMode val="edge"/>
          <c:yMode val="edge"/>
          <c:x val="0"/>
          <c:y val="0.72275"/>
          <c:w val="0.89425"/>
          <c:h val="0.087"/>
        </c:manualLayout>
      </c:layout>
      <c:overlay val="0"/>
      <c:spPr>
        <a:no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1815"/>
          <c:w val="0.75225"/>
          <c:h val="0.692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datos'!$D$72:$D$73</c:f>
              <c:numCache>
                <c:ptCount val="2"/>
                <c:pt idx="0">
                  <c:v>21</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datos'!$E$72:$E$73</c:f>
              <c:numCache>
                <c:ptCount val="2"/>
                <c:pt idx="0">
                  <c:v>10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datos'!$F$72:$F$73</c:f>
              <c:numCache>
                <c:ptCount val="2"/>
                <c:pt idx="0">
                  <c:v>0</c:v>
                </c:pt>
              </c:numCache>
            </c:numRef>
          </c:val>
        </c:ser>
        <c:overlap val="100"/>
        <c:gapWidth val="70"/>
        <c:axId val="52063602"/>
        <c:axId val="65919235"/>
      </c:barChart>
      <c:catAx>
        <c:axId val="520636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919235"/>
        <c:crossesAt val="0"/>
        <c:auto val="1"/>
        <c:lblOffset val="100"/>
        <c:tickLblSkip val="1"/>
        <c:noMultiLvlLbl val="0"/>
      </c:catAx>
      <c:valAx>
        <c:axId val="65919235"/>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063602"/>
        <c:crossesAt val="1"/>
        <c:crossBetween val="between"/>
        <c:dispUnits/>
      </c:valAx>
      <c:spPr>
        <a:noFill/>
        <a:ln>
          <a:noFill/>
        </a:ln>
      </c:spPr>
    </c:plotArea>
    <c:legend>
      <c:legendPos val="r"/>
      <c:layout>
        <c:manualLayout>
          <c:xMode val="edge"/>
          <c:yMode val="edge"/>
          <c:x val="0.0065"/>
          <c:y val="0.526"/>
          <c:w val="0.98075"/>
          <c:h val="0.17025"/>
        </c:manualLayout>
      </c:layout>
      <c:overlay val="0"/>
      <c:spPr>
        <a:no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
          <c:y val="0.194"/>
          <c:w val="0.79075"/>
          <c:h val="0.67975"/>
        </c:manualLayout>
      </c:layout>
      <c:barChart>
        <c:barDir val="bar"/>
        <c:grouping val="percentStacked"/>
        <c:varyColors val="0"/>
        <c:ser>
          <c:idx val="0"/>
          <c:order val="0"/>
          <c:tx>
            <c:strRef>
              <c:f>'Introducción de datos'!$D$88</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datos'!$D$89:$D$90</c:f>
              <c:numCache>
                <c:ptCount val="2"/>
                <c:pt idx="0">
                  <c:v>0</c:v>
                </c:pt>
                <c:pt idx="1">
                  <c:v>0</c:v>
                </c:pt>
              </c:numCache>
            </c:numRef>
          </c:val>
        </c:ser>
        <c:ser>
          <c:idx val="1"/>
          <c:order val="1"/>
          <c:tx>
            <c:strRef>
              <c:f>'Introducción de datos'!$E$88</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0%" sourceLinked="0"/>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datos'!$E$89:$E$90</c:f>
              <c:numCache>
                <c:ptCount val="2"/>
                <c:pt idx="0">
                  <c:v>0</c:v>
                </c:pt>
                <c:pt idx="1">
                  <c:v>0</c:v>
                </c:pt>
              </c:numCache>
            </c:numRef>
          </c:val>
        </c:ser>
        <c:overlap val="100"/>
        <c:gapWidth val="79"/>
        <c:axId val="56402204"/>
        <c:axId val="37857789"/>
      </c:barChart>
      <c:catAx>
        <c:axId val="5640220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7857789"/>
        <c:crossesAt val="0"/>
        <c:auto val="1"/>
        <c:lblOffset val="100"/>
        <c:tickLblSkip val="1"/>
        <c:noMultiLvlLbl val="0"/>
      </c:catAx>
      <c:valAx>
        <c:axId val="37857789"/>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6402204"/>
        <c:crosses val="max"/>
        <c:crossBetween val="between"/>
        <c:dispUnits/>
      </c:valAx>
      <c:spPr>
        <a:solidFill>
          <a:srgbClr val="FFFFFF"/>
        </a:solidFill>
        <a:ln w="3175">
          <a:noFill/>
        </a:ln>
      </c:spPr>
    </c:plotArea>
    <c:legend>
      <c:legendPos val="r"/>
      <c:layout>
        <c:manualLayout>
          <c:xMode val="edge"/>
          <c:yMode val="edge"/>
          <c:x val="0.36425"/>
          <c:y val="0.56575"/>
          <c:w val="0.3125"/>
          <c:h val="0.122"/>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25"/>
          <c:y val="0.14675"/>
          <c:w val="0.83675"/>
          <c:h val="0.655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datos'!$C$98:$N$98</c:f>
              <c:numCache>
                <c:ptCount val="12"/>
                <c:pt idx="0">
                  <c:v>3414952</c:v>
                </c:pt>
                <c:pt idx="1">
                  <c:v>3425439</c:v>
                </c:pt>
                <c:pt idx="2">
                  <c:v>3817598</c:v>
                </c:pt>
                <c:pt idx="3">
                  <c:v>6380481</c:v>
                </c:pt>
                <c:pt idx="4">
                  <c:v>8907002.6</c:v>
                </c:pt>
                <c:pt idx="5">
                  <c:v>8907002.6</c:v>
                </c:pt>
                <c:pt idx="6">
                  <c:v>8907002.6</c:v>
                </c:pt>
                <c:pt idx="7">
                  <c:v>8907002.6</c:v>
                </c:pt>
                <c:pt idx="8">
                  <c:v>8907002.6</c:v>
                </c:pt>
                <c:pt idx="9">
                  <c:v>8907002.6</c:v>
                </c:pt>
                <c:pt idx="10">
                  <c:v>8907002.6</c:v>
                </c:pt>
                <c:pt idx="11">
                  <c:v>8907002.6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datos'!$C$99:$N$99</c:f>
              <c:numCache>
                <c:ptCount val="12"/>
                <c:pt idx="0">
                  <c:v>0</c:v>
                </c:pt>
                <c:pt idx="1">
                  <c:v>0</c:v>
                </c:pt>
                <c:pt idx="2">
                  <c:v>1421382.21</c:v>
                </c:pt>
                <c:pt idx="3">
                  <c:v>1421382.21</c:v>
                </c:pt>
                <c:pt idx="4">
                  <c:v>2563299.37</c:v>
                </c:pt>
                <c:pt idx="5">
                  <c:v>0</c:v>
                </c:pt>
                <c:pt idx="6">
                  <c:v>0</c:v>
                </c:pt>
                <c:pt idx="7">
                  <c:v>0</c:v>
                </c:pt>
                <c:pt idx="8">
                  <c:v>0</c:v>
                </c:pt>
                <c:pt idx="9">
                  <c:v>0</c:v>
                </c:pt>
                <c:pt idx="10">
                  <c:v>0</c:v>
                </c:pt>
                <c:pt idx="11">
                  <c:v>0</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datos'!$C$100:$N$100</c:f>
              <c:numCache>
                <c:ptCount val="12"/>
                <c:pt idx="0">
                  <c:v>3414952</c:v>
                </c:pt>
                <c:pt idx="1">
                  <c:v>3436189</c:v>
                </c:pt>
                <c:pt idx="2">
                  <c:v>3813323</c:v>
                </c:pt>
                <c:pt idx="3">
                  <c:v>4732159.65</c:v>
                </c:pt>
                <c:pt idx="4">
                  <c:v>5728902.0200000005</c:v>
                </c:pt>
                <c:pt idx="5">
                  <c:v>5728902.0200000005</c:v>
                </c:pt>
                <c:pt idx="6">
                  <c:v>5728902.0200000005</c:v>
                </c:pt>
                <c:pt idx="7">
                  <c:v>5728902.0200000005</c:v>
                </c:pt>
                <c:pt idx="8">
                  <c:v>5728902.0200000005</c:v>
                </c:pt>
                <c:pt idx="9">
                  <c:v>5728902.0200000005</c:v>
                </c:pt>
                <c:pt idx="10">
                  <c:v>5728902.0200000005</c:v>
                </c:pt>
                <c:pt idx="11">
                  <c:v>5728902.0200000005</c:v>
                </c:pt>
              </c:numCache>
            </c:numRef>
          </c:val>
          <c:smooth val="0"/>
        </c:ser>
        <c:marker val="1"/>
        <c:axId val="5175782"/>
        <c:axId val="46582039"/>
      </c:lineChart>
      <c:catAx>
        <c:axId val="51757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46582039"/>
        <c:crossesAt val="0"/>
        <c:auto val="1"/>
        <c:lblOffset val="100"/>
        <c:tickLblSkip val="1"/>
        <c:noMultiLvlLbl val="0"/>
      </c:catAx>
      <c:valAx>
        <c:axId val="46582039"/>
        <c:scaling>
          <c:orientation val="minMax"/>
        </c:scaling>
        <c:axPos val="l"/>
        <c:majorGridlines>
          <c:spPr>
            <a:ln w="3175">
              <a:solidFill>
                <a:srgbClr val="000000"/>
              </a:solidFill>
            </a:ln>
          </c:spPr>
        </c:majorGridlines>
        <c:delete val="0"/>
        <c:numFmt formatCode="\$#,##0.000" sourceLinked="0"/>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5175782"/>
        <c:crossesAt val="1"/>
        <c:crossBetween val="midCat"/>
        <c:dispUnits/>
      </c:valAx>
      <c:spPr>
        <a:solidFill>
          <a:srgbClr val="FFFFFF"/>
        </a:solidFill>
        <a:ln w="12700">
          <a:solidFill>
            <a:srgbClr val="808080"/>
          </a:solidFill>
        </a:ln>
      </c:spPr>
    </c:plotArea>
    <c:legend>
      <c:legendPos val="r"/>
      <c:layout>
        <c:manualLayout>
          <c:xMode val="edge"/>
          <c:yMode val="edge"/>
          <c:x val="0"/>
          <c:y val="0.6305"/>
          <c:w val="0.875"/>
          <c:h val="0.16075"/>
        </c:manualLayout>
      </c:layout>
      <c:overlay val="0"/>
      <c:spPr>
        <a:noFill/>
        <a:ln w="3175">
          <a:noFill/>
        </a:ln>
      </c:spPr>
      <c:txPr>
        <a:bodyPr vert="horz" rot="0"/>
        <a:lstStyle/>
        <a:p>
          <a:pPr>
            <a:defRPr lang="en-US" cap="none" sz="375" b="0" i="0" u="none" baseline="0">
              <a:solidFill>
                <a:srgbClr val="000000"/>
              </a:solidFill>
            </a:defRPr>
          </a:pPr>
        </a:p>
      </c:txPr>
    </c:legend>
    <c:plotVisOnly val="1"/>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5"/>
          <c:y val="0.1555"/>
          <c:w val="0.8175"/>
          <c:h val="0.762"/>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datos'!$H$117:$S$117</c:f>
              <c:numCache>
                <c:ptCount val="12"/>
                <c:pt idx="0">
                  <c:v>30</c:v>
                </c:pt>
                <c:pt idx="1">
                  <c:v>171</c:v>
                </c:pt>
                <c:pt idx="2">
                  <c:v>100</c:v>
                </c:pt>
                <c:pt idx="3">
                  <c:v>56</c:v>
                </c:pt>
                <c:pt idx="4">
                  <c:v>87</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'Introducción de datos'!$H$118:$S$118</c:f>
              <c:numCache>
                <c:ptCount val="12"/>
                <c:pt idx="0">
                  <c:v>17</c:v>
                </c:pt>
                <c:pt idx="1">
                  <c:v>170</c:v>
                </c:pt>
                <c:pt idx="2">
                  <c:v>100</c:v>
                </c:pt>
                <c:pt idx="3">
                  <c:v>53</c:v>
                </c:pt>
                <c:pt idx="4">
                  <c:v>86</c:v>
                </c:pt>
              </c:numCache>
            </c:numRef>
          </c:val>
        </c:ser>
        <c:axId val="16585168"/>
        <c:axId val="15048785"/>
      </c:barChart>
      <c:catAx>
        <c:axId val="1658516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5048785"/>
        <c:crossesAt val="0"/>
        <c:auto val="1"/>
        <c:lblOffset val="100"/>
        <c:tickLblSkip val="1"/>
        <c:noMultiLvlLbl val="0"/>
      </c:catAx>
      <c:valAx>
        <c:axId val="15048785"/>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6585168"/>
        <c:crossesAt val="1"/>
        <c:crossBetween val="between"/>
        <c:dispUnits/>
      </c:valAx>
      <c:spPr>
        <a:noFill/>
        <a:ln>
          <a:noFill/>
        </a:ln>
      </c:spPr>
    </c:plotArea>
    <c:legend>
      <c:legendPos val="r"/>
      <c:layout>
        <c:manualLayout>
          <c:xMode val="edge"/>
          <c:yMode val="edge"/>
          <c:x val="0.03025"/>
          <c:y val="0.6615"/>
          <c:w val="0.55275"/>
          <c:h val="0.0635"/>
        </c:manualLayout>
      </c:layout>
      <c:overlay val="0"/>
      <c:spPr>
        <a:solidFill>
          <a:srgbClr val="FFFFFF"/>
        </a:solidFill>
        <a:ln w="3175">
          <a:noFill/>
        </a:ln>
      </c:spPr>
      <c:txPr>
        <a:bodyPr vert="horz" rot="0"/>
        <a:lstStyle/>
        <a:p>
          <a:pPr>
            <a:defRPr lang="en-US" cap="none" sz="365" b="0" i="0" u="none" baseline="0">
              <a:solidFill>
                <a:srgbClr val="000000"/>
              </a:solidFill>
            </a:defRPr>
          </a:pPr>
        </a:p>
      </c:txPr>
    </c:legend>
    <c:plotVisOnly val="1"/>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blipFill>
          <a:blip r:embed=""/>
          <a:srcRect/>
          <a:stretch>
            <a:fillRect/>
          </a:stretch>
        </a:blip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blipFill>
          <a:blip r:embed=""/>
          <a:srcRect/>
          <a:stretch>
            <a:fillRect/>
          </a:stretch>
        </a:blip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10</xdr:row>
      <xdr:rowOff>85725</xdr:rowOff>
    </xdr:from>
    <xdr:to>
      <xdr:col>6</xdr:col>
      <xdr:colOff>571500</xdr:colOff>
      <xdr:row>12</xdr:row>
      <xdr:rowOff>0</xdr:rowOff>
    </xdr:to>
    <xdr:sp>
      <xdr:nvSpPr>
        <xdr:cNvPr id="5" name="AutoShape 27">
          <a:hlinkClick r:id="rId3"/>
        </xdr:cNvPr>
        <xdr:cNvSpPr>
          <a:spLocks/>
        </xdr:cNvSpPr>
      </xdr:nvSpPr>
      <xdr:spPr>
        <a:xfrm>
          <a:off x="3429000" y="2466975"/>
          <a:ext cx="102870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95250</xdr:rowOff>
    </xdr:from>
    <xdr:to>
      <xdr:col>5</xdr:col>
      <xdr:colOff>419100</xdr:colOff>
      <xdr:row>11</xdr:row>
      <xdr:rowOff>66675</xdr:rowOff>
    </xdr:to>
    <xdr:sp>
      <xdr:nvSpPr>
        <xdr:cNvPr id="6" name="Freeform 28"/>
        <xdr:cNvSpPr>
          <a:spLocks/>
        </xdr:cNvSpPr>
      </xdr:nvSpPr>
      <xdr:spPr>
        <a:xfrm>
          <a:off x="3438525" y="2476500"/>
          <a:ext cx="1047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16</xdr:row>
      <xdr:rowOff>9525</xdr:rowOff>
    </xdr:from>
    <xdr:to>
      <xdr:col>6</xdr:col>
      <xdr:colOff>590550</xdr:colOff>
      <xdr:row>17</xdr:row>
      <xdr:rowOff>123825</xdr:rowOff>
    </xdr:to>
    <xdr:sp>
      <xdr:nvSpPr>
        <xdr:cNvPr id="8" name="AutoShape 27">
          <a:hlinkClick r:id="rId4"/>
        </xdr:cNvPr>
        <xdr:cNvSpPr>
          <a:spLocks/>
        </xdr:cNvSpPr>
      </xdr:nvSpPr>
      <xdr:spPr>
        <a:xfrm>
          <a:off x="3457575" y="3533775"/>
          <a:ext cx="1019175" cy="304800"/>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14</xdr:row>
      <xdr:rowOff>190500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47625</xdr:rowOff>
    </xdr:from>
    <xdr:to>
      <xdr:col>6</xdr:col>
      <xdr:colOff>571500</xdr:colOff>
      <xdr:row>14</xdr:row>
      <xdr:rowOff>152400</xdr:rowOff>
    </xdr:to>
    <xdr:sp>
      <xdr:nvSpPr>
        <xdr:cNvPr id="11" name="AutoShape 27">
          <a:hlinkClick r:id="rId5"/>
        </xdr:cNvPr>
        <xdr:cNvSpPr>
          <a:spLocks/>
        </xdr:cNvSpPr>
      </xdr:nvSpPr>
      <xdr:spPr>
        <a:xfrm>
          <a:off x="3438525" y="3000375"/>
          <a:ext cx="1019175"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323850</xdr:colOff>
      <xdr:row>5</xdr:row>
      <xdr:rowOff>0</xdr:rowOff>
    </xdr:from>
    <xdr:to>
      <xdr:col>7</xdr:col>
      <xdr:colOff>400050</xdr:colOff>
      <xdr:row>6</xdr:row>
      <xdr:rowOff>47625</xdr:rowOff>
    </xdr:to>
    <xdr:sp>
      <xdr:nvSpPr>
        <xdr:cNvPr id="13" name="Rectangle 803"/>
        <xdr:cNvSpPr>
          <a:spLocks/>
        </xdr:cNvSpPr>
      </xdr:nvSpPr>
      <xdr:spPr>
        <a:xfrm>
          <a:off x="2686050" y="1428750"/>
          <a:ext cx="2362200"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11</xdr:row>
      <xdr:rowOff>47625</xdr:rowOff>
    </xdr:from>
    <xdr:to>
      <xdr:col>11</xdr:col>
      <xdr:colOff>104775</xdr:colOff>
      <xdr:row>13</xdr:row>
      <xdr:rowOff>0</xdr:rowOff>
    </xdr:to>
    <xdr:sp>
      <xdr:nvSpPr>
        <xdr:cNvPr id="15" name="AutoShape 31">
          <a:hlinkClick r:id="rId6"/>
        </xdr:cNvPr>
        <xdr:cNvSpPr>
          <a:spLocks/>
        </xdr:cNvSpPr>
      </xdr:nvSpPr>
      <xdr:spPr>
        <a:xfrm>
          <a:off x="57435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314325</xdr:colOff>
      <xdr:row>14</xdr:row>
      <xdr:rowOff>104775</xdr:rowOff>
    </xdr:from>
    <xdr:to>
      <xdr:col>11</xdr:col>
      <xdr:colOff>85725</xdr:colOff>
      <xdr:row>16</xdr:row>
      <xdr:rowOff>47625</xdr:rowOff>
    </xdr:to>
    <xdr:sp>
      <xdr:nvSpPr>
        <xdr:cNvPr id="20" name="AutoShape 31">
          <a:hlinkClick r:id="rId7"/>
        </xdr:cNvPr>
        <xdr:cNvSpPr>
          <a:spLocks/>
        </xdr:cNvSpPr>
      </xdr:nvSpPr>
      <xdr:spPr>
        <a:xfrm>
          <a:off x="5724525" y="3248025"/>
          <a:ext cx="1409700" cy="323850"/>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161925</xdr:rowOff>
    </xdr:from>
    <xdr:to>
      <xdr:col>3</xdr:col>
      <xdr:colOff>457200</xdr:colOff>
      <xdr:row>17</xdr:row>
      <xdr:rowOff>180975</xdr:rowOff>
    </xdr:to>
    <xdr:sp>
      <xdr:nvSpPr>
        <xdr:cNvPr id="23" name="AutoShape 31">
          <a:hlinkClick r:id="rId8"/>
        </xdr:cNvPr>
        <xdr:cNvSpPr>
          <a:spLocks/>
        </xdr:cNvSpPr>
      </xdr:nvSpPr>
      <xdr:spPr>
        <a:xfrm>
          <a:off x="628650" y="3495675"/>
          <a:ext cx="1428750" cy="40005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66675</xdr:rowOff>
    </xdr:from>
    <xdr:to>
      <xdr:col>3</xdr:col>
      <xdr:colOff>476250</xdr:colOff>
      <xdr:row>11</xdr:row>
      <xdr:rowOff>180975</xdr:rowOff>
    </xdr:to>
    <xdr:sp>
      <xdr:nvSpPr>
        <xdr:cNvPr id="26" name="AutoShape 31">
          <a:hlinkClick r:id="rId9"/>
        </xdr:cNvPr>
        <xdr:cNvSpPr>
          <a:spLocks/>
        </xdr:cNvSpPr>
      </xdr:nvSpPr>
      <xdr:spPr>
        <a:xfrm>
          <a:off x="628650" y="2447925"/>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28650" y="2981325"/>
          <a:ext cx="1447800"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blipFill>
          <a:blip r:embed=""/>
          <a:srcRect/>
          <a:stretch>
            <a:fillRect/>
          </a:stretch>
        </a:blipFill>
        <a:ln w="9525" cmpd="sng">
          <a:noFill/>
        </a:ln>
      </xdr:spPr>
    </xdr:pic>
    <xdr:clientData/>
  </xdr:twoCellAnchor>
  <xdr:twoCellAnchor>
    <xdr:from>
      <xdr:col>1</xdr:col>
      <xdr:colOff>323850</xdr:colOff>
      <xdr:row>7</xdr:row>
      <xdr:rowOff>104775</xdr:rowOff>
    </xdr:from>
    <xdr:to>
      <xdr:col>4</xdr:col>
      <xdr:colOff>57150</xdr:colOff>
      <xdr:row>10</xdr:row>
      <xdr:rowOff>0</xdr:rowOff>
    </xdr:to>
    <xdr:sp fLocksText="0">
      <xdr:nvSpPr>
        <xdr:cNvPr id="32" name="Text Box 2013"/>
        <xdr:cNvSpPr txBox="1">
          <a:spLocks noChangeArrowheads="1"/>
        </xdr:cNvSpPr>
      </xdr:nvSpPr>
      <xdr:spPr>
        <a:xfrm>
          <a:off x="400050" y="1914525"/>
          <a:ext cx="201930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blipFill>
          <a:blip r:embed=""/>
          <a:srcRect/>
          <a:stretch>
            <a:fillRect/>
          </a:stretch>
        </a:blipFill>
        <a:ln w="9525" cmpd="sng">
          <a:noFill/>
        </a:ln>
      </xdr:spPr>
    </xdr:pic>
    <xdr:clientData/>
  </xdr:twoCellAnchor>
  <xdr:twoCellAnchor>
    <xdr:from>
      <xdr:col>4</xdr:col>
      <xdr:colOff>590550</xdr:colOff>
      <xdr:row>7</xdr:row>
      <xdr:rowOff>85725</xdr:rowOff>
    </xdr:from>
    <xdr:to>
      <xdr:col>7</xdr:col>
      <xdr:colOff>295275</xdr:colOff>
      <xdr:row>9</xdr:row>
      <xdr:rowOff>104775</xdr:rowOff>
    </xdr:to>
    <xdr:sp fLocksText="0">
      <xdr:nvSpPr>
        <xdr:cNvPr id="34" name="Text Box 2017"/>
        <xdr:cNvSpPr txBox="1">
          <a:spLocks noChangeArrowheads="1"/>
        </xdr:cNvSpPr>
      </xdr:nvSpPr>
      <xdr:spPr>
        <a:xfrm>
          <a:off x="2952750" y="1895475"/>
          <a:ext cx="1990725" cy="40005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blipFill>
          <a:blip r:embed=""/>
          <a:srcRect/>
          <a:stretch>
            <a:fillRect/>
          </a:stretch>
        </a:blipFill>
        <a:ln w="9525" cmpd="sng">
          <a:noFill/>
        </a:ln>
      </xdr:spPr>
    </xdr:pic>
    <xdr:clientData/>
  </xdr:twoCellAnchor>
  <xdr:twoCellAnchor>
    <xdr:from>
      <xdr:col>8</xdr:col>
      <xdr:colOff>57150</xdr:colOff>
      <xdr:row>7</xdr:row>
      <xdr:rowOff>85725</xdr:rowOff>
    </xdr:from>
    <xdr:to>
      <xdr:col>11</xdr:col>
      <xdr:colOff>342900</xdr:colOff>
      <xdr:row>9</xdr:row>
      <xdr:rowOff>104775</xdr:rowOff>
    </xdr:to>
    <xdr:sp fLocksText="0">
      <xdr:nvSpPr>
        <xdr:cNvPr id="36" name="Text Box 2019"/>
        <xdr:cNvSpPr txBox="1">
          <a:spLocks noChangeArrowheads="1"/>
        </xdr:cNvSpPr>
      </xdr:nvSpPr>
      <xdr:spPr>
        <a:xfrm>
          <a:off x="5467350" y="1895475"/>
          <a:ext cx="1924050" cy="40005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1</xdr:row>
      <xdr:rowOff>9525</xdr:rowOff>
    </xdr:to>
    <xdr:sp>
      <xdr:nvSpPr>
        <xdr:cNvPr id="1" name="AutoShape 50">
          <a:hlinkClick r:id="rId1"/>
        </xdr:cNvPr>
        <xdr:cNvSpPr>
          <a:spLocks/>
        </xdr:cNvSpPr>
      </xdr:nvSpPr>
      <xdr:spPr>
        <a:xfrm>
          <a:off x="28575" y="28575"/>
          <a:ext cx="1285875" cy="41910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923925</xdr:colOff>
      <xdr:row>0</xdr:row>
      <xdr:rowOff>333375</xdr:rowOff>
    </xdr:to>
    <xdr:sp>
      <xdr:nvSpPr>
        <xdr:cNvPr id="1" name="AutoShape 50">
          <a:hlinkClick r:id="rId1"/>
        </xdr:cNvPr>
        <xdr:cNvSpPr>
          <a:spLocks/>
        </xdr:cNvSpPr>
      </xdr:nvSpPr>
      <xdr:spPr>
        <a:xfrm>
          <a:off x="180975" y="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66675</xdr:colOff>
      <xdr:row>2</xdr:row>
      <xdr:rowOff>57150</xdr:rowOff>
    </xdr:from>
    <xdr:to>
      <xdr:col>1</xdr:col>
      <xdr:colOff>66675</xdr:colOff>
      <xdr:row>7</xdr:row>
      <xdr:rowOff>133350</xdr:rowOff>
    </xdr:to>
    <xdr:grpSp>
      <xdr:nvGrpSpPr>
        <xdr:cNvPr id="2" name="Group 18"/>
        <xdr:cNvGrpSpPr>
          <a:grpSpLocks/>
        </xdr:cNvGrpSpPr>
      </xdr:nvGrpSpPr>
      <xdr:grpSpPr>
        <a:xfrm>
          <a:off x="66675" y="628650"/>
          <a:ext cx="180975" cy="590550"/>
          <a:chOff x="109" y="989"/>
          <a:chExt cx="310" cy="926"/>
        </a:xfrm>
        <a:solidFill>
          <a:srgbClr val="FFFFFF"/>
        </a:solidFill>
      </xdr:grpSpPr>
      <xdr:sp>
        <xdr:nvSpPr>
          <xdr:cNvPr id="3" name="AutoShape 100"/>
          <xdr:cNvSpPr>
            <a:spLocks/>
          </xdr:cNvSpPr>
        </xdr:nvSpPr>
        <xdr:spPr>
          <a:xfrm>
            <a:off x="109" y="1843"/>
            <a:ext cx="307" cy="4"/>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Straight Connector 16"/>
          <xdr:cNvSpPr>
            <a:spLocks/>
          </xdr:cNvSpPr>
        </xdr:nvSpPr>
        <xdr:spPr>
          <a:xfrm flipV="1">
            <a:off x="421" y="989"/>
            <a:ext cx="0" cy="847"/>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5" name="Straight Connector 17"/>
          <xdr:cNvSpPr>
            <a:spLocks/>
          </xdr:cNvSpPr>
        </xdr:nvSpPr>
        <xdr:spPr>
          <a:xfrm flipV="1">
            <a:off x="112" y="1069"/>
            <a:ext cx="0" cy="847"/>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1009650</xdr:colOff>
      <xdr:row>34</xdr:row>
      <xdr:rowOff>38100</xdr:rowOff>
    </xdr:from>
    <xdr:to>
      <xdr:col>3</xdr:col>
      <xdr:colOff>1009650</xdr:colOff>
      <xdr:row>35</xdr:row>
      <xdr:rowOff>95250</xdr:rowOff>
    </xdr:to>
    <xdr:sp>
      <xdr:nvSpPr>
        <xdr:cNvPr id="6" name="Straight Connector 16"/>
        <xdr:cNvSpPr>
          <a:spLocks/>
        </xdr:cNvSpPr>
      </xdr:nvSpPr>
      <xdr:spPr>
        <a:xfrm flipV="1">
          <a:off x="5467350" y="5905500"/>
          <a:ext cx="0" cy="2476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85725" y="38100"/>
          <a:ext cx="914400"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10</xdr:row>
      <xdr:rowOff>0</xdr:rowOff>
    </xdr:from>
    <xdr:to>
      <xdr:col>6</xdr:col>
      <xdr:colOff>133350</xdr:colOff>
      <xdr:row>20</xdr:row>
      <xdr:rowOff>285750</xdr:rowOff>
    </xdr:to>
    <xdr:graphicFrame>
      <xdr:nvGraphicFramePr>
        <xdr:cNvPr id="1" name="Chart 1"/>
        <xdr:cNvGraphicFramePr/>
      </xdr:nvGraphicFramePr>
      <xdr:xfrm>
        <a:off x="371475" y="2695575"/>
        <a:ext cx="4552950" cy="2190750"/>
      </xdr:xfrm>
      <a:graphic>
        <a:graphicData uri="http://schemas.openxmlformats.org/drawingml/2006/chart">
          <c:chart xmlns:c="http://schemas.openxmlformats.org/drawingml/2006/chart" r:id="rId1"/>
        </a:graphicData>
      </a:graphic>
    </xdr:graphicFrame>
    <xdr:clientData/>
  </xdr:twoCellAnchor>
  <xdr:twoCellAnchor>
    <xdr:from>
      <xdr:col>7</xdr:col>
      <xdr:colOff>28575</xdr:colOff>
      <xdr:row>9</xdr:row>
      <xdr:rowOff>114300</xdr:rowOff>
    </xdr:from>
    <xdr:to>
      <xdr:col>12</xdr:col>
      <xdr:colOff>57150</xdr:colOff>
      <xdr:row>20</xdr:row>
      <xdr:rowOff>257175</xdr:rowOff>
    </xdr:to>
    <xdr:graphicFrame>
      <xdr:nvGraphicFramePr>
        <xdr:cNvPr id="2" name="Chart 2"/>
        <xdr:cNvGraphicFramePr/>
      </xdr:nvGraphicFramePr>
      <xdr:xfrm>
        <a:off x="5076825" y="2619375"/>
        <a:ext cx="3533775" cy="2238375"/>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23</xdr:row>
      <xdr:rowOff>142875</xdr:rowOff>
    </xdr:from>
    <xdr:to>
      <xdr:col>5</xdr:col>
      <xdr:colOff>1733550</xdr:colOff>
      <xdr:row>32</xdr:row>
      <xdr:rowOff>123825</xdr:rowOff>
    </xdr:to>
    <xdr:graphicFrame>
      <xdr:nvGraphicFramePr>
        <xdr:cNvPr id="3" name="Chart 3"/>
        <xdr:cNvGraphicFramePr/>
      </xdr:nvGraphicFramePr>
      <xdr:xfrm>
        <a:off x="514350" y="5924550"/>
        <a:ext cx="4143375" cy="2333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685800</xdr:colOff>
      <xdr:row>0</xdr:row>
      <xdr:rowOff>333375</xdr:rowOff>
    </xdr:to>
    <xdr:sp>
      <xdr:nvSpPr>
        <xdr:cNvPr id="4" name="AutoShape 50">
          <a:hlinkClick r:id="rId4"/>
        </xdr:cNvPr>
        <xdr:cNvSpPr>
          <a:spLocks/>
        </xdr:cNvSpPr>
      </xdr:nvSpPr>
      <xdr:spPr>
        <a:xfrm>
          <a:off x="0" y="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1209675</xdr:colOff>
      <xdr:row>8</xdr:row>
      <xdr:rowOff>123825</xdr:rowOff>
    </xdr:from>
    <xdr:to>
      <xdr:col>11</xdr:col>
      <xdr:colOff>923925</xdr:colOff>
      <xdr:row>16</xdr:row>
      <xdr:rowOff>76200</xdr:rowOff>
    </xdr:to>
    <xdr:graphicFrame>
      <xdr:nvGraphicFramePr>
        <xdr:cNvPr id="1" name="Chart 1"/>
        <xdr:cNvGraphicFramePr/>
      </xdr:nvGraphicFramePr>
      <xdr:xfrm>
        <a:off x="5638800" y="2828925"/>
        <a:ext cx="6134100" cy="184785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18</xdr:row>
      <xdr:rowOff>76200</xdr:rowOff>
    </xdr:from>
    <xdr:to>
      <xdr:col>5</xdr:col>
      <xdr:colOff>714375</xdr:colOff>
      <xdr:row>26</xdr:row>
      <xdr:rowOff>285750</xdr:rowOff>
    </xdr:to>
    <xdr:graphicFrame>
      <xdr:nvGraphicFramePr>
        <xdr:cNvPr id="2" name="Chart 2"/>
        <xdr:cNvGraphicFramePr/>
      </xdr:nvGraphicFramePr>
      <xdr:xfrm>
        <a:off x="209550" y="5248275"/>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8</xdr:row>
      <xdr:rowOff>114300</xdr:rowOff>
    </xdr:from>
    <xdr:to>
      <xdr:col>6</xdr:col>
      <xdr:colOff>133350</xdr:colOff>
      <xdr:row>14</xdr:row>
      <xdr:rowOff>342900</xdr:rowOff>
    </xdr:to>
    <xdr:graphicFrame>
      <xdr:nvGraphicFramePr>
        <xdr:cNvPr id="3" name="Chart 3"/>
        <xdr:cNvGraphicFramePr/>
      </xdr:nvGraphicFramePr>
      <xdr:xfrm>
        <a:off x="19050" y="2819400"/>
        <a:ext cx="4543425" cy="1371600"/>
      </xdr:xfrm>
      <a:graphic>
        <a:graphicData uri="http://schemas.openxmlformats.org/drawingml/2006/chart">
          <c:chart xmlns:c="http://schemas.openxmlformats.org/drawingml/2006/chart" r:id="rId3"/>
        </a:graphicData>
      </a:graphic>
    </xdr:graphicFrame>
    <xdr:clientData/>
  </xdr:twoCellAnchor>
  <xdr:twoCellAnchor>
    <xdr:from>
      <xdr:col>6</xdr:col>
      <xdr:colOff>314325</xdr:colOff>
      <xdr:row>20</xdr:row>
      <xdr:rowOff>28575</xdr:rowOff>
    </xdr:from>
    <xdr:to>
      <xdr:col>12</xdr:col>
      <xdr:colOff>19050</xdr:colOff>
      <xdr:row>27</xdr:row>
      <xdr:rowOff>95250</xdr:rowOff>
    </xdr:to>
    <xdr:graphicFrame>
      <xdr:nvGraphicFramePr>
        <xdr:cNvPr id="4" name="Chart 4"/>
        <xdr:cNvGraphicFramePr/>
      </xdr:nvGraphicFramePr>
      <xdr:xfrm>
        <a:off x="4743450" y="5591175"/>
        <a:ext cx="7067550" cy="203835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28</xdr:row>
      <xdr:rowOff>323850</xdr:rowOff>
    </xdr:from>
    <xdr:to>
      <xdr:col>6</xdr:col>
      <xdr:colOff>47625</xdr:colOff>
      <xdr:row>32</xdr:row>
      <xdr:rowOff>0</xdr:rowOff>
    </xdr:to>
    <xdr:graphicFrame>
      <xdr:nvGraphicFramePr>
        <xdr:cNvPr id="5" name="Chart 5"/>
        <xdr:cNvGraphicFramePr/>
      </xdr:nvGraphicFramePr>
      <xdr:xfrm>
        <a:off x="123825" y="8801100"/>
        <a:ext cx="4352925" cy="22764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1"/>
        <xdr:cNvGraphicFramePr/>
      </xdr:nvGraphicFramePr>
      <xdr:xfrm>
        <a:off x="4543425" y="3181350"/>
        <a:ext cx="3248025" cy="1838325"/>
      </xdr:xfrm>
      <a:graphic>
        <a:graphicData uri="http://schemas.openxmlformats.org/drawingml/2006/chart">
          <c:chart xmlns:c="http://schemas.openxmlformats.org/drawingml/2006/chart" r:id="rId1"/>
        </a:graphicData>
      </a:graphic>
    </xdr:graphicFrame>
    <xdr:clientData/>
  </xdr:twoCellAnchor>
  <xdr:twoCellAnchor>
    <xdr:from>
      <xdr:col>11</xdr:col>
      <xdr:colOff>161925</xdr:colOff>
      <xdr:row>9</xdr:row>
      <xdr:rowOff>57150</xdr:rowOff>
    </xdr:from>
    <xdr:to>
      <xdr:col>16</xdr:col>
      <xdr:colOff>742950</xdr:colOff>
      <xdr:row>16</xdr:row>
      <xdr:rowOff>209550</xdr:rowOff>
    </xdr:to>
    <xdr:graphicFrame>
      <xdr:nvGraphicFramePr>
        <xdr:cNvPr id="2" name="Chart 2"/>
        <xdr:cNvGraphicFramePr/>
      </xdr:nvGraphicFramePr>
      <xdr:xfrm>
        <a:off x="7905750" y="3190875"/>
        <a:ext cx="5353050"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923925</xdr:colOff>
      <xdr:row>1</xdr:row>
      <xdr:rowOff>28575</xdr:rowOff>
    </xdr:to>
    <xdr:sp>
      <xdr:nvSpPr>
        <xdr:cNvPr id="3" name="AutoShape 50">
          <a:hlinkClick r:id="rId3"/>
        </xdr:cNvPr>
        <xdr:cNvSpPr>
          <a:spLocks/>
        </xdr:cNvSpPr>
      </xdr:nvSpPr>
      <xdr:spPr>
        <a:xfrm>
          <a:off x="28575" y="19050"/>
          <a:ext cx="92392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190500</xdr:colOff>
      <xdr:row>9</xdr:row>
      <xdr:rowOff>38100</xdr:rowOff>
    </xdr:from>
    <xdr:to>
      <xdr:col>4</xdr:col>
      <xdr:colOff>381000</xdr:colOff>
      <xdr:row>16</xdr:row>
      <xdr:rowOff>209550</xdr:rowOff>
    </xdr:to>
    <xdr:graphicFrame>
      <xdr:nvGraphicFramePr>
        <xdr:cNvPr id="4" name="Chart 4"/>
        <xdr:cNvGraphicFramePr/>
      </xdr:nvGraphicFramePr>
      <xdr:xfrm>
        <a:off x="219075" y="3171825"/>
        <a:ext cx="3609975"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904875</xdr:colOff>
      <xdr:row>0</xdr:row>
      <xdr:rowOff>381000</xdr:rowOff>
    </xdr:to>
    <xdr:sp>
      <xdr:nvSpPr>
        <xdr:cNvPr id="1" name="AutoShape 50">
          <a:hlinkClick r:id="rId1"/>
        </xdr:cNvPr>
        <xdr:cNvSpPr>
          <a:spLocks/>
        </xdr:cNvSpPr>
      </xdr:nvSpPr>
      <xdr:spPr>
        <a:xfrm>
          <a:off x="47625" y="47625"/>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714375</xdr:colOff>
      <xdr:row>0</xdr:row>
      <xdr:rowOff>352425</xdr:rowOff>
    </xdr:to>
    <xdr:sp>
      <xdr:nvSpPr>
        <xdr:cNvPr id="1" name="AutoShape 50">
          <a:hlinkClick r:id="rId1"/>
        </xdr:cNvPr>
        <xdr:cNvSpPr>
          <a:spLocks/>
        </xdr:cNvSpPr>
      </xdr:nvSpPr>
      <xdr:spPr>
        <a:xfrm>
          <a:off x="28575" y="28575"/>
          <a:ext cx="22764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mp\mozilla_mlgonzalez0\Users\gfuentes\AppData\Local\Microsoft\Windows\Temporary%20Internet%20Files\OLKA46A\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PageLayoutView="0" workbookViewId="0" topLeftCell="A1">
      <selection activeCell="A1" sqref="A1"/>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70" t="s">
        <v>0</v>
      </c>
      <c r="C2" s="470"/>
      <c r="D2" s="470"/>
      <c r="E2" s="470"/>
      <c r="F2" s="470"/>
      <c r="G2" s="470"/>
      <c r="H2" s="470"/>
      <c r="I2" s="470"/>
      <c r="J2" s="470"/>
      <c r="K2" s="470"/>
      <c r="L2" s="470"/>
      <c r="M2" s="1"/>
      <c r="N2" s="1"/>
      <c r="O2" s="1"/>
    </row>
    <row r="4" spans="2:12" ht="21">
      <c r="B4" s="471" t="s">
        <v>1</v>
      </c>
      <c r="C4" s="471"/>
      <c r="D4" s="471"/>
      <c r="E4" s="471"/>
      <c r="F4" s="2"/>
      <c r="G4" s="2"/>
      <c r="H4" s="3" t="s">
        <v>2</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M18" sqref="M18"/>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654" t="str">
        <f>'Información de la subvención'!B3:J3</f>
        <v>Tablero de mando:  El Salvador - VIH / SIDA</v>
      </c>
      <c r="C3" s="654"/>
      <c r="D3" s="654"/>
      <c r="E3" s="654"/>
      <c r="F3" s="654"/>
      <c r="G3" s="654"/>
      <c r="H3" s="654"/>
      <c r="I3" s="298"/>
    </row>
    <row r="6" spans="2:8" ht="18.75">
      <c r="B6" s="655" t="s">
        <v>296</v>
      </c>
      <c r="C6" s="655"/>
      <c r="D6" s="655"/>
      <c r="E6" s="655"/>
      <c r="F6" s="655"/>
      <c r="G6" s="655"/>
      <c r="H6" s="655"/>
    </row>
    <row r="8" spans="2:15" ht="18.75">
      <c r="B8" s="454" t="s">
        <v>297</v>
      </c>
      <c r="C8" s="454" t="s">
        <v>298</v>
      </c>
      <c r="D8" s="454" t="s">
        <v>299</v>
      </c>
      <c r="E8" s="454" t="s">
        <v>300</v>
      </c>
      <c r="F8" s="454" t="s">
        <v>301</v>
      </c>
      <c r="G8" s="454" t="s">
        <v>302</v>
      </c>
      <c r="H8" s="454" t="s">
        <v>303</v>
      </c>
      <c r="I8" s="455" t="s">
        <v>304</v>
      </c>
      <c r="J8" s="455" t="s">
        <v>305</v>
      </c>
      <c r="M8" s="10"/>
      <c r="N8" s="10"/>
      <c r="O8" s="10"/>
    </row>
    <row r="9" spans="2:15" ht="15">
      <c r="B9" s="456" t="s">
        <v>306</v>
      </c>
      <c r="C9" s="456" t="s">
        <v>306</v>
      </c>
      <c r="D9" s="456" t="s">
        <v>306</v>
      </c>
      <c r="E9" s="456" t="s">
        <v>306</v>
      </c>
      <c r="F9" s="456" t="s">
        <v>306</v>
      </c>
      <c r="G9" s="456" t="s">
        <v>306</v>
      </c>
      <c r="H9" s="456" t="s">
        <v>306</v>
      </c>
      <c r="I9" s="457" t="s">
        <v>306</v>
      </c>
      <c r="J9" s="456" t="s">
        <v>306</v>
      </c>
      <c r="M9" s="10"/>
      <c r="N9" s="10"/>
      <c r="O9" s="10"/>
    </row>
    <row r="10" spans="2:15" ht="15">
      <c r="B10" s="458" t="s">
        <v>54</v>
      </c>
      <c r="C10" s="458" t="s">
        <v>85</v>
      </c>
      <c r="D10" s="458" t="s">
        <v>307</v>
      </c>
      <c r="E10" s="458" t="s">
        <v>61</v>
      </c>
      <c r="F10" s="458" t="s">
        <v>89</v>
      </c>
      <c r="G10" s="459" t="s">
        <v>308</v>
      </c>
      <c r="H10" s="460" t="s">
        <v>309</v>
      </c>
      <c r="I10" s="461" t="s">
        <v>310</v>
      </c>
      <c r="J10" s="456" t="s">
        <v>311</v>
      </c>
      <c r="M10" s="10"/>
      <c r="N10" s="10"/>
      <c r="O10" s="10"/>
    </row>
    <row r="11" spans="2:15" ht="15">
      <c r="B11" s="458" t="s">
        <v>312</v>
      </c>
      <c r="C11" s="458" t="s">
        <v>313</v>
      </c>
      <c r="D11" s="458" t="s">
        <v>314</v>
      </c>
      <c r="E11" s="458" t="s">
        <v>315</v>
      </c>
      <c r="F11" s="458" t="s">
        <v>90</v>
      </c>
      <c r="G11" s="459" t="s">
        <v>316</v>
      </c>
      <c r="H11" s="460" t="s">
        <v>317</v>
      </c>
      <c r="I11" s="461" t="s">
        <v>318</v>
      </c>
      <c r="J11" s="456" t="s">
        <v>319</v>
      </c>
      <c r="M11" s="10"/>
      <c r="N11" s="10"/>
      <c r="O11" s="10"/>
    </row>
    <row r="12" spans="2:15" ht="15">
      <c r="B12" s="458" t="s">
        <v>320</v>
      </c>
      <c r="D12" s="458" t="s">
        <v>321</v>
      </c>
      <c r="E12" s="458" t="s">
        <v>322</v>
      </c>
      <c r="F12" s="458" t="s">
        <v>91</v>
      </c>
      <c r="G12" s="459" t="s">
        <v>323</v>
      </c>
      <c r="H12" s="460" t="s">
        <v>324</v>
      </c>
      <c r="I12" s="461" t="s">
        <v>325</v>
      </c>
      <c r="J12" s="456" t="s">
        <v>326</v>
      </c>
      <c r="M12" s="462"/>
      <c r="N12" s="10"/>
      <c r="O12" s="10"/>
    </row>
    <row r="13" spans="2:15" ht="15">
      <c r="B13" s="458" t="s">
        <v>327</v>
      </c>
      <c r="D13" s="458" t="s">
        <v>328</v>
      </c>
      <c r="E13" s="463"/>
      <c r="F13" s="458" t="s">
        <v>92</v>
      </c>
      <c r="G13" s="459" t="s">
        <v>67</v>
      </c>
      <c r="H13" s="460" t="s">
        <v>329</v>
      </c>
      <c r="I13" s="461" t="s">
        <v>330</v>
      </c>
      <c r="J13" s="456" t="s">
        <v>331</v>
      </c>
      <c r="M13" s="462"/>
      <c r="N13" s="10"/>
      <c r="O13" s="10"/>
    </row>
    <row r="14" spans="2:15" ht="15">
      <c r="B14" s="458" t="s">
        <v>332</v>
      </c>
      <c r="D14" s="458" t="s">
        <v>333</v>
      </c>
      <c r="F14" s="458" t="s">
        <v>72</v>
      </c>
      <c r="G14" s="459" t="s">
        <v>334</v>
      </c>
      <c r="H14" s="460" t="s">
        <v>335</v>
      </c>
      <c r="I14" s="461" t="s">
        <v>336</v>
      </c>
      <c r="J14" s="456" t="s">
        <v>337</v>
      </c>
      <c r="M14" s="462"/>
      <c r="N14" s="10"/>
      <c r="O14" s="10"/>
    </row>
    <row r="15" spans="4:15" ht="15">
      <c r="D15" s="458" t="s">
        <v>338</v>
      </c>
      <c r="F15" s="458" t="s">
        <v>93</v>
      </c>
      <c r="H15" s="460" t="s">
        <v>339</v>
      </c>
      <c r="I15" s="461" t="s">
        <v>340</v>
      </c>
      <c r="J15" s="456" t="s">
        <v>341</v>
      </c>
      <c r="M15" s="462"/>
      <c r="N15" s="10"/>
      <c r="O15" s="10"/>
    </row>
    <row r="16" spans="4:15" ht="15">
      <c r="D16" s="458" t="s">
        <v>342</v>
      </c>
      <c r="F16" s="458" t="s">
        <v>94</v>
      </c>
      <c r="H16" s="460" t="s">
        <v>343</v>
      </c>
      <c r="I16" s="461" t="s">
        <v>344</v>
      </c>
      <c r="J16" s="456" t="s">
        <v>345</v>
      </c>
      <c r="M16" s="462"/>
      <c r="N16" s="10"/>
      <c r="O16" s="10"/>
    </row>
    <row r="17" spans="4:15" ht="15">
      <c r="D17" s="458" t="s">
        <v>346</v>
      </c>
      <c r="F17" s="458" t="s">
        <v>95</v>
      </c>
      <c r="H17" s="460" t="s">
        <v>347</v>
      </c>
      <c r="I17" s="461" t="s">
        <v>348</v>
      </c>
      <c r="J17" s="456" t="s">
        <v>349</v>
      </c>
      <c r="M17" s="462"/>
      <c r="N17" s="10"/>
      <c r="O17" s="10"/>
    </row>
    <row r="18" spans="4:15" ht="15">
      <c r="D18" s="458" t="s">
        <v>350</v>
      </c>
      <c r="F18" s="458" t="s">
        <v>96</v>
      </c>
      <c r="H18" s="460" t="s">
        <v>351</v>
      </c>
      <c r="I18" s="461" t="s">
        <v>352</v>
      </c>
      <c r="J18" s="456" t="s">
        <v>353</v>
      </c>
      <c r="M18" s="462"/>
      <c r="N18" s="10"/>
      <c r="O18" s="10"/>
    </row>
    <row r="19" spans="4:15" ht="15">
      <c r="D19" s="458" t="s">
        <v>354</v>
      </c>
      <c r="F19" s="458" t="s">
        <v>97</v>
      </c>
      <c r="H19" s="460" t="s">
        <v>355</v>
      </c>
      <c r="I19" s="461" t="s">
        <v>356</v>
      </c>
      <c r="J19" s="456" t="s">
        <v>357</v>
      </c>
      <c r="M19" s="462"/>
      <c r="N19" s="10"/>
      <c r="O19" s="10"/>
    </row>
    <row r="20" spans="4:15" ht="15">
      <c r="D20" s="464"/>
      <c r="F20" s="458" t="s">
        <v>98</v>
      </c>
      <c r="H20" s="460" t="s">
        <v>65</v>
      </c>
      <c r="I20" s="461" t="s">
        <v>358</v>
      </c>
      <c r="J20" s="456" t="s">
        <v>359</v>
      </c>
      <c r="M20" s="10"/>
      <c r="N20" s="10"/>
      <c r="O20" s="10"/>
    </row>
    <row r="21" spans="4:15" ht="15">
      <c r="D21" s="465"/>
      <c r="F21" s="458" t="s">
        <v>99</v>
      </c>
      <c r="H21" s="465"/>
      <c r="I21" s="461" t="s">
        <v>360</v>
      </c>
      <c r="J21" s="456" t="s">
        <v>361</v>
      </c>
      <c r="M21" s="10"/>
      <c r="N21" s="10"/>
      <c r="O21" s="10"/>
    </row>
    <row r="22" spans="8:15" ht="15">
      <c r="H22" s="465"/>
      <c r="I22" s="461" t="s">
        <v>362</v>
      </c>
      <c r="J22" s="456" t="s">
        <v>363</v>
      </c>
      <c r="M22" s="10"/>
      <c r="N22" s="10"/>
      <c r="O22" s="10"/>
    </row>
    <row r="23" spans="9:15" ht="15">
      <c r="I23" s="461" t="s">
        <v>364</v>
      </c>
      <c r="J23" s="456" t="s">
        <v>365</v>
      </c>
      <c r="M23" s="10"/>
      <c r="N23" s="10"/>
      <c r="O23" s="10"/>
    </row>
    <row r="24" spans="9:15" ht="15">
      <c r="I24" s="461" t="s">
        <v>366</v>
      </c>
      <c r="J24" s="456" t="s">
        <v>367</v>
      </c>
      <c r="M24" s="10"/>
      <c r="N24" s="10"/>
      <c r="O24" s="10"/>
    </row>
    <row r="25" spans="9:10" ht="15">
      <c r="I25" s="466"/>
      <c r="J25" s="456" t="s">
        <v>368</v>
      </c>
    </row>
    <row r="26" spans="9:10" ht="15">
      <c r="I26" s="461" t="s">
        <v>369</v>
      </c>
      <c r="J26" s="456" t="s">
        <v>370</v>
      </c>
    </row>
    <row r="27" spans="9:10" ht="15">
      <c r="I27" s="461" t="s">
        <v>371</v>
      </c>
      <c r="J27" s="456" t="s">
        <v>48</v>
      </c>
    </row>
    <row r="28" spans="9:10" ht="15">
      <c r="I28" s="466" t="s">
        <v>372</v>
      </c>
      <c r="J28" s="456" t="s">
        <v>373</v>
      </c>
    </row>
    <row r="29" spans="9:10" ht="15">
      <c r="I29" s="466" t="s">
        <v>374</v>
      </c>
      <c r="J29" s="456" t="s">
        <v>375</v>
      </c>
    </row>
    <row r="30" spans="9:10" ht="15">
      <c r="I30" s="466" t="s">
        <v>376</v>
      </c>
      <c r="J30" s="456" t="s">
        <v>377</v>
      </c>
    </row>
    <row r="31" ht="15">
      <c r="J31" s="456" t="s">
        <v>378</v>
      </c>
    </row>
    <row r="32" ht="15">
      <c r="J32" s="456" t="s">
        <v>379</v>
      </c>
    </row>
    <row r="33" ht="15">
      <c r="J33" s="456" t="s">
        <v>380</v>
      </c>
    </row>
    <row r="34" ht="15">
      <c r="J34" s="456" t="s">
        <v>381</v>
      </c>
    </row>
    <row r="35" ht="15">
      <c r="J35" s="456" t="s">
        <v>382</v>
      </c>
    </row>
    <row r="36" ht="15">
      <c r="J36" s="456" t="s">
        <v>383</v>
      </c>
    </row>
    <row r="37" ht="15">
      <c r="J37" s="456" t="s">
        <v>384</v>
      </c>
    </row>
    <row r="38" ht="15">
      <c r="J38" s="456" t="s">
        <v>385</v>
      </c>
    </row>
    <row r="39" ht="15">
      <c r="J39" s="456" t="s">
        <v>386</v>
      </c>
    </row>
    <row r="40" ht="15">
      <c r="J40" s="456" t="s">
        <v>387</v>
      </c>
    </row>
    <row r="41" ht="15">
      <c r="J41" s="456" t="s">
        <v>388</v>
      </c>
    </row>
    <row r="42" ht="15">
      <c r="J42" s="456" t="s">
        <v>389</v>
      </c>
    </row>
    <row r="43" ht="15">
      <c r="J43" s="456" t="s">
        <v>390</v>
      </c>
    </row>
    <row r="44" ht="15">
      <c r="J44" s="456" t="s">
        <v>391</v>
      </c>
    </row>
    <row r="45" ht="15">
      <c r="J45" s="456" t="s">
        <v>392</v>
      </c>
    </row>
    <row r="46" ht="15">
      <c r="J46" s="456" t="s">
        <v>393</v>
      </c>
    </row>
    <row r="47" ht="15">
      <c r="J47" s="456" t="s">
        <v>394</v>
      </c>
    </row>
    <row r="48" ht="15">
      <c r="J48" s="456" t="s">
        <v>395</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72" t="s">
        <v>3</v>
      </c>
      <c r="C2" s="472"/>
      <c r="D2" s="472"/>
      <c r="E2" s="472"/>
      <c r="F2" s="472"/>
      <c r="G2" s="472"/>
      <c r="H2" s="472"/>
      <c r="I2" s="472"/>
      <c r="J2" s="472"/>
      <c r="K2" s="472"/>
      <c r="L2" s="472"/>
      <c r="M2" s="472"/>
    </row>
    <row r="3" spans="1:13" ht="15.75" customHeight="1">
      <c r="A3" s="6"/>
      <c r="B3" s="7"/>
      <c r="C3" s="7"/>
      <c r="D3" s="7"/>
      <c r="E3" s="7"/>
      <c r="F3" s="7"/>
      <c r="G3" s="7"/>
      <c r="H3" s="7"/>
      <c r="I3" s="7"/>
      <c r="J3" s="7"/>
      <c r="K3" s="8"/>
      <c r="L3" s="8"/>
      <c r="M3" s="6"/>
    </row>
    <row r="5" spans="2:15" ht="23.25">
      <c r="B5" s="473" t="s">
        <v>4</v>
      </c>
      <c r="C5" s="473"/>
      <c r="D5" s="473"/>
      <c r="E5" s="473"/>
      <c r="F5" s="473"/>
      <c r="G5" s="473"/>
      <c r="H5" s="473"/>
      <c r="I5" s="473"/>
      <c r="J5" s="473"/>
      <c r="K5" s="473"/>
      <c r="L5" s="473"/>
      <c r="M5" s="473"/>
      <c r="N5" s="473"/>
      <c r="O5" s="473"/>
    </row>
    <row r="7" spans="2:15" ht="21">
      <c r="B7" s="474" t="s">
        <v>5</v>
      </c>
      <c r="C7" s="474"/>
      <c r="D7" s="474"/>
      <c r="E7" s="474" t="s">
        <v>6</v>
      </c>
      <c r="F7" s="474"/>
      <c r="G7" s="474"/>
      <c r="H7" s="474"/>
      <c r="I7" s="474"/>
      <c r="J7" s="474" t="s">
        <v>7</v>
      </c>
      <c r="K7" s="474"/>
      <c r="L7" s="474"/>
      <c r="M7" s="474" t="s">
        <v>8</v>
      </c>
      <c r="N7" s="474"/>
      <c r="O7" s="474"/>
    </row>
    <row r="8" spans="2:15" ht="92.25" customHeight="1">
      <c r="B8" s="475" t="str">
        <f>+'Introducción de datos'!B27</f>
        <v>F1: Presupuesto y desembolsos del Fondo Mundial</v>
      </c>
      <c r="C8" s="475"/>
      <c r="D8" s="475"/>
      <c r="E8" s="476" t="s">
        <v>9</v>
      </c>
      <c r="F8" s="476"/>
      <c r="G8" s="476"/>
      <c r="H8" s="476"/>
      <c r="I8" s="476"/>
      <c r="J8" s="477" t="s">
        <v>10</v>
      </c>
      <c r="K8" s="477"/>
      <c r="L8" s="477"/>
      <c r="M8" s="477" t="s">
        <v>11</v>
      </c>
      <c r="N8" s="477"/>
      <c r="O8" s="477"/>
    </row>
    <row r="9" spans="2:15" ht="117.75" customHeight="1">
      <c r="B9" s="475" t="str">
        <f>+'Introducción de datos'!B36</f>
        <v>F2: Presupuesto y gastos reales por objetivo de la subvención</v>
      </c>
      <c r="C9" s="475"/>
      <c r="D9" s="475"/>
      <c r="E9" s="478" t="s">
        <v>12</v>
      </c>
      <c r="F9" s="478"/>
      <c r="G9" s="478"/>
      <c r="H9" s="478"/>
      <c r="I9" s="478"/>
      <c r="J9" s="479" t="s">
        <v>13</v>
      </c>
      <c r="K9" s="479"/>
      <c r="L9" s="479"/>
      <c r="M9" s="479" t="s">
        <v>11</v>
      </c>
      <c r="N9" s="479"/>
      <c r="O9" s="479"/>
    </row>
    <row r="10" spans="2:15" ht="233.25" customHeight="1">
      <c r="B10" s="480" t="str">
        <f>+'Introducción de datos'!B49</f>
        <v>F3: Desembolsos y gastos</v>
      </c>
      <c r="C10" s="480"/>
      <c r="D10" s="480"/>
      <c r="E10" s="478" t="s">
        <v>14</v>
      </c>
      <c r="F10" s="478"/>
      <c r="G10" s="478"/>
      <c r="H10" s="478"/>
      <c r="I10" s="478"/>
      <c r="J10" s="481" t="s">
        <v>15</v>
      </c>
      <c r="K10" s="481"/>
      <c r="L10" s="481"/>
      <c r="M10" s="479" t="s">
        <v>16</v>
      </c>
      <c r="N10" s="479"/>
      <c r="O10" s="479"/>
    </row>
    <row r="11" spans="2:60" ht="279.75" customHeight="1">
      <c r="B11" s="480" t="str">
        <f>+'Introducción de datos'!B58</f>
        <v>F4: Último ciclo de información y desembolso del RP</v>
      </c>
      <c r="C11" s="480"/>
      <c r="D11" s="480"/>
      <c r="E11" s="478" t="s">
        <v>17</v>
      </c>
      <c r="F11" s="478"/>
      <c r="G11" s="478"/>
      <c r="H11" s="478"/>
      <c r="I11" s="478"/>
      <c r="J11" s="481" t="s">
        <v>18</v>
      </c>
      <c r="K11" s="481"/>
      <c r="L11" s="481"/>
      <c r="M11" s="479" t="s">
        <v>19</v>
      </c>
      <c r="N11" s="479"/>
      <c r="O11" s="47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482"/>
      <c r="C12" s="482"/>
      <c r="D12" s="482"/>
      <c r="E12" s="483"/>
      <c r="F12" s="483"/>
      <c r="G12" s="483"/>
      <c r="H12" s="483"/>
      <c r="I12" s="483"/>
      <c r="J12" s="483"/>
      <c r="K12" s="483"/>
      <c r="L12" s="483"/>
      <c r="M12" s="483"/>
      <c r="N12" s="483"/>
      <c r="O12" s="483"/>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484"/>
      <c r="C13" s="484"/>
      <c r="D13" s="484"/>
      <c r="E13" s="485"/>
      <c r="F13" s="485"/>
      <c r="G13" s="485"/>
      <c r="H13" s="485"/>
      <c r="I13" s="485"/>
      <c r="J13" s="485"/>
      <c r="K13" s="485"/>
      <c r="L13" s="485"/>
      <c r="M13" s="485"/>
      <c r="N13" s="485"/>
      <c r="O13" s="485"/>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484"/>
      <c r="C14" s="484"/>
      <c r="D14" s="484"/>
      <c r="E14" s="485"/>
      <c r="F14" s="485"/>
      <c r="G14" s="485"/>
      <c r="H14" s="485"/>
      <c r="I14" s="485"/>
      <c r="J14" s="485"/>
      <c r="K14" s="485"/>
      <c r="L14" s="485"/>
      <c r="M14" s="485"/>
      <c r="N14" s="485"/>
      <c r="O14" s="485"/>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484"/>
      <c r="C15" s="484"/>
      <c r="D15" s="484"/>
      <c r="E15" s="485"/>
      <c r="F15" s="485"/>
      <c r="G15" s="485"/>
      <c r="H15" s="485"/>
      <c r="I15" s="485"/>
      <c r="J15" s="485"/>
      <c r="K15" s="485"/>
      <c r="L15" s="485"/>
      <c r="M15" s="485"/>
      <c r="N15" s="485"/>
      <c r="O15" s="485"/>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73" t="s">
        <v>20</v>
      </c>
      <c r="C16" s="473"/>
      <c r="D16" s="473"/>
      <c r="E16" s="473"/>
      <c r="F16" s="473"/>
      <c r="G16" s="473"/>
      <c r="H16" s="473"/>
      <c r="I16" s="473"/>
      <c r="J16" s="473"/>
      <c r="K16" s="473"/>
      <c r="L16" s="473"/>
      <c r="M16" s="473"/>
      <c r="N16" s="473"/>
      <c r="O16" s="473"/>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486" t="s">
        <v>5</v>
      </c>
      <c r="C18" s="486"/>
      <c r="D18" s="486"/>
      <c r="E18" s="486" t="s">
        <v>6</v>
      </c>
      <c r="F18" s="486"/>
      <c r="G18" s="486"/>
      <c r="H18" s="486"/>
      <c r="I18" s="486"/>
      <c r="J18" s="486" t="s">
        <v>7</v>
      </c>
      <c r="K18" s="486"/>
      <c r="L18" s="486"/>
      <c r="M18" s="486" t="s">
        <v>21</v>
      </c>
      <c r="N18" s="486"/>
      <c r="O18" s="486"/>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75" t="str">
        <f>+'Introducción de datos'!B69</f>
        <v>M1: Estado de las condiciones precedentes y acciones con fecha límite</v>
      </c>
      <c r="C19" s="475"/>
      <c r="D19" s="475"/>
      <c r="E19" s="478" t="s">
        <v>22</v>
      </c>
      <c r="F19" s="478"/>
      <c r="G19" s="478"/>
      <c r="H19" s="478"/>
      <c r="I19" s="478"/>
      <c r="J19" s="479" t="s">
        <v>23</v>
      </c>
      <c r="K19" s="479"/>
      <c r="L19" s="479"/>
      <c r="M19" s="479" t="s">
        <v>24</v>
      </c>
      <c r="N19" s="479"/>
      <c r="O19" s="47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75" t="str">
        <f>+'Introducción de datos'!B76</f>
        <v>M2: Estado de los principales puestos directivos del RP</v>
      </c>
      <c r="C20" s="475"/>
      <c r="D20" s="475"/>
      <c r="E20" s="478" t="s">
        <v>25</v>
      </c>
      <c r="F20" s="478"/>
      <c r="G20" s="478"/>
      <c r="H20" s="478"/>
      <c r="I20" s="478"/>
      <c r="J20" s="479" t="s">
        <v>26</v>
      </c>
      <c r="K20" s="479"/>
      <c r="L20" s="479"/>
      <c r="M20" s="479" t="s">
        <v>27</v>
      </c>
      <c r="N20" s="479"/>
      <c r="O20" s="47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75" t="str">
        <f>+'Introducción de datos'!B81</f>
        <v>M3: Acuerdos contractuales (gestores de compra de bienes y servicios) </v>
      </c>
      <c r="C21" s="475"/>
      <c r="D21" s="475"/>
      <c r="E21" s="487" t="s">
        <v>28</v>
      </c>
      <c r="F21" s="487"/>
      <c r="G21" s="487"/>
      <c r="H21" s="487"/>
      <c r="I21" s="487"/>
      <c r="J21" s="479" t="s">
        <v>29</v>
      </c>
      <c r="K21" s="479"/>
      <c r="L21" s="479"/>
      <c r="M21" s="479" t="s">
        <v>30</v>
      </c>
      <c r="N21" s="479"/>
      <c r="O21" s="47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75" t="str">
        <f>+'Introducción de datos'!B86</f>
        <v>M4: Número de informes completos recibidos a tiempo</v>
      </c>
      <c r="C22" s="475"/>
      <c r="D22" s="475"/>
      <c r="E22" s="488" t="s">
        <v>31</v>
      </c>
      <c r="F22" s="488"/>
      <c r="G22" s="488"/>
      <c r="H22" s="488"/>
      <c r="I22" s="488"/>
      <c r="J22" s="481" t="s">
        <v>32</v>
      </c>
      <c r="K22" s="481"/>
      <c r="L22" s="481"/>
      <c r="M22" s="479" t="s">
        <v>33</v>
      </c>
      <c r="N22" s="479"/>
      <c r="O22" s="47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80" t="str">
        <f>+'Introducción de datos'!B92</f>
        <v>M5: Presupuesto y compra de productos y equipo sanitario, medicamentos y productos farmacéuticos</v>
      </c>
      <c r="C23" s="480"/>
      <c r="D23" s="480"/>
      <c r="E23" s="489" t="s">
        <v>34</v>
      </c>
      <c r="F23" s="489"/>
      <c r="G23" s="489"/>
      <c r="H23" s="489"/>
      <c r="I23" s="489"/>
      <c r="J23" s="479" t="s">
        <v>35</v>
      </c>
      <c r="K23" s="479"/>
      <c r="L23" s="479"/>
      <c r="M23" s="479" t="s">
        <v>36</v>
      </c>
      <c r="N23" s="479"/>
      <c r="O23" s="47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80"/>
      <c r="C24" s="480"/>
      <c r="D24" s="480"/>
      <c r="E24" s="490" t="s">
        <v>37</v>
      </c>
      <c r="F24" s="490"/>
      <c r="G24" s="490"/>
      <c r="H24" s="490"/>
      <c r="I24" s="490"/>
      <c r="J24" s="479"/>
      <c r="K24" s="479"/>
      <c r="L24" s="479"/>
      <c r="M24" s="479"/>
      <c r="N24" s="479"/>
      <c r="O24" s="47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75" t="str">
        <f>+'Introducción de datos'!B105</f>
        <v>M6: Diferencia entre existencias actuales y existencias de seguridad</v>
      </c>
      <c r="C25" s="475"/>
      <c r="D25" s="475"/>
      <c r="E25" s="491" t="s">
        <v>38</v>
      </c>
      <c r="F25" s="491"/>
      <c r="G25" s="491"/>
      <c r="H25" s="491"/>
      <c r="I25" s="491"/>
      <c r="J25" s="492" t="s">
        <v>39</v>
      </c>
      <c r="K25" s="492"/>
      <c r="L25" s="492"/>
      <c r="M25" s="493" t="s">
        <v>40</v>
      </c>
      <c r="N25" s="493"/>
      <c r="O25" s="493"/>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73" t="s">
        <v>41</v>
      </c>
      <c r="C30" s="473"/>
      <c r="D30" s="473"/>
      <c r="E30" s="473"/>
      <c r="F30" s="473"/>
      <c r="G30" s="473"/>
      <c r="H30" s="473"/>
      <c r="I30" s="473"/>
      <c r="J30" s="473"/>
      <c r="K30" s="473"/>
      <c r="L30" s="473"/>
      <c r="M30" s="473"/>
      <c r="N30" s="473"/>
      <c r="O30" s="473"/>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494" t="s">
        <v>42</v>
      </c>
      <c r="C32" s="494"/>
      <c r="D32" s="494"/>
      <c r="E32" s="495" t="s">
        <v>43</v>
      </c>
      <c r="F32" s="495"/>
      <c r="G32" s="495"/>
      <c r="H32" s="495"/>
      <c r="I32" s="495"/>
      <c r="J32" s="495" t="s">
        <v>7</v>
      </c>
      <c r="K32" s="495"/>
      <c r="L32" s="495"/>
      <c r="M32" s="495" t="s">
        <v>21</v>
      </c>
      <c r="N32" s="495"/>
      <c r="O32" s="495"/>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496"/>
      <c r="C33" s="496"/>
      <c r="D33" s="496"/>
      <c r="E33" s="497"/>
      <c r="F33" s="497"/>
      <c r="G33" s="497"/>
      <c r="H33" s="497"/>
      <c r="I33" s="497"/>
      <c r="J33" s="498"/>
      <c r="K33" s="498"/>
      <c r="L33" s="498"/>
      <c r="M33" s="498"/>
      <c r="N33" s="498"/>
      <c r="O33" s="49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496"/>
      <c r="C34" s="496"/>
      <c r="D34" s="496"/>
      <c r="E34" s="497"/>
      <c r="F34" s="497"/>
      <c r="G34" s="497"/>
      <c r="H34" s="497"/>
      <c r="I34" s="497"/>
      <c r="J34" s="498"/>
      <c r="K34" s="498"/>
      <c r="L34" s="498"/>
      <c r="M34" s="498"/>
      <c r="N34" s="498"/>
      <c r="O34" s="49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496"/>
      <c r="C35" s="496"/>
      <c r="D35" s="496"/>
      <c r="E35" s="498"/>
      <c r="F35" s="498"/>
      <c r="G35" s="498"/>
      <c r="H35" s="498"/>
      <c r="I35" s="498"/>
      <c r="J35" s="498"/>
      <c r="K35" s="498"/>
      <c r="L35" s="498"/>
      <c r="M35" s="498"/>
      <c r="N35" s="498"/>
      <c r="O35" s="49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499"/>
      <c r="C36" s="499"/>
      <c r="D36" s="499"/>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496"/>
      <c r="C37" s="496"/>
      <c r="D37" s="496"/>
      <c r="E37" s="498"/>
      <c r="F37" s="498"/>
      <c r="G37" s="498"/>
      <c r="H37" s="498"/>
      <c r="I37" s="498"/>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496"/>
      <c r="C38" s="496"/>
      <c r="D38" s="496"/>
      <c r="E38" s="497"/>
      <c r="F38" s="497"/>
      <c r="G38" s="497"/>
      <c r="H38" s="497"/>
      <c r="I38" s="497"/>
      <c r="J38" s="498"/>
      <c r="K38" s="498"/>
      <c r="L38" s="498"/>
      <c r="M38" s="498"/>
      <c r="N38" s="498"/>
      <c r="O38" s="49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00"/>
      <c r="C39" s="500"/>
      <c r="D39" s="500"/>
      <c r="E39" s="498"/>
      <c r="F39" s="498"/>
      <c r="G39" s="498"/>
      <c r="H39" s="498"/>
      <c r="I39" s="498"/>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01"/>
      <c r="C40" s="501"/>
      <c r="D40" s="501"/>
      <c r="E40" s="502"/>
      <c r="F40" s="502"/>
      <c r="G40" s="502"/>
      <c r="H40" s="502"/>
      <c r="I40" s="502"/>
      <c r="J40" s="498"/>
      <c r="K40" s="498"/>
      <c r="L40" s="498"/>
      <c r="M40" s="498"/>
      <c r="N40" s="498"/>
      <c r="O40" s="49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00"/>
      <c r="C41" s="500"/>
      <c r="D41" s="500"/>
      <c r="E41" s="497"/>
      <c r="F41" s="497"/>
      <c r="G41" s="497"/>
      <c r="H41" s="497"/>
      <c r="I41" s="497"/>
      <c r="J41" s="498"/>
      <c r="K41" s="498"/>
      <c r="L41" s="498"/>
      <c r="M41" s="498"/>
      <c r="N41" s="498"/>
      <c r="O41" s="49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00"/>
      <c r="C42" s="500"/>
      <c r="D42" s="500"/>
      <c r="E42" s="498"/>
      <c r="F42" s="498"/>
      <c r="G42" s="498"/>
      <c r="H42" s="498"/>
      <c r="I42" s="498"/>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00"/>
      <c r="C43" s="500"/>
      <c r="D43" s="500"/>
      <c r="E43" s="497"/>
      <c r="F43" s="497"/>
      <c r="G43" s="497"/>
      <c r="H43" s="497"/>
      <c r="I43" s="497"/>
      <c r="J43" s="498"/>
      <c r="K43" s="498"/>
      <c r="L43" s="498"/>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01"/>
      <c r="C44" s="501"/>
      <c r="D44" s="501"/>
      <c r="E44" s="497"/>
      <c r="F44" s="497"/>
      <c r="G44" s="497"/>
      <c r="H44" s="497"/>
      <c r="I44" s="497"/>
      <c r="J44" s="498"/>
      <c r="K44" s="498"/>
      <c r="L44" s="498"/>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01"/>
      <c r="C45" s="501"/>
      <c r="D45" s="501"/>
      <c r="E45" s="497"/>
      <c r="F45" s="497"/>
      <c r="G45" s="497"/>
      <c r="H45" s="497"/>
      <c r="I45" s="497"/>
      <c r="J45" s="498"/>
      <c r="K45" s="498"/>
      <c r="L45" s="498"/>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03"/>
      <c r="C46" s="503"/>
      <c r="D46" s="503"/>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04" t="s">
        <v>44</v>
      </c>
      <c r="C48" s="504"/>
      <c r="D48" s="504"/>
      <c r="E48" s="504"/>
      <c r="F48" s="504"/>
      <c r="G48" s="504"/>
      <c r="H48" s="504"/>
      <c r="I48" s="504"/>
      <c r="J48" s="504"/>
      <c r="K48" s="504"/>
      <c r="L48" s="504"/>
      <c r="M48" s="505" t="s">
        <v>45</v>
      </c>
      <c r="N48" s="505"/>
      <c r="O48" s="505"/>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5:D45"/>
    <mergeCell ref="E45:I45"/>
    <mergeCell ref="J45:L45"/>
    <mergeCell ref="B46:D46"/>
    <mergeCell ref="B48:L48"/>
    <mergeCell ref="M48:O48"/>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0:D10"/>
    <mergeCell ref="E10:I10"/>
    <mergeCell ref="J10:L10"/>
    <mergeCell ref="M10:O10"/>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J154"/>
  <sheetViews>
    <sheetView showGridLines="0" zoomScale="70" zoomScaleNormal="70" zoomScalePageLayoutView="0" workbookViewId="0" topLeftCell="G100">
      <selection activeCell="K108" sqref="K108"/>
    </sheetView>
  </sheetViews>
  <sheetFormatPr defaultColWidth="9.140625" defaultRowHeight="15"/>
  <cols>
    <col min="1" max="1" width="2.7109375" style="0" customWidth="1"/>
    <col min="2" max="2" width="41.140625" style="0" customWidth="1"/>
    <col min="3" max="3" width="23.00390625" style="0" customWidth="1"/>
    <col min="4" max="4" width="22.28125" style="0" customWidth="1"/>
    <col min="5" max="5" width="20.57421875" style="0" customWidth="1"/>
    <col min="6" max="6" width="15.8515625" style="0" customWidth="1"/>
    <col min="7" max="7" width="16.57421875" style="0" customWidth="1"/>
    <col min="8" max="8" width="26.7109375" style="0" customWidth="1"/>
    <col min="9" max="9" width="19.7109375" style="0" customWidth="1"/>
    <col min="10" max="10" width="28.57421875" style="0" customWidth="1"/>
    <col min="11" max="11" width="18.57421875" style="0" customWidth="1"/>
    <col min="12" max="12" width="15.28125" style="0" customWidth="1"/>
    <col min="13" max="13" width="20.57421875" style="0" customWidth="1"/>
    <col min="14" max="14" width="14.28125" style="5" customWidth="1"/>
    <col min="15" max="15" width="15.57421875" style="5" customWidth="1"/>
    <col min="16" max="16" width="19.421875" style="0" customWidth="1"/>
    <col min="17" max="17" width="16.140625" style="0" customWidth="1"/>
    <col min="18" max="18" width="13.7109375" style="0" customWidth="1"/>
    <col min="19" max="19" width="13.421875" style="0" customWidth="1"/>
    <col min="20" max="20" width="59.140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5" customWidth="1"/>
    <col min="35" max="35" width="3.28125" style="5" customWidth="1"/>
    <col min="36" max="36" width="2.28125" style="5" customWidth="1"/>
    <col min="37" max="37" width="40.7109375" style="0" customWidth="1"/>
    <col min="38" max="38" width="15.421875" style="0" customWidth="1"/>
  </cols>
  <sheetData>
    <row r="1" spans="1:13" ht="29.25" customHeight="1">
      <c r="A1" s="6"/>
      <c r="B1" s="6"/>
      <c r="C1" s="6"/>
      <c r="D1" s="6"/>
      <c r="E1" s="6"/>
      <c r="F1" s="6"/>
      <c r="G1" s="6"/>
      <c r="H1" s="6"/>
      <c r="I1" s="6"/>
      <c r="J1" s="6"/>
      <c r="K1" s="6"/>
      <c r="L1" s="6"/>
      <c r="M1" s="6"/>
    </row>
    <row r="2" spans="1:13" ht="15.75" customHeight="1">
      <c r="A2" s="6"/>
      <c r="B2" s="506" t="s">
        <v>46</v>
      </c>
      <c r="C2" s="506"/>
      <c r="D2" s="506"/>
      <c r="E2" s="506"/>
      <c r="F2" s="506"/>
      <c r="G2" s="506"/>
      <c r="H2" s="506"/>
      <c r="I2" s="506"/>
      <c r="J2" s="506"/>
      <c r="K2" s="33"/>
      <c r="L2" s="33"/>
      <c r="M2" s="33"/>
    </row>
    <row r="3" spans="1:13" ht="4.5" customHeight="1">
      <c r="A3" s="6"/>
      <c r="B3" s="6"/>
      <c r="C3" s="6"/>
      <c r="D3" s="6"/>
      <c r="E3" s="6"/>
      <c r="F3" s="6"/>
      <c r="G3" s="6"/>
      <c r="H3" s="6"/>
      <c r="I3" s="6"/>
      <c r="J3" s="6"/>
      <c r="K3" s="6"/>
      <c r="L3" s="6"/>
      <c r="M3" s="6"/>
    </row>
    <row r="4" spans="1:13" ht="15">
      <c r="A4" s="6"/>
      <c r="B4" s="34" t="s">
        <v>47</v>
      </c>
      <c r="C4" s="507" t="s">
        <v>48</v>
      </c>
      <c r="D4" s="507"/>
      <c r="E4" s="508" t="s">
        <v>49</v>
      </c>
      <c r="F4" s="508"/>
      <c r="G4" s="509" t="s">
        <v>50</v>
      </c>
      <c r="H4" s="509"/>
      <c r="I4" s="509"/>
      <c r="J4" s="509"/>
      <c r="K4" s="6"/>
      <c r="L4" s="6"/>
      <c r="M4" s="6"/>
    </row>
    <row r="5" spans="1:13" ht="3" customHeight="1">
      <c r="A5" s="6"/>
      <c r="B5" s="37"/>
      <c r="C5" s="6"/>
      <c r="D5" s="6"/>
      <c r="E5" s="38"/>
      <c r="F5" s="38"/>
      <c r="G5" s="6"/>
      <c r="H5" s="6"/>
      <c r="I5" s="6"/>
      <c r="J5" s="6"/>
      <c r="K5" s="6"/>
      <c r="L5" s="6"/>
      <c r="M5" s="6"/>
    </row>
    <row r="6" spans="1:13" ht="15">
      <c r="A6" s="6"/>
      <c r="B6" s="34" t="s">
        <v>51</v>
      </c>
      <c r="C6" s="509" t="s">
        <v>52</v>
      </c>
      <c r="D6" s="509"/>
      <c r="E6" s="508" t="s">
        <v>53</v>
      </c>
      <c r="F6" s="508"/>
      <c r="G6" s="35" t="s">
        <v>54</v>
      </c>
      <c r="H6" s="39" t="s">
        <v>55</v>
      </c>
      <c r="I6" s="510"/>
      <c r="J6" s="510"/>
      <c r="K6" s="6"/>
      <c r="L6" s="6"/>
      <c r="M6" s="6"/>
    </row>
    <row r="7" spans="1:13" ht="3" customHeight="1">
      <c r="A7" s="6"/>
      <c r="B7" s="37"/>
      <c r="C7" s="6"/>
      <c r="D7" s="6"/>
      <c r="E7" s="38"/>
      <c r="F7" s="38"/>
      <c r="G7" s="6"/>
      <c r="H7" s="37"/>
      <c r="I7" s="6"/>
      <c r="J7" s="6"/>
      <c r="K7" s="6"/>
      <c r="L7" s="6"/>
      <c r="M7" s="6"/>
    </row>
    <row r="8" spans="1:13" ht="15">
      <c r="A8" s="6"/>
      <c r="B8" s="34" t="s">
        <v>56</v>
      </c>
      <c r="C8" s="509" t="s">
        <v>57</v>
      </c>
      <c r="D8" s="509"/>
      <c r="E8" s="40"/>
      <c r="F8" s="36" t="s">
        <v>58</v>
      </c>
      <c r="G8" s="35" t="s">
        <v>59</v>
      </c>
      <c r="H8" s="36" t="s">
        <v>60</v>
      </c>
      <c r="I8" s="507" t="s">
        <v>61</v>
      </c>
      <c r="J8" s="507"/>
      <c r="K8" s="6"/>
      <c r="L8" s="6"/>
      <c r="M8" s="6"/>
    </row>
    <row r="9" spans="1:13" ht="3" customHeight="1">
      <c r="A9" s="6"/>
      <c r="B9" s="38"/>
      <c r="C9" s="41">
        <v>39825</v>
      </c>
      <c r="D9" s="6"/>
      <c r="E9" s="38"/>
      <c r="F9" s="38"/>
      <c r="G9" s="6"/>
      <c r="H9" s="6"/>
      <c r="I9" s="6"/>
      <c r="J9" s="6"/>
      <c r="K9" s="6"/>
      <c r="L9" s="6"/>
      <c r="M9" s="6"/>
    </row>
    <row r="10" spans="1:13" ht="15">
      <c r="A10" s="6"/>
      <c r="B10" s="34" t="s">
        <v>62</v>
      </c>
      <c r="C10" s="511" t="s">
        <v>63</v>
      </c>
      <c r="D10" s="511"/>
      <c r="E10" s="512" t="s">
        <v>64</v>
      </c>
      <c r="F10" s="512"/>
      <c r="G10" s="507" t="s">
        <v>65</v>
      </c>
      <c r="H10" s="507"/>
      <c r="I10" s="507"/>
      <c r="J10" s="507"/>
      <c r="K10" s="6"/>
      <c r="L10" s="6"/>
      <c r="M10" s="6"/>
    </row>
    <row r="11" spans="1:13" ht="5.25" customHeight="1">
      <c r="A11" s="6"/>
      <c r="B11" s="6"/>
      <c r="C11" s="6"/>
      <c r="D11" s="6"/>
      <c r="E11" s="6"/>
      <c r="F11" s="6"/>
      <c r="G11" s="6"/>
      <c r="H11" s="6"/>
      <c r="I11" s="6"/>
      <c r="J11" s="6"/>
      <c r="K11" s="6"/>
      <c r="L11" s="6"/>
      <c r="M11" s="6"/>
    </row>
    <row r="12" spans="1:13" ht="15" customHeight="1">
      <c r="A12" s="6"/>
      <c r="B12" s="34" t="s">
        <v>66</v>
      </c>
      <c r="C12" s="513" t="s">
        <v>67</v>
      </c>
      <c r="D12" s="513"/>
      <c r="E12" s="514" t="s">
        <v>68</v>
      </c>
      <c r="F12" s="514"/>
      <c r="G12" s="509" t="s">
        <v>69</v>
      </c>
      <c r="H12" s="509"/>
      <c r="I12" s="509"/>
      <c r="J12" s="509"/>
      <c r="K12" s="6"/>
      <c r="L12" s="6"/>
      <c r="M12" s="6"/>
    </row>
    <row r="13" spans="1:13" ht="5.25" customHeight="1">
      <c r="A13" s="6"/>
      <c r="B13" s="6"/>
      <c r="C13" s="6"/>
      <c r="D13" s="6"/>
      <c r="E13" s="6"/>
      <c r="F13" s="6"/>
      <c r="G13" s="6"/>
      <c r="H13" s="6"/>
      <c r="I13" s="6"/>
      <c r="J13" s="6"/>
      <c r="K13" s="6"/>
      <c r="L13" s="6"/>
      <c r="M13" s="6"/>
    </row>
    <row r="14" spans="1:13" ht="15.75" customHeight="1">
      <c r="A14" s="6"/>
      <c r="B14" s="506" t="s">
        <v>70</v>
      </c>
      <c r="C14" s="506"/>
      <c r="D14" s="506"/>
      <c r="E14" s="506"/>
      <c r="F14" s="506"/>
      <c r="G14" s="506"/>
      <c r="H14" s="506"/>
      <c r="I14" s="506"/>
      <c r="J14" s="506"/>
      <c r="K14" s="6"/>
      <c r="L14" s="6"/>
      <c r="M14" s="6"/>
    </row>
    <row r="15" spans="1:13" ht="3" customHeight="1">
      <c r="A15" s="6"/>
      <c r="B15" s="6"/>
      <c r="C15" s="6"/>
      <c r="D15" s="6"/>
      <c r="E15" s="6"/>
      <c r="F15" s="6"/>
      <c r="G15" s="6"/>
      <c r="H15" s="6"/>
      <c r="I15" s="6"/>
      <c r="J15" s="6"/>
      <c r="K15" s="6"/>
      <c r="L15" s="6"/>
      <c r="M15" s="6"/>
    </row>
    <row r="16" spans="1:13" ht="15">
      <c r="A16" s="6"/>
      <c r="B16" s="34" t="s">
        <v>71</v>
      </c>
      <c r="C16" s="35" t="s">
        <v>72</v>
      </c>
      <c r="D16" s="36" t="s">
        <v>73</v>
      </c>
      <c r="E16" s="42">
        <v>42370</v>
      </c>
      <c r="F16" s="43" t="s">
        <v>74</v>
      </c>
      <c r="G16" s="42">
        <v>42551</v>
      </c>
      <c r="H16" s="515" t="s">
        <v>75</v>
      </c>
      <c r="I16" s="515"/>
      <c r="J16" s="42">
        <v>42646</v>
      </c>
      <c r="K16" s="6"/>
      <c r="L16" s="6"/>
      <c r="M16" s="6"/>
    </row>
    <row r="17" spans="1:13" ht="3" customHeight="1">
      <c r="A17" s="6"/>
      <c r="B17" s="6"/>
      <c r="C17" s="6"/>
      <c r="D17" s="6"/>
      <c r="E17" s="6"/>
      <c r="F17" s="6"/>
      <c r="G17" s="6"/>
      <c r="H17" s="6"/>
      <c r="I17" s="6"/>
      <c r="J17" s="6"/>
      <c r="K17" s="6"/>
      <c r="L17" s="6"/>
      <c r="M17" s="6"/>
    </row>
    <row r="18" spans="1:13" ht="15">
      <c r="A18" s="6"/>
      <c r="B18" s="516" t="s">
        <v>76</v>
      </c>
      <c r="C18" s="516"/>
      <c r="D18" s="509" t="s">
        <v>77</v>
      </c>
      <c r="E18" s="509"/>
      <c r="F18" s="509"/>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06" t="s">
        <v>78</v>
      </c>
      <c r="C21" s="506"/>
      <c r="D21" s="506"/>
      <c r="E21" s="506"/>
      <c r="F21" s="506"/>
      <c r="G21" s="506"/>
      <c r="H21" s="506"/>
      <c r="I21" s="506"/>
      <c r="J21" s="506"/>
      <c r="K21" s="6"/>
      <c r="L21" s="6"/>
      <c r="M21" s="6"/>
    </row>
    <row r="22" spans="1:13" ht="15">
      <c r="A22" s="6"/>
      <c r="B22" s="45" t="s">
        <v>79</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
      <c r="A24" s="6"/>
      <c r="B24" s="34" t="s">
        <v>80</v>
      </c>
      <c r="C24" s="47"/>
      <c r="D24" s="508" t="s">
        <v>81</v>
      </c>
      <c r="E24" s="508"/>
      <c r="F24" s="48"/>
      <c r="G24" s="508" t="s">
        <v>82</v>
      </c>
      <c r="H24" s="508"/>
      <c r="I24" s="517"/>
      <c r="J24" s="517"/>
      <c r="K24" s="6"/>
      <c r="L24" s="6"/>
      <c r="M24" s="6"/>
      <c r="N24" s="49"/>
    </row>
    <row r="25" spans="1:35" ht="18.75">
      <c r="A25" s="6"/>
      <c r="B25" s="50" t="s">
        <v>80</v>
      </c>
      <c r="C25" s="51"/>
      <c r="D25" s="51"/>
      <c r="E25" s="51"/>
      <c r="F25" s="51"/>
      <c r="G25" s="51"/>
      <c r="H25" s="52"/>
      <c r="I25" s="52"/>
      <c r="J25" s="52" t="s">
        <v>83</v>
      </c>
      <c r="K25" s="52"/>
      <c r="L25" s="51"/>
      <c r="M25" s="51"/>
      <c r="N25" s="53"/>
      <c r="O25" s="54"/>
      <c r="AI25" s="55"/>
    </row>
    <row r="26" spans="1:35" ht="15">
      <c r="A26" s="6"/>
      <c r="B26" s="518" t="s">
        <v>84</v>
      </c>
      <c r="C26" s="518"/>
      <c r="D26" s="56" t="s">
        <v>85</v>
      </c>
      <c r="E26" s="57"/>
      <c r="F26" s="57"/>
      <c r="G26" s="57"/>
      <c r="H26" s="57"/>
      <c r="I26" s="57"/>
      <c r="J26" s="58"/>
      <c r="K26" s="57"/>
      <c r="L26" s="57"/>
      <c r="M26" s="57"/>
      <c r="N26" s="54"/>
      <c r="O26" s="54"/>
      <c r="AI26" s="55"/>
    </row>
    <row r="27" spans="1:35" ht="18.75">
      <c r="A27" s="6"/>
      <c r="B27" s="59" t="s">
        <v>86</v>
      </c>
      <c r="C27" s="57"/>
      <c r="D27" s="57"/>
      <c r="E27" s="57"/>
      <c r="F27" s="57"/>
      <c r="G27" s="57"/>
      <c r="H27" s="57"/>
      <c r="I27" s="57"/>
      <c r="J27" s="58"/>
      <c r="K27" s="57"/>
      <c r="L27" s="57"/>
      <c r="M27" s="57"/>
      <c r="N27" s="54"/>
      <c r="O27" s="54"/>
      <c r="AI27" s="55"/>
    </row>
    <row r="28" spans="1:13" ht="15">
      <c r="A28" s="6"/>
      <c r="B28" s="6"/>
      <c r="C28" s="6"/>
      <c r="D28" s="6"/>
      <c r="E28" s="6"/>
      <c r="F28" s="6"/>
      <c r="G28" s="6"/>
      <c r="H28" s="6"/>
      <c r="I28" s="6"/>
      <c r="J28" s="6"/>
      <c r="K28" s="6"/>
      <c r="L28" s="6"/>
      <c r="M28" s="6"/>
    </row>
    <row r="29" spans="1:19" ht="15">
      <c r="A29" s="6"/>
      <c r="B29" s="519" t="s">
        <v>87</v>
      </c>
      <c r="C29" s="519"/>
      <c r="D29" s="519"/>
      <c r="E29" s="519"/>
      <c r="F29" s="519"/>
      <c r="G29" s="519"/>
      <c r="H29" s="519"/>
      <c r="I29" s="519"/>
      <c r="J29" s="519"/>
      <c r="K29" s="519"/>
      <c r="L29" s="519"/>
      <c r="M29" s="519"/>
      <c r="N29" s="519"/>
      <c r="P29" s="60"/>
      <c r="Q29" s="61"/>
      <c r="R29" s="62">
        <f>+C33</f>
        <v>3776587</v>
      </c>
      <c r="S29" s="60"/>
    </row>
    <row r="30" spans="1:19" ht="66.75" customHeight="1">
      <c r="A30" s="6"/>
      <c r="B30" s="63" t="s">
        <v>88</v>
      </c>
      <c r="C30" s="64" t="s">
        <v>89</v>
      </c>
      <c r="D30" s="64" t="s">
        <v>90</v>
      </c>
      <c r="E30" s="64" t="s">
        <v>91</v>
      </c>
      <c r="F30" s="64" t="s">
        <v>92</v>
      </c>
      <c r="G30" s="64" t="s">
        <v>72</v>
      </c>
      <c r="H30" s="64" t="s">
        <v>93</v>
      </c>
      <c r="I30" s="64" t="s">
        <v>94</v>
      </c>
      <c r="J30" s="64" t="s">
        <v>95</v>
      </c>
      <c r="K30" s="64" t="s">
        <v>96</v>
      </c>
      <c r="L30" s="64" t="s">
        <v>97</v>
      </c>
      <c r="M30" s="64" t="s">
        <v>98</v>
      </c>
      <c r="N30" s="65" t="s">
        <v>99</v>
      </c>
      <c r="O30" s="66" t="s">
        <v>100</v>
      </c>
      <c r="P30" s="60"/>
      <c r="Q30" s="61"/>
      <c r="R30" s="62">
        <f>+D33</f>
        <v>4323313</v>
      </c>
      <c r="S30" s="60"/>
    </row>
    <row r="31" spans="1:19" ht="15">
      <c r="A31" s="6"/>
      <c r="B31" s="67" t="str">
        <f>CONCATENATE("Presupuesto (en ",'Introducción de datos'!$D$26,")")</f>
        <v>Presupuesto (en $)</v>
      </c>
      <c r="C31" s="68">
        <f>4728347-951760</f>
        <v>3776587</v>
      </c>
      <c r="D31" s="69">
        <f>650395.88-103669.88</f>
        <v>546726</v>
      </c>
      <c r="E31" s="69">
        <f>3787096-3048608</f>
        <v>738488</v>
      </c>
      <c r="F31" s="69">
        <v>3386210</v>
      </c>
      <c r="G31" s="70">
        <v>3244440</v>
      </c>
      <c r="H31" s="70">
        <v>321921</v>
      </c>
      <c r="I31" s="71"/>
      <c r="J31" s="71"/>
      <c r="K31" s="71"/>
      <c r="L31" s="71"/>
      <c r="M31" s="71"/>
      <c r="N31" s="71"/>
      <c r="O31" s="520">
        <f>+SUM(C35:N35)</f>
        <v>0.7151912605834312</v>
      </c>
      <c r="P31" s="60"/>
      <c r="Q31" s="61"/>
      <c r="R31" s="62">
        <f>+E33</f>
        <v>5061801</v>
      </c>
      <c r="S31" s="60"/>
    </row>
    <row r="32" spans="1:19" ht="15">
      <c r="A32" s="6"/>
      <c r="B32" s="72" t="str">
        <f>CONCATENATE("Desembolsos por el Fondo Mundial (en ",$D$26,")")</f>
        <v>Desembolsos por el Fondo Mundial (en $)</v>
      </c>
      <c r="C32" s="68">
        <v>4638823.7</v>
      </c>
      <c r="D32" s="73">
        <v>941478.07</v>
      </c>
      <c r="E32" s="73">
        <v>2782037</v>
      </c>
      <c r="F32" s="74"/>
      <c r="G32" s="74"/>
      <c r="H32" s="74"/>
      <c r="I32" s="71"/>
      <c r="J32" s="71"/>
      <c r="K32" s="71"/>
      <c r="L32" s="71"/>
      <c r="M32" s="71"/>
      <c r="N32" s="71"/>
      <c r="O32" s="520"/>
      <c r="P32" s="60"/>
      <c r="Q32" s="61"/>
      <c r="R32" s="62">
        <f>+F33</f>
        <v>8448011</v>
      </c>
      <c r="S32" s="60"/>
    </row>
    <row r="33" spans="1:19" ht="15">
      <c r="A33" s="6"/>
      <c r="B33" s="75" t="s">
        <v>101</v>
      </c>
      <c r="C33" s="76">
        <f>+C31</f>
        <v>3776587</v>
      </c>
      <c r="D33" s="70">
        <f>+C31+D31</f>
        <v>4323313</v>
      </c>
      <c r="E33" s="70">
        <f aca="true" t="shared" si="0" ref="E33:H34">+D33+E31</f>
        <v>5061801</v>
      </c>
      <c r="F33" s="70">
        <f t="shared" si="0"/>
        <v>8448011</v>
      </c>
      <c r="G33" s="70">
        <f t="shared" si="0"/>
        <v>11692451</v>
      </c>
      <c r="H33" s="70">
        <f t="shared" si="0"/>
        <v>12014372</v>
      </c>
      <c r="I33" s="77">
        <f aca="true" t="shared" si="1" ref="I33:N33">IF(AND(I31=0,I32=0),0,+H33+I31)</f>
        <v>0</v>
      </c>
      <c r="J33" s="77">
        <f t="shared" si="1"/>
        <v>0</v>
      </c>
      <c r="K33" s="77">
        <f t="shared" si="1"/>
        <v>0</v>
      </c>
      <c r="L33" s="77">
        <f t="shared" si="1"/>
        <v>0</v>
      </c>
      <c r="M33" s="77">
        <f t="shared" si="1"/>
        <v>0</v>
      </c>
      <c r="N33" s="77">
        <f t="shared" si="1"/>
        <v>0</v>
      </c>
      <c r="O33" s="520"/>
      <c r="P33" s="78"/>
      <c r="Q33" s="61"/>
      <c r="R33" s="62">
        <f>+G33</f>
        <v>11692451</v>
      </c>
      <c r="S33" s="60"/>
    </row>
    <row r="34" spans="1:19" ht="15">
      <c r="A34" s="6"/>
      <c r="B34" s="79" t="s">
        <v>102</v>
      </c>
      <c r="C34" s="80">
        <v>4638823.7</v>
      </c>
      <c r="D34" s="81">
        <f>+C34+D32</f>
        <v>5580301.7700000005</v>
      </c>
      <c r="E34" s="81">
        <f t="shared" si="0"/>
        <v>8362338.7700000005</v>
      </c>
      <c r="F34" s="81">
        <f t="shared" si="0"/>
        <v>8362338.7700000005</v>
      </c>
      <c r="G34" s="81">
        <f t="shared" si="0"/>
        <v>8362338.7700000005</v>
      </c>
      <c r="H34" s="81">
        <f t="shared" si="0"/>
        <v>8362338.7700000005</v>
      </c>
      <c r="I34" s="82">
        <f aca="true" t="shared" si="2" ref="I34:N34">IF(AND(I31=0,I32=0),0,+H34+I32)</f>
        <v>0</v>
      </c>
      <c r="J34" s="82">
        <f t="shared" si="2"/>
        <v>0</v>
      </c>
      <c r="K34" s="82">
        <f t="shared" si="2"/>
        <v>0</v>
      </c>
      <c r="L34" s="82">
        <f t="shared" si="2"/>
        <v>0</v>
      </c>
      <c r="M34" s="82">
        <f t="shared" si="2"/>
        <v>0</v>
      </c>
      <c r="N34" s="82">
        <f t="shared" si="2"/>
        <v>0</v>
      </c>
      <c r="O34" s="520"/>
      <c r="P34" s="78"/>
      <c r="Q34" s="61"/>
      <c r="R34" s="62">
        <f>+H33</f>
        <v>12014372</v>
      </c>
      <c r="S34" s="60"/>
    </row>
    <row r="35" spans="1:19" ht="15">
      <c r="A35" s="6"/>
      <c r="B35" s="6"/>
      <c r="C35" s="83">
        <f>+IF(AND(C30=$C$16,C33&lt;&gt;0),C34/C33,0)</f>
        <v>0</v>
      </c>
      <c r="D35" s="83">
        <f>+IF(AND(D30=$C$16,D33&lt;&gt;0),D34/D33,0)</f>
        <v>0</v>
      </c>
      <c r="E35" s="83"/>
      <c r="F35" s="83">
        <f aca="true" t="shared" si="3" ref="F35:N35">+IF(AND(F30=$C$16,F33&lt;&gt;0),F34/F33,0)</f>
        <v>0</v>
      </c>
      <c r="G35" s="83">
        <f t="shared" si="3"/>
        <v>0.7151912605834312</v>
      </c>
      <c r="H35" s="83">
        <f t="shared" si="3"/>
        <v>0</v>
      </c>
      <c r="I35" s="83">
        <f t="shared" si="3"/>
        <v>0</v>
      </c>
      <c r="J35" s="83">
        <f t="shared" si="3"/>
        <v>0</v>
      </c>
      <c r="K35" s="83">
        <f t="shared" si="3"/>
        <v>0</v>
      </c>
      <c r="L35" s="83">
        <f t="shared" si="3"/>
        <v>0</v>
      </c>
      <c r="M35" s="83">
        <f t="shared" si="3"/>
        <v>0</v>
      </c>
      <c r="N35" s="83">
        <f t="shared" si="3"/>
        <v>0</v>
      </c>
      <c r="O35" s="84"/>
      <c r="P35" s="85"/>
      <c r="Q35" s="86"/>
      <c r="R35" s="62">
        <f>+I33</f>
        <v>0</v>
      </c>
      <c r="S35" s="60"/>
    </row>
    <row r="36" spans="1:35" ht="18.75">
      <c r="A36" s="6"/>
      <c r="B36" s="59" t="s">
        <v>103</v>
      </c>
      <c r="C36" s="6"/>
      <c r="D36" s="6"/>
      <c r="E36" s="87"/>
      <c r="F36" s="6"/>
      <c r="G36" s="88"/>
      <c r="H36" s="6"/>
      <c r="I36" s="6"/>
      <c r="J36" s="6"/>
      <c r="K36" s="6"/>
      <c r="L36" s="6"/>
      <c r="M36" s="6"/>
      <c r="N36" s="89"/>
      <c r="O36" s="89"/>
      <c r="AI36" s="49"/>
    </row>
    <row r="37" spans="1:15" ht="15">
      <c r="A37" s="6"/>
      <c r="B37" s="6"/>
      <c r="C37" s="6"/>
      <c r="D37" s="6"/>
      <c r="E37" s="6"/>
      <c r="F37" s="6"/>
      <c r="G37" s="6"/>
      <c r="H37" s="6"/>
      <c r="I37" s="6"/>
      <c r="J37" s="6"/>
      <c r="K37" s="6"/>
      <c r="L37" s="6"/>
      <c r="M37" s="6"/>
      <c r="N37" s="90"/>
      <c r="O37" s="90"/>
    </row>
    <row r="38" spans="1:32" ht="30" customHeight="1">
      <c r="A38" s="6"/>
      <c r="B38" s="91" t="s">
        <v>104</v>
      </c>
      <c r="C38" s="92" t="str">
        <f>CONCATENATE("Presupuesto acumulado (en ",'Introducción de datos'!$D$26,")")</f>
        <v>Presupuesto acumulado (en $)</v>
      </c>
      <c r="D38" s="93" t="str">
        <f>CONCATENATE("Gastos acumulados (en ",'Introducción de datos'!$D$26,")")</f>
        <v>Gastos acumulados (en $)</v>
      </c>
      <c r="E38" s="94"/>
      <c r="F38" s="95"/>
      <c r="G38" s="6"/>
      <c r="H38" s="6"/>
      <c r="I38" s="6"/>
      <c r="J38" s="96"/>
      <c r="K38" s="97"/>
      <c r="N38"/>
      <c r="O38"/>
      <c r="AE38" s="49"/>
      <c r="AF38" s="5"/>
    </row>
    <row r="39" spans="1:32" ht="14.25" customHeight="1">
      <c r="A39" s="6"/>
      <c r="B39" s="98" t="s">
        <v>105</v>
      </c>
      <c r="C39" s="99">
        <f>794453+243098.68</f>
        <v>1037551.6799999999</v>
      </c>
      <c r="D39" s="99">
        <f>413340.63+82794.35+50681.71+143397.02+158114.81</f>
        <v>848328.52</v>
      </c>
      <c r="E39" s="100"/>
      <c r="F39" s="101"/>
      <c r="G39" s="102"/>
      <c r="H39" s="6"/>
      <c r="I39" s="6"/>
      <c r="J39" s="103"/>
      <c r="K39" s="104"/>
      <c r="N39"/>
      <c r="O39"/>
      <c r="AE39" s="49"/>
      <c r="AF39" s="5"/>
    </row>
    <row r="40" spans="1:32" ht="14.25" customHeight="1">
      <c r="A40" s="6"/>
      <c r="B40" s="98" t="s">
        <v>106</v>
      </c>
      <c r="C40" s="99">
        <f>6041980+2542587.46</f>
        <v>8584567.46</v>
      </c>
      <c r="D40" s="99">
        <f>3564577.26+559745.75+981.2+127226.42+943269.44+1109060.7</f>
        <v>6304860.7700000005</v>
      </c>
      <c r="E40" s="105"/>
      <c r="F40" s="101"/>
      <c r="G40" s="102"/>
      <c r="H40" s="6"/>
      <c r="I40" s="6"/>
      <c r="J40" s="6"/>
      <c r="K40" s="104"/>
      <c r="N40"/>
      <c r="O40"/>
      <c r="AE40" s="49"/>
      <c r="AF40" s="5"/>
    </row>
    <row r="41" spans="1:32" ht="15">
      <c r="A41" s="6"/>
      <c r="B41" s="106" t="s">
        <v>107</v>
      </c>
      <c r="C41" s="99">
        <f>1611578+458753.44</f>
        <v>2070331.44</v>
      </c>
      <c r="D41" s="99">
        <f>901469.95+94966.44+10270.72+235982.61+148725.87</f>
        <v>1391415.5899999999</v>
      </c>
      <c r="E41" s="105"/>
      <c r="F41" s="107"/>
      <c r="G41" s="6"/>
      <c r="H41" s="6"/>
      <c r="I41" s="6"/>
      <c r="J41" s="6"/>
      <c r="K41" s="104"/>
      <c r="N41"/>
      <c r="O41"/>
      <c r="AE41" s="49"/>
      <c r="AF41" s="5"/>
    </row>
    <row r="42" spans="1:32" ht="15" customHeight="1">
      <c r="A42" s="6"/>
      <c r="B42" s="98"/>
      <c r="C42" s="99"/>
      <c r="D42" s="99"/>
      <c r="E42" s="105"/>
      <c r="F42" s="108"/>
      <c r="G42" s="6"/>
      <c r="H42" s="6"/>
      <c r="I42" s="6"/>
      <c r="J42" s="6"/>
      <c r="K42" s="49"/>
      <c r="N42"/>
      <c r="O42"/>
      <c r="AE42" s="49"/>
      <c r="AF42" s="5"/>
    </row>
    <row r="43" spans="1:32" ht="15">
      <c r="A43" s="6"/>
      <c r="B43" s="98"/>
      <c r="C43" s="99"/>
      <c r="D43" s="99"/>
      <c r="E43" s="105"/>
      <c r="F43" s="109"/>
      <c r="G43" s="6"/>
      <c r="H43" s="6"/>
      <c r="I43" s="6"/>
      <c r="J43" s="6"/>
      <c r="K43" s="49"/>
      <c r="N43"/>
      <c r="O43"/>
      <c r="AE43" s="49"/>
      <c r="AF43" s="5"/>
    </row>
    <row r="44" spans="1:32" ht="15">
      <c r="A44" s="6"/>
      <c r="B44" s="98"/>
      <c r="C44" s="99"/>
      <c r="D44" s="99"/>
      <c r="E44" s="105"/>
      <c r="F44" s="110"/>
      <c r="G44" s="6"/>
      <c r="H44" s="6"/>
      <c r="I44" s="6"/>
      <c r="J44" s="6"/>
      <c r="K44" s="49"/>
      <c r="N44"/>
      <c r="O44"/>
      <c r="AE44" s="49"/>
      <c r="AF44" s="5"/>
    </row>
    <row r="45" spans="1:32" ht="15">
      <c r="A45" s="6"/>
      <c r="B45" s="111"/>
      <c r="C45" s="99"/>
      <c r="D45" s="99"/>
      <c r="E45" s="105"/>
      <c r="F45" s="109"/>
      <c r="G45" s="105"/>
      <c r="H45" s="105"/>
      <c r="I45" s="105"/>
      <c r="J45" s="105"/>
      <c r="K45" s="49"/>
      <c r="N45"/>
      <c r="O45"/>
      <c r="AE45" s="5"/>
      <c r="AF45" s="5"/>
    </row>
    <row r="46" spans="1:32" ht="15">
      <c r="A46" s="6"/>
      <c r="B46" s="112"/>
      <c r="C46" s="99"/>
      <c r="D46" s="99"/>
      <c r="E46" s="105"/>
      <c r="F46" s="105"/>
      <c r="G46" s="105"/>
      <c r="H46" s="105"/>
      <c r="I46" s="105"/>
      <c r="J46" s="105"/>
      <c r="K46" s="49"/>
      <c r="N46"/>
      <c r="O46"/>
      <c r="AE46" s="5"/>
      <c r="AF46" s="5"/>
    </row>
    <row r="47" spans="1:32" ht="15">
      <c r="A47" s="6"/>
      <c r="B47" s="113" t="s">
        <v>108</v>
      </c>
      <c r="C47" s="114">
        <f>SUM(C39:C45)</f>
        <v>11692450.58</v>
      </c>
      <c r="D47" s="114">
        <f>SUM(D39:D45)</f>
        <v>8544604.88</v>
      </c>
      <c r="E47" s="84"/>
      <c r="F47" s="521" t="str">
        <f ca="1">+IF((ROUND(C47,0)=ROUND(OFFSET(B33,0,RIGHT('Introducción de datos'!$C$16,LEN('Introducción de datos'!$C$16)-1),1,1),0)),"OK: Datos corresponden","Atención: Datos no corresponden")</f>
        <v>OK: Datos corresponden</v>
      </c>
      <c r="G47" s="521"/>
      <c r="H47" s="521"/>
      <c r="I47" s="521"/>
      <c r="J47" s="115"/>
      <c r="K47" s="115"/>
      <c r="L47" s="115"/>
      <c r="M47" s="85"/>
      <c r="N47" s="86"/>
      <c r="O47" s="62"/>
      <c r="P47" s="60"/>
      <c r="AE47" s="5"/>
      <c r="AF47" s="5"/>
    </row>
    <row r="48" spans="1:19" ht="15">
      <c r="A48" s="6"/>
      <c r="B48" s="6"/>
      <c r="C48" s="115"/>
      <c r="D48" s="115"/>
      <c r="E48" s="116"/>
      <c r="F48" s="115"/>
      <c r="G48" s="115"/>
      <c r="H48" s="115"/>
      <c r="I48" s="115"/>
      <c r="J48" s="115"/>
      <c r="K48" s="115"/>
      <c r="L48" s="115"/>
      <c r="M48" s="115"/>
      <c r="N48" s="115"/>
      <c r="O48" s="115"/>
      <c r="P48" s="85"/>
      <c r="Q48" s="86"/>
      <c r="R48" s="62"/>
      <c r="S48" s="60"/>
    </row>
    <row r="49" spans="1:19" ht="18.75">
      <c r="A49" s="6"/>
      <c r="B49" s="59" t="s">
        <v>109</v>
      </c>
      <c r="C49" s="6"/>
      <c r="D49" s="6"/>
      <c r="E49" s="6"/>
      <c r="F49" s="6"/>
      <c r="G49" s="6"/>
      <c r="H49" s="6"/>
      <c r="I49" s="6"/>
      <c r="J49" s="6"/>
      <c r="K49" s="6"/>
      <c r="L49" s="6"/>
      <c r="M49" s="6"/>
      <c r="P49" s="60"/>
      <c r="Q49" s="61"/>
      <c r="R49" s="62">
        <f>+J33</f>
        <v>0</v>
      </c>
      <c r="S49" s="60"/>
    </row>
    <row r="50" spans="1:19" ht="15">
      <c r="A50" s="6"/>
      <c r="B50" s="6"/>
      <c r="C50" s="102"/>
      <c r="D50" s="6"/>
      <c r="E50" s="6"/>
      <c r="F50" s="6"/>
      <c r="G50" s="6"/>
      <c r="H50" s="6"/>
      <c r="I50" s="6"/>
      <c r="J50" s="6"/>
      <c r="K50" s="6"/>
      <c r="L50" s="6"/>
      <c r="M50" s="6"/>
      <c r="P50" s="60"/>
      <c r="Q50" s="61"/>
      <c r="R50" s="62">
        <f>+K33</f>
        <v>0</v>
      </c>
      <c r="S50" s="60"/>
    </row>
    <row r="51" spans="1:34" ht="35.25" customHeight="1">
      <c r="A51" s="6"/>
      <c r="B51" s="117"/>
      <c r="C51" s="118" t="s">
        <v>110</v>
      </c>
      <c r="D51" s="118" t="s">
        <v>111</v>
      </c>
      <c r="E51" s="119" t="str">
        <f>CONCATENATE("Total gastado y desembolso (en ",D26,")")</f>
        <v>Total gastado y desembolso (en $)</v>
      </c>
      <c r="F51" s="6"/>
      <c r="G51" s="120"/>
      <c r="H51" s="95"/>
      <c r="I51" s="121"/>
      <c r="J51" s="121"/>
      <c r="K51" s="121"/>
      <c r="L51" s="121"/>
      <c r="M51" s="122"/>
      <c r="N51" s="122"/>
      <c r="O51" s="60"/>
      <c r="P51" s="61"/>
      <c r="Q51" s="62">
        <f>+M33</f>
        <v>0</v>
      </c>
      <c r="R51" s="60"/>
      <c r="AH51" s="49"/>
    </row>
    <row r="52" spans="1:34" ht="15">
      <c r="A52" s="6"/>
      <c r="B52" s="123" t="s">
        <v>112</v>
      </c>
      <c r="C52" s="99">
        <f>4638823.7+941478.07+2782037</f>
        <v>8362338.7700000005</v>
      </c>
      <c r="D52" s="99">
        <v>0</v>
      </c>
      <c r="E52" s="124">
        <f>SUM(C52:D52)</f>
        <v>8362338.7700000005</v>
      </c>
      <c r="F52" s="6"/>
      <c r="G52" s="125"/>
      <c r="H52" s="126"/>
      <c r="I52" s="127"/>
      <c r="J52" s="128"/>
      <c r="K52" s="128"/>
      <c r="L52" s="129"/>
      <c r="M52" s="129"/>
      <c r="N52" s="129"/>
      <c r="O52" s="60"/>
      <c r="P52" s="60"/>
      <c r="Q52" s="60"/>
      <c r="R52" s="60"/>
      <c r="AH52" s="49"/>
    </row>
    <row r="53" spans="1:34" ht="15">
      <c r="A53" s="6"/>
      <c r="B53" s="123" t="s">
        <v>113</v>
      </c>
      <c r="C53" s="99">
        <f>4326671.52+552716.32+50681.71+127226.42+10270.72+738487.74+1322649.07</f>
        <v>7128703.5</v>
      </c>
      <c r="D53" s="99">
        <v>1415901.37</v>
      </c>
      <c r="E53" s="124">
        <f>SUM(C53:D53)</f>
        <v>8544604.870000001</v>
      </c>
      <c r="F53" s="102"/>
      <c r="G53" s="130"/>
      <c r="H53" s="126"/>
      <c r="I53" s="127"/>
      <c r="J53" s="128"/>
      <c r="K53" s="128"/>
      <c r="L53" s="129"/>
      <c r="M53" s="131"/>
      <c r="N53" s="131"/>
      <c r="O53" s="60"/>
      <c r="P53" s="60"/>
      <c r="Q53" s="60"/>
      <c r="R53" s="60"/>
      <c r="AH53" s="49"/>
    </row>
    <row r="54" spans="1:34" ht="15">
      <c r="A54" s="6"/>
      <c r="B54" s="123" t="s">
        <v>114</v>
      </c>
      <c r="C54" s="99">
        <v>362960.63</v>
      </c>
      <c r="D54" s="99">
        <v>2368950.59</v>
      </c>
      <c r="E54" s="124">
        <f>SUM(C54:D54)</f>
        <v>2731911.2199999997</v>
      </c>
      <c r="F54" s="6"/>
      <c r="G54" s="125"/>
      <c r="H54" s="126"/>
      <c r="I54" s="127"/>
      <c r="J54" s="128"/>
      <c r="K54" s="128"/>
      <c r="L54" s="129"/>
      <c r="M54" s="129"/>
      <c r="N54" s="129"/>
      <c r="O54"/>
      <c r="AH54" s="49"/>
    </row>
    <row r="55" spans="1:34" ht="15">
      <c r="A55" s="6"/>
      <c r="B55" s="132" t="s">
        <v>115</v>
      </c>
      <c r="C55" s="99"/>
      <c r="D55" s="133">
        <f>3805.37+460856.83</f>
        <v>464662.2</v>
      </c>
      <c r="E55" s="124">
        <f>SUM(C55:D55)</f>
        <v>464662.2</v>
      </c>
      <c r="F55" s="6"/>
      <c r="G55" s="130"/>
      <c r="H55" s="134"/>
      <c r="I55" s="135"/>
      <c r="J55" s="135"/>
      <c r="K55" s="135"/>
      <c r="L55" s="129"/>
      <c r="M55" s="131"/>
      <c r="N55" s="131"/>
      <c r="O55"/>
      <c r="AH55" s="49"/>
    </row>
    <row r="56" spans="1:35" ht="15.75" customHeight="1">
      <c r="A56" s="6"/>
      <c r="B56" s="6"/>
      <c r="C56" s="6"/>
      <c r="D56" s="6"/>
      <c r="E56" s="6"/>
      <c r="F56" s="6"/>
      <c r="G56" s="6"/>
      <c r="H56" s="6"/>
      <c r="I56" s="6"/>
      <c r="J56" s="6"/>
      <c r="K56" s="6"/>
      <c r="L56" s="6"/>
      <c r="M56" s="6"/>
      <c r="AI56" s="49"/>
    </row>
    <row r="57" spans="1:13" ht="15">
      <c r="A57" s="6"/>
      <c r="B57" s="6"/>
      <c r="C57" s="6"/>
      <c r="D57" s="6"/>
      <c r="E57" s="6"/>
      <c r="F57" s="6"/>
      <c r="G57" s="6"/>
      <c r="H57" s="6"/>
      <c r="I57" s="6"/>
      <c r="J57" s="6"/>
      <c r="K57" s="6"/>
      <c r="L57" s="6"/>
      <c r="M57" s="6"/>
    </row>
    <row r="58" spans="1:13" ht="18.75">
      <c r="A58" s="6"/>
      <c r="B58" s="59" t="s">
        <v>116</v>
      </c>
      <c r="C58" s="6"/>
      <c r="D58" s="6"/>
      <c r="E58" s="6"/>
      <c r="F58" s="6"/>
      <c r="G58" s="6"/>
      <c r="H58" s="6"/>
      <c r="I58" s="6"/>
      <c r="J58" s="6"/>
      <c r="K58" s="6"/>
      <c r="L58" s="6"/>
      <c r="M58" s="6"/>
    </row>
    <row r="59" spans="1:13" ht="15">
      <c r="A59" s="6"/>
      <c r="B59" s="6"/>
      <c r="C59" s="6"/>
      <c r="D59" s="6"/>
      <c r="E59" s="6"/>
      <c r="F59" s="6"/>
      <c r="G59" s="6"/>
      <c r="H59" s="6"/>
      <c r="I59" s="6"/>
      <c r="J59" s="6"/>
      <c r="K59" s="6"/>
      <c r="L59" s="6"/>
      <c r="M59" s="6"/>
    </row>
    <row r="60" spans="1:15" ht="15" customHeight="1">
      <c r="A60" s="6"/>
      <c r="B60" s="522" t="s">
        <v>117</v>
      </c>
      <c r="C60" s="522"/>
      <c r="D60" s="522"/>
      <c r="E60" s="6"/>
      <c r="F60" s="6"/>
      <c r="G60" s="6"/>
      <c r="H60" s="6"/>
      <c r="I60" s="6"/>
      <c r="J60" s="6"/>
      <c r="K60" s="6"/>
      <c r="L60" s="6"/>
      <c r="M60" s="5"/>
      <c r="O60"/>
    </row>
    <row r="61" spans="1:15" ht="15">
      <c r="A61" s="6"/>
      <c r="B61" s="136"/>
      <c r="C61" s="137" t="s">
        <v>118</v>
      </c>
      <c r="D61" s="138" t="s">
        <v>119</v>
      </c>
      <c r="E61" s="6"/>
      <c r="F61" s="6"/>
      <c r="G61" s="6"/>
      <c r="H61" s="6"/>
      <c r="I61" s="6"/>
      <c r="J61" s="6"/>
      <c r="K61" s="6"/>
      <c r="L61" s="6"/>
      <c r="M61" s="5"/>
      <c r="O61"/>
    </row>
    <row r="62" spans="1:15" ht="15">
      <c r="A62" s="6"/>
      <c r="B62" s="139" t="s">
        <v>120</v>
      </c>
      <c r="C62" s="140">
        <v>60</v>
      </c>
      <c r="D62" s="141">
        <v>60</v>
      </c>
      <c r="E62" s="6"/>
      <c r="F62" s="6"/>
      <c r="G62" s="6"/>
      <c r="H62" s="6"/>
      <c r="I62" s="6"/>
      <c r="J62" s="6"/>
      <c r="K62" s="6"/>
      <c r="L62" s="6"/>
      <c r="M62" s="5"/>
      <c r="O62"/>
    </row>
    <row r="63" spans="1:15" ht="15">
      <c r="A63" s="6"/>
      <c r="B63" s="142" t="s">
        <v>121</v>
      </c>
      <c r="C63" s="140">
        <v>45</v>
      </c>
      <c r="D63" s="141">
        <v>90</v>
      </c>
      <c r="E63" s="6"/>
      <c r="F63" s="6"/>
      <c r="G63" s="6"/>
      <c r="H63" s="126"/>
      <c r="I63" s="126"/>
      <c r="J63" s="6"/>
      <c r="K63" s="6"/>
      <c r="L63" s="6"/>
      <c r="M63" s="5"/>
      <c r="O63"/>
    </row>
    <row r="64" spans="1:15" ht="30">
      <c r="A64" s="6"/>
      <c r="B64" s="143" t="s">
        <v>122</v>
      </c>
      <c r="C64" s="144"/>
      <c r="D64" s="145"/>
      <c r="E64" s="6"/>
      <c r="F64" s="6"/>
      <c r="G64" s="6"/>
      <c r="H64" s="126"/>
      <c r="I64" s="126"/>
      <c r="J64" s="6"/>
      <c r="K64" s="6"/>
      <c r="L64" s="6"/>
      <c r="M64" s="5"/>
      <c r="O64"/>
    </row>
    <row r="65" spans="1:13" ht="15">
      <c r="A65" s="6"/>
      <c r="B65" s="6"/>
      <c r="C65" s="6"/>
      <c r="D65" s="6"/>
      <c r="E65" s="6"/>
      <c r="F65" s="6"/>
      <c r="G65" s="6"/>
      <c r="H65" s="6"/>
      <c r="I65" s="6"/>
      <c r="J65" s="6"/>
      <c r="K65" s="6"/>
      <c r="L65" s="6"/>
      <c r="M65" s="6"/>
    </row>
    <row r="66" spans="1:30" ht="15">
      <c r="A66" s="6"/>
      <c r="B66" s="6"/>
      <c r="C66" s="6"/>
      <c r="D66" s="6"/>
      <c r="E66" s="6"/>
      <c r="F66" s="6"/>
      <c r="G66" s="6"/>
      <c r="H66" s="6"/>
      <c r="I66" s="6"/>
      <c r="J66" s="6"/>
      <c r="K66" s="6"/>
      <c r="L66" s="146"/>
      <c r="M66" s="6"/>
      <c r="AC66" s="10"/>
      <c r="AD66" s="10"/>
    </row>
    <row r="67" spans="1:30" ht="18.75">
      <c r="A67" s="6"/>
      <c r="B67" s="147" t="s">
        <v>123</v>
      </c>
      <c r="C67" s="148"/>
      <c r="D67" s="148"/>
      <c r="E67" s="148"/>
      <c r="F67" s="148"/>
      <c r="G67" s="148"/>
      <c r="H67" s="149" t="s">
        <v>124</v>
      </c>
      <c r="I67" s="148"/>
      <c r="J67" s="150"/>
      <c r="K67" s="150"/>
      <c r="L67" s="151"/>
      <c r="M67" s="152"/>
      <c r="N67" s="153"/>
      <c r="O67" s="153"/>
      <c r="P67" s="153"/>
      <c r="S67" s="55"/>
      <c r="AC67" s="10"/>
      <c r="AD67" s="10"/>
    </row>
    <row r="68" spans="1:30" ht="18.75">
      <c r="A68" s="6"/>
      <c r="B68" s="154"/>
      <c r="C68" s="155"/>
      <c r="D68" s="155"/>
      <c r="E68" s="155"/>
      <c r="F68" s="155"/>
      <c r="G68" s="155"/>
      <c r="H68" s="155"/>
      <c r="I68" s="155"/>
      <c r="J68" s="155"/>
      <c r="K68" s="156"/>
      <c r="L68" s="156"/>
      <c r="M68" s="155"/>
      <c r="N68" s="153"/>
      <c r="O68" s="153"/>
      <c r="P68" s="153"/>
      <c r="S68" s="55"/>
      <c r="AC68" s="10"/>
      <c r="AD68" s="10"/>
    </row>
    <row r="69" spans="1:30" ht="18.75">
      <c r="A69" s="6"/>
      <c r="B69" s="157" t="s">
        <v>125</v>
      </c>
      <c r="C69" s="158"/>
      <c r="D69" s="158"/>
      <c r="E69" s="158"/>
      <c r="F69" s="155"/>
      <c r="G69" s="155"/>
      <c r="H69" s="155"/>
      <c r="I69" s="155"/>
      <c r="J69" s="155"/>
      <c r="K69" s="156"/>
      <c r="L69" s="156"/>
      <c r="M69" s="155"/>
      <c r="N69" s="153"/>
      <c r="O69" s="153"/>
      <c r="P69" s="153"/>
      <c r="S69" s="55"/>
      <c r="AC69" s="10"/>
      <c r="AD69" s="10"/>
    </row>
    <row r="70" spans="1:30" ht="15">
      <c r="A70" s="6"/>
      <c r="B70" s="159"/>
      <c r="C70" s="160"/>
      <c r="D70" s="160"/>
      <c r="E70" s="160"/>
      <c r="F70" s="160"/>
      <c r="G70" s="160"/>
      <c r="H70" s="159"/>
      <c r="I70" s="160"/>
      <c r="J70" s="159"/>
      <c r="K70" s="159"/>
      <c r="L70" s="159"/>
      <c r="M70" s="159"/>
      <c r="N70" s="49"/>
      <c r="O70" s="10"/>
      <c r="P70" s="10"/>
      <c r="Q70" s="10"/>
      <c r="R70" s="10"/>
      <c r="S70" s="10"/>
      <c r="AD70" s="10"/>
    </row>
    <row r="71" spans="1:19" ht="69.75" customHeight="1">
      <c r="A71" s="6"/>
      <c r="B71" s="523"/>
      <c r="C71" s="523"/>
      <c r="D71" s="161" t="s">
        <v>126</v>
      </c>
      <c r="E71" s="162" t="s">
        <v>127</v>
      </c>
      <c r="F71" s="162" t="s">
        <v>128</v>
      </c>
      <c r="G71" s="163" t="s">
        <v>108</v>
      </c>
      <c r="H71" s="164"/>
      <c r="I71" s="165"/>
      <c r="J71" s="105"/>
      <c r="K71" s="159"/>
      <c r="L71" s="159"/>
      <c r="M71" s="159"/>
      <c r="N71" s="49"/>
      <c r="O71" s="10"/>
      <c r="P71" s="10"/>
      <c r="Q71" s="10"/>
      <c r="R71" s="10"/>
      <c r="S71" s="10"/>
    </row>
    <row r="72" spans="1:19" ht="15">
      <c r="A72" s="6"/>
      <c r="B72" s="524" t="s">
        <v>129</v>
      </c>
      <c r="C72" s="524"/>
      <c r="D72" s="167">
        <v>21</v>
      </c>
      <c r="E72" s="167">
        <v>10</v>
      </c>
      <c r="F72" s="167">
        <v>0</v>
      </c>
      <c r="G72" s="168">
        <f>SUM(D72:F72)</f>
        <v>31</v>
      </c>
      <c r="H72" s="109"/>
      <c r="I72" s="169"/>
      <c r="J72" s="169"/>
      <c r="K72" s="159"/>
      <c r="L72" s="159"/>
      <c r="M72" s="159"/>
      <c r="N72" s="49"/>
      <c r="O72" s="10"/>
      <c r="P72" s="10"/>
      <c r="Q72" s="10"/>
      <c r="R72" s="10"/>
      <c r="S72" s="10"/>
    </row>
    <row r="73" spans="1:19" ht="15.75" customHeight="1">
      <c r="A73" s="6"/>
      <c r="B73" s="525" t="s">
        <v>130</v>
      </c>
      <c r="C73" s="525"/>
      <c r="D73" s="171"/>
      <c r="E73" s="171"/>
      <c r="F73" s="171"/>
      <c r="G73" s="172">
        <f>SUM(D73:F73)</f>
        <v>0</v>
      </c>
      <c r="H73" s="109"/>
      <c r="I73" s="105"/>
      <c r="J73" s="105"/>
      <c r="K73" s="159"/>
      <c r="L73" s="159"/>
      <c r="M73" s="159"/>
      <c r="N73" s="10"/>
      <c r="O73" s="10"/>
      <c r="P73" s="10"/>
      <c r="Q73" s="10"/>
      <c r="R73" s="10"/>
      <c r="S73" s="10"/>
    </row>
    <row r="74" spans="1:19" ht="15">
      <c r="A74" s="6"/>
      <c r="B74" s="159"/>
      <c r="C74" s="159"/>
      <c r="D74" s="159"/>
      <c r="E74" s="159"/>
      <c r="F74" s="159"/>
      <c r="G74" s="159"/>
      <c r="H74" s="159"/>
      <c r="I74" s="159"/>
      <c r="J74" s="159"/>
      <c r="K74" s="159"/>
      <c r="L74" s="159"/>
      <c r="M74" s="159"/>
      <c r="N74" s="10"/>
      <c r="O74" s="10"/>
      <c r="P74" s="10"/>
      <c r="Q74" s="10"/>
      <c r="R74" s="10"/>
      <c r="S74" s="10"/>
    </row>
    <row r="75" spans="1:19" ht="15">
      <c r="A75" s="6"/>
      <c r="B75" s="159"/>
      <c r="C75" s="159"/>
      <c r="D75" s="159"/>
      <c r="E75" s="159"/>
      <c r="F75" s="159"/>
      <c r="G75" s="159"/>
      <c r="H75" s="159"/>
      <c r="I75" s="159"/>
      <c r="J75" s="159"/>
      <c r="K75" s="159"/>
      <c r="L75" s="159"/>
      <c r="M75" s="159"/>
      <c r="N75" s="10"/>
      <c r="O75" s="10"/>
      <c r="P75" s="10"/>
      <c r="S75" s="10"/>
    </row>
    <row r="76" spans="1:19" ht="18.75">
      <c r="A76" s="6"/>
      <c r="B76" s="157" t="s">
        <v>131</v>
      </c>
      <c r="C76" s="173"/>
      <c r="D76" s="173"/>
      <c r="E76" s="159"/>
      <c r="F76" s="159"/>
      <c r="G76" s="159"/>
      <c r="H76" s="159"/>
      <c r="I76" s="159"/>
      <c r="J76" s="159"/>
      <c r="K76" s="159"/>
      <c r="L76" s="159"/>
      <c r="M76" s="159"/>
      <c r="N76" s="10"/>
      <c r="O76" s="10"/>
      <c r="P76" s="10"/>
      <c r="S76" s="10"/>
    </row>
    <row r="77" spans="1:19" ht="15">
      <c r="A77" s="6"/>
      <c r="B77" s="159"/>
      <c r="C77" s="159"/>
      <c r="D77" s="159"/>
      <c r="E77" s="159"/>
      <c r="F77" s="159"/>
      <c r="G77" s="159"/>
      <c r="H77" s="159"/>
      <c r="I77" s="159"/>
      <c r="J77" s="159"/>
      <c r="K77" s="159"/>
      <c r="L77" s="159"/>
      <c r="M77" s="159"/>
      <c r="N77" s="10"/>
      <c r="O77" s="10"/>
      <c r="P77" s="10"/>
      <c r="S77" s="10"/>
    </row>
    <row r="78" spans="1:19" ht="15">
      <c r="A78" s="6"/>
      <c r="B78" s="174"/>
      <c r="C78" s="175" t="s">
        <v>132</v>
      </c>
      <c r="D78" s="175" t="s">
        <v>133</v>
      </c>
      <c r="E78" s="176" t="s">
        <v>134</v>
      </c>
      <c r="F78" s="105"/>
      <c r="G78" s="105"/>
      <c r="H78" s="105"/>
      <c r="I78" s="165"/>
      <c r="J78" s="159"/>
      <c r="K78" s="159"/>
      <c r="L78" s="159"/>
      <c r="M78" s="159"/>
      <c r="N78" s="10"/>
      <c r="O78" s="10"/>
      <c r="P78" s="10"/>
      <c r="S78" s="10"/>
    </row>
    <row r="79" spans="1:19" ht="15">
      <c r="A79" s="6"/>
      <c r="B79" s="170" t="s">
        <v>135</v>
      </c>
      <c r="C79" s="177">
        <v>4</v>
      </c>
      <c r="D79" s="177">
        <v>4</v>
      </c>
      <c r="E79" s="178">
        <f>+C79-D79</f>
        <v>0</v>
      </c>
      <c r="F79" s="179"/>
      <c r="G79" s="180"/>
      <c r="H79" s="105"/>
      <c r="I79" s="169"/>
      <c r="J79" s="159"/>
      <c r="K79" s="159"/>
      <c r="L79" s="159"/>
      <c r="M79" s="159"/>
      <c r="N79" s="10"/>
      <c r="O79" s="10"/>
      <c r="P79" s="10"/>
      <c r="S79" s="10"/>
    </row>
    <row r="80" spans="1:19" ht="15">
      <c r="A80" s="6"/>
      <c r="B80" s="159"/>
      <c r="C80" s="159"/>
      <c r="D80" s="159"/>
      <c r="E80" s="159"/>
      <c r="F80" s="159"/>
      <c r="G80" s="159"/>
      <c r="H80" s="159"/>
      <c r="I80" s="159"/>
      <c r="J80" s="159"/>
      <c r="K80" s="159"/>
      <c r="L80" s="159"/>
      <c r="M80" s="159"/>
      <c r="N80" s="10"/>
      <c r="O80" s="10"/>
      <c r="P80" s="10"/>
      <c r="S80" s="10"/>
    </row>
    <row r="81" spans="1:19" ht="18.75">
      <c r="A81" s="6"/>
      <c r="B81" s="157" t="s">
        <v>136</v>
      </c>
      <c r="C81" s="173"/>
      <c r="D81" s="159"/>
      <c r="E81" s="159"/>
      <c r="F81" s="159"/>
      <c r="G81" s="159"/>
      <c r="H81" s="159"/>
      <c r="I81" s="159"/>
      <c r="J81" s="159"/>
      <c r="K81" s="159"/>
      <c r="L81" s="159"/>
      <c r="M81" s="159"/>
      <c r="N81" s="10"/>
      <c r="O81" s="10"/>
      <c r="P81" s="10"/>
      <c r="S81" s="10"/>
    </row>
    <row r="82" spans="1:19" ht="15">
      <c r="A82" s="6"/>
      <c r="B82" s="159"/>
      <c r="C82" s="159"/>
      <c r="D82" s="159"/>
      <c r="E82" s="159"/>
      <c r="F82" s="159"/>
      <c r="G82" s="159"/>
      <c r="H82" s="159"/>
      <c r="I82" s="159"/>
      <c r="J82" s="159"/>
      <c r="K82" s="159"/>
      <c r="L82" s="159"/>
      <c r="M82" s="159"/>
      <c r="N82" s="10"/>
      <c r="O82" s="10"/>
      <c r="P82" s="10"/>
      <c r="S82" s="10"/>
    </row>
    <row r="83" spans="1:19" ht="30">
      <c r="A83" s="6"/>
      <c r="B83" s="174"/>
      <c r="C83" s="175" t="s">
        <v>137</v>
      </c>
      <c r="D83" s="175" t="s">
        <v>138</v>
      </c>
      <c r="E83" s="175" t="s">
        <v>139</v>
      </c>
      <c r="F83" s="175" t="s">
        <v>140</v>
      </c>
      <c r="G83" s="181" t="s">
        <v>141</v>
      </c>
      <c r="H83" s="182"/>
      <c r="I83" s="165"/>
      <c r="J83" s="159"/>
      <c r="K83" s="159"/>
      <c r="L83" s="159"/>
      <c r="M83" s="159"/>
      <c r="N83" s="10"/>
      <c r="O83" s="10"/>
      <c r="P83" s="10"/>
      <c r="S83" s="10"/>
    </row>
    <row r="84" spans="1:19" ht="15">
      <c r="A84" s="6"/>
      <c r="B84" s="170" t="s">
        <v>142</v>
      </c>
      <c r="C84" s="177" t="s">
        <v>143</v>
      </c>
      <c r="D84" s="177" t="s">
        <v>143</v>
      </c>
      <c r="E84" s="177" t="s">
        <v>143</v>
      </c>
      <c r="F84" s="177" t="s">
        <v>143</v>
      </c>
      <c r="G84" s="183" t="s">
        <v>143</v>
      </c>
      <c r="H84" s="184"/>
      <c r="I84" s="109"/>
      <c r="J84" s="159"/>
      <c r="K84" s="159"/>
      <c r="L84" s="159"/>
      <c r="M84" s="159"/>
      <c r="N84" s="10"/>
      <c r="O84" s="10"/>
      <c r="P84" s="10"/>
      <c r="S84" s="10"/>
    </row>
    <row r="85" spans="1:19" ht="15">
      <c r="A85" s="6"/>
      <c r="B85" s="159"/>
      <c r="C85" s="159"/>
      <c r="D85" s="159"/>
      <c r="E85" s="159"/>
      <c r="F85" s="159"/>
      <c r="G85" s="159"/>
      <c r="H85" s="159"/>
      <c r="J85" s="159"/>
      <c r="K85" s="159"/>
      <c r="L85" s="159"/>
      <c r="M85" s="159"/>
      <c r="N85" s="10"/>
      <c r="O85" s="10"/>
      <c r="P85" s="10"/>
      <c r="S85" s="10"/>
    </row>
    <row r="86" spans="1:19" ht="18.75">
      <c r="A86" s="6"/>
      <c r="B86" s="157" t="s">
        <v>144</v>
      </c>
      <c r="C86" s="173"/>
      <c r="D86" s="173"/>
      <c r="E86" s="159"/>
      <c r="F86" s="159"/>
      <c r="G86" s="159"/>
      <c r="H86" s="159"/>
      <c r="I86" s="159"/>
      <c r="J86" s="159"/>
      <c r="K86" s="159"/>
      <c r="L86" s="159"/>
      <c r="M86" s="159"/>
      <c r="N86" s="10"/>
      <c r="O86" s="10"/>
      <c r="P86" s="10"/>
      <c r="S86" s="10"/>
    </row>
    <row r="87" spans="1:19" ht="15">
      <c r="A87" s="6"/>
      <c r="B87" s="159"/>
      <c r="C87" s="159"/>
      <c r="D87" s="159"/>
      <c r="E87" s="159"/>
      <c r="F87" s="159"/>
      <c r="G87" s="159"/>
      <c r="H87" s="159"/>
      <c r="I87" s="159"/>
      <c r="J87" s="159"/>
      <c r="K87" s="159"/>
      <c r="L87" s="159"/>
      <c r="M87" s="159"/>
      <c r="N87" s="10"/>
      <c r="O87" s="10"/>
      <c r="P87" s="10"/>
      <c r="S87" s="10"/>
    </row>
    <row r="88" spans="1:36" ht="15">
      <c r="A88" s="6"/>
      <c r="B88" s="174"/>
      <c r="C88" s="185" t="s">
        <v>145</v>
      </c>
      <c r="D88" s="185" t="s">
        <v>146</v>
      </c>
      <c r="E88" s="186" t="s">
        <v>147</v>
      </c>
      <c r="F88" s="159"/>
      <c r="G88" s="159"/>
      <c r="H88" s="159"/>
      <c r="I88" s="159"/>
      <c r="J88" s="10"/>
      <c r="K88" s="10"/>
      <c r="L88" s="10"/>
      <c r="N88"/>
      <c r="O88" s="10"/>
      <c r="AG88" s="5"/>
      <c r="AJ88"/>
    </row>
    <row r="89" spans="1:36" ht="15">
      <c r="A89" s="6"/>
      <c r="B89" s="166" t="s">
        <v>148</v>
      </c>
      <c r="C89" s="167" t="s">
        <v>143</v>
      </c>
      <c r="D89" s="187" t="s">
        <v>143</v>
      </c>
      <c r="E89" s="188" t="s">
        <v>143</v>
      </c>
      <c r="F89" s="159"/>
      <c r="G89" s="159"/>
      <c r="H89" s="159"/>
      <c r="I89" s="159"/>
      <c r="J89" s="10"/>
      <c r="K89" s="10"/>
      <c r="L89" s="10"/>
      <c r="N89"/>
      <c r="O89" s="10"/>
      <c r="AG89" s="5"/>
      <c r="AJ89"/>
    </row>
    <row r="90" spans="1:36" ht="15">
      <c r="A90" s="6"/>
      <c r="B90" s="170" t="s">
        <v>149</v>
      </c>
      <c r="C90" s="171" t="s">
        <v>143</v>
      </c>
      <c r="D90" s="189" t="s">
        <v>143</v>
      </c>
      <c r="E90" s="188" t="s">
        <v>143</v>
      </c>
      <c r="F90" s="159"/>
      <c r="G90" s="159"/>
      <c r="H90" s="159"/>
      <c r="I90" s="159"/>
      <c r="J90" s="10"/>
      <c r="K90" s="10"/>
      <c r="L90" s="10"/>
      <c r="N90"/>
      <c r="O90" s="10"/>
      <c r="AG90" s="5"/>
      <c r="AJ90"/>
    </row>
    <row r="91" spans="1:19" ht="15">
      <c r="A91" s="6"/>
      <c r="B91" s="159"/>
      <c r="C91" s="159"/>
      <c r="D91" s="159"/>
      <c r="E91" s="159"/>
      <c r="F91" s="159"/>
      <c r="G91" s="159"/>
      <c r="H91" s="159"/>
      <c r="I91" s="159"/>
      <c r="J91" s="159"/>
      <c r="K91" s="159"/>
      <c r="L91" s="159"/>
      <c r="M91" s="159"/>
      <c r="N91" s="10"/>
      <c r="O91" s="10"/>
      <c r="P91" s="10"/>
      <c r="S91" s="10"/>
    </row>
    <row r="92" spans="1:19" ht="18.75">
      <c r="A92" s="6"/>
      <c r="B92" s="157" t="s">
        <v>150</v>
      </c>
      <c r="C92" s="173"/>
      <c r="D92" s="173"/>
      <c r="E92" s="173"/>
      <c r="F92" s="173"/>
      <c r="G92" s="173"/>
      <c r="H92" s="159"/>
      <c r="I92" s="159"/>
      <c r="J92" s="159"/>
      <c r="K92" s="159"/>
      <c r="L92" s="159"/>
      <c r="M92" s="159"/>
      <c r="N92" s="10"/>
      <c r="O92" s="10"/>
      <c r="P92" s="10"/>
      <c r="S92" s="10"/>
    </row>
    <row r="93" spans="1:19" ht="15">
      <c r="A93" s="6"/>
      <c r="B93" s="159"/>
      <c r="C93" s="159"/>
      <c r="D93" s="159"/>
      <c r="E93" s="159"/>
      <c r="F93" s="159"/>
      <c r="G93" s="159"/>
      <c r="H93" s="159"/>
      <c r="I93" s="105"/>
      <c r="J93" s="105"/>
      <c r="K93" s="105"/>
      <c r="L93" s="105"/>
      <c r="M93" s="105"/>
      <c r="N93" s="49"/>
      <c r="O93" s="49"/>
      <c r="P93" s="49"/>
      <c r="S93" s="10"/>
    </row>
    <row r="94" spans="1:19" ht="15">
      <c r="A94" s="6"/>
      <c r="B94" s="190"/>
      <c r="C94" s="191" t="s">
        <v>89</v>
      </c>
      <c r="D94" s="191" t="s">
        <v>90</v>
      </c>
      <c r="E94" s="191" t="s">
        <v>91</v>
      </c>
      <c r="F94" s="191" t="s">
        <v>92</v>
      </c>
      <c r="G94" s="191" t="s">
        <v>72</v>
      </c>
      <c r="H94" s="191" t="s">
        <v>93</v>
      </c>
      <c r="I94" s="191" t="s">
        <v>94</v>
      </c>
      <c r="J94" s="191" t="s">
        <v>95</v>
      </c>
      <c r="K94" s="191" t="s">
        <v>96</v>
      </c>
      <c r="L94" s="191" t="s">
        <v>97</v>
      </c>
      <c r="M94" s="191" t="s">
        <v>98</v>
      </c>
      <c r="N94" s="192" t="s">
        <v>99</v>
      </c>
      <c r="O94" s="49"/>
      <c r="P94" s="49"/>
      <c r="S94" s="10"/>
    </row>
    <row r="95" spans="1:19" ht="15" customHeight="1">
      <c r="A95" s="6"/>
      <c r="B95" s="193" t="s">
        <v>151</v>
      </c>
      <c r="C95" s="194">
        <v>3206603</v>
      </c>
      <c r="D95" s="194">
        <v>10487</v>
      </c>
      <c r="E95" s="194">
        <v>392159</v>
      </c>
      <c r="F95" s="194">
        <v>2562883</v>
      </c>
      <c r="G95" s="194">
        <v>2526521.6</v>
      </c>
      <c r="H95" s="195"/>
      <c r="I95" s="195"/>
      <c r="J95" s="195"/>
      <c r="K95" s="195"/>
      <c r="L95" s="195"/>
      <c r="M95" s="195"/>
      <c r="N95" s="195"/>
      <c r="O95" s="49"/>
      <c r="P95" s="49"/>
      <c r="S95" s="10"/>
    </row>
    <row r="96" spans="1:19" ht="15" customHeight="1">
      <c r="A96" s="6"/>
      <c r="B96" s="193" t="s">
        <v>152</v>
      </c>
      <c r="C96" s="194"/>
      <c r="D96" s="194"/>
      <c r="E96" s="194">
        <v>1421382.21</v>
      </c>
      <c r="F96" s="194"/>
      <c r="G96" s="194">
        <v>2563299.37</v>
      </c>
      <c r="H96" s="195"/>
      <c r="I96" s="195"/>
      <c r="J96" s="195"/>
      <c r="K96" s="195"/>
      <c r="L96" s="195"/>
      <c r="M96" s="195"/>
      <c r="N96" s="195"/>
      <c r="O96" s="49"/>
      <c r="P96" s="49"/>
      <c r="S96" s="10"/>
    </row>
    <row r="97" spans="1:19" ht="15" customHeight="1">
      <c r="A97" s="6"/>
      <c r="B97" s="193" t="s">
        <v>153</v>
      </c>
      <c r="C97" s="194">
        <v>3414952</v>
      </c>
      <c r="D97" s="194">
        <v>21237</v>
      </c>
      <c r="E97" s="194">
        <v>377134</v>
      </c>
      <c r="F97" s="194">
        <v>918836.65</v>
      </c>
      <c r="G97" s="194">
        <v>996742.37</v>
      </c>
      <c r="H97" s="195"/>
      <c r="I97" s="195"/>
      <c r="J97" s="195"/>
      <c r="K97" s="195"/>
      <c r="L97" s="195"/>
      <c r="M97" s="195"/>
      <c r="N97" s="195"/>
      <c r="O97" s="49"/>
      <c r="P97" s="49"/>
      <c r="S97" s="10"/>
    </row>
    <row r="98" spans="1:19" ht="15" customHeight="1">
      <c r="A98" s="6"/>
      <c r="B98" s="196" t="s">
        <v>154</v>
      </c>
      <c r="C98" s="197">
        <v>3414952</v>
      </c>
      <c r="D98" s="194">
        <f aca="true" t="shared" si="4" ref="D98:N98">+C98+D95</f>
        <v>3425439</v>
      </c>
      <c r="E98" s="194">
        <f t="shared" si="4"/>
        <v>3817598</v>
      </c>
      <c r="F98" s="194">
        <f t="shared" si="4"/>
        <v>6380481</v>
      </c>
      <c r="G98" s="194">
        <f t="shared" si="4"/>
        <v>8907002.6</v>
      </c>
      <c r="H98" s="198">
        <f t="shared" si="4"/>
        <v>8907002.6</v>
      </c>
      <c r="I98" s="198">
        <f t="shared" si="4"/>
        <v>8907002.6</v>
      </c>
      <c r="J98" s="198">
        <f t="shared" si="4"/>
        <v>8907002.6</v>
      </c>
      <c r="K98" s="198">
        <f t="shared" si="4"/>
        <v>8907002.6</v>
      </c>
      <c r="L98" s="198">
        <f t="shared" si="4"/>
        <v>8907002.6</v>
      </c>
      <c r="M98" s="198">
        <f t="shared" si="4"/>
        <v>8907002.6</v>
      </c>
      <c r="N98" s="198">
        <f t="shared" si="4"/>
        <v>8907002.6</v>
      </c>
      <c r="O98" s="49"/>
      <c r="P98" s="49"/>
      <c r="S98" s="10"/>
    </row>
    <row r="99" spans="1:19" ht="15" customHeight="1">
      <c r="A99" s="6"/>
      <c r="B99" s="196" t="s">
        <v>155</v>
      </c>
      <c r="C99" s="199">
        <v>0</v>
      </c>
      <c r="D99" s="194">
        <f aca="true" t="shared" si="5" ref="D99:F100">+C99+D96</f>
        <v>0</v>
      </c>
      <c r="E99" s="194">
        <f t="shared" si="5"/>
        <v>1421382.21</v>
      </c>
      <c r="F99" s="194">
        <f t="shared" si="5"/>
        <v>1421382.21</v>
      </c>
      <c r="G99" s="194">
        <f>+G96</f>
        <v>2563299.37</v>
      </c>
      <c r="H99" s="198">
        <v>0</v>
      </c>
      <c r="I99" s="200">
        <f aca="true" t="shared" si="6" ref="I99:N100">+H99+I96</f>
        <v>0</v>
      </c>
      <c r="J99" s="200">
        <f t="shared" si="6"/>
        <v>0</v>
      </c>
      <c r="K99" s="200">
        <f t="shared" si="6"/>
        <v>0</v>
      </c>
      <c r="L99" s="200">
        <f t="shared" si="6"/>
        <v>0</v>
      </c>
      <c r="M99" s="200">
        <f t="shared" si="6"/>
        <v>0</v>
      </c>
      <c r="N99" s="200">
        <f t="shared" si="6"/>
        <v>0</v>
      </c>
      <c r="O99" s="49"/>
      <c r="P99" s="49"/>
      <c r="S99" s="10"/>
    </row>
    <row r="100" spans="1:19" ht="15">
      <c r="A100" s="6"/>
      <c r="B100" s="201" t="s">
        <v>156</v>
      </c>
      <c r="C100" s="197">
        <v>3414952</v>
      </c>
      <c r="D100" s="194">
        <f t="shared" si="5"/>
        <v>3436189</v>
      </c>
      <c r="E100" s="194">
        <f t="shared" si="5"/>
        <v>3813323</v>
      </c>
      <c r="F100" s="194">
        <f t="shared" si="5"/>
        <v>4732159.65</v>
      </c>
      <c r="G100" s="194">
        <f>+F100+G97</f>
        <v>5728902.0200000005</v>
      </c>
      <c r="H100" s="198">
        <f>+G100+H97</f>
        <v>5728902.0200000005</v>
      </c>
      <c r="I100" s="200">
        <f t="shared" si="6"/>
        <v>5728902.0200000005</v>
      </c>
      <c r="J100" s="200">
        <f t="shared" si="6"/>
        <v>5728902.0200000005</v>
      </c>
      <c r="K100" s="200">
        <f t="shared" si="6"/>
        <v>5728902.0200000005</v>
      </c>
      <c r="L100" s="200">
        <f t="shared" si="6"/>
        <v>5728902.0200000005</v>
      </c>
      <c r="M100" s="200">
        <f t="shared" si="6"/>
        <v>5728902.0200000005</v>
      </c>
      <c r="N100" s="200">
        <f t="shared" si="6"/>
        <v>5728902.0200000005</v>
      </c>
      <c r="O100" s="49"/>
      <c r="P100" s="49"/>
      <c r="S100" s="10"/>
    </row>
    <row r="101" spans="1:19" ht="15">
      <c r="A101" s="6"/>
      <c r="B101" s="6"/>
      <c r="C101" s="159"/>
      <c r="D101" s="159"/>
      <c r="E101" s="159"/>
      <c r="F101" s="159"/>
      <c r="G101" s="159"/>
      <c r="H101" s="159"/>
      <c r="I101" s="105"/>
      <c r="J101" s="202"/>
      <c r="K101" s="203"/>
      <c r="L101" s="105"/>
      <c r="M101" s="204"/>
      <c r="N101" s="49"/>
      <c r="O101" s="49"/>
      <c r="P101" s="49"/>
      <c r="S101" s="10"/>
    </row>
    <row r="102" spans="1:19" ht="15">
      <c r="A102" s="6"/>
      <c r="B102" s="205" t="s">
        <v>157</v>
      </c>
      <c r="C102" s="159"/>
      <c r="D102" s="159"/>
      <c r="E102" s="159"/>
      <c r="F102" s="159"/>
      <c r="G102" s="159"/>
      <c r="H102" s="159"/>
      <c r="I102" s="105"/>
      <c r="J102" s="202"/>
      <c r="K102" s="203"/>
      <c r="L102" s="105"/>
      <c r="M102" s="204"/>
      <c r="N102" s="49"/>
      <c r="O102" s="49"/>
      <c r="P102" s="49"/>
      <c r="S102" s="10"/>
    </row>
    <row r="103" spans="1:19" ht="15">
      <c r="A103" s="6"/>
      <c r="C103" s="159"/>
      <c r="D103" s="159"/>
      <c r="E103" s="159"/>
      <c r="F103" s="159"/>
      <c r="G103" s="159"/>
      <c r="H103" s="159"/>
      <c r="I103" s="105"/>
      <c r="J103" s="202"/>
      <c r="K103" s="204"/>
      <c r="L103" s="105"/>
      <c r="M103" s="204"/>
      <c r="N103" s="49"/>
      <c r="O103" s="49"/>
      <c r="P103" s="49"/>
      <c r="S103" s="10"/>
    </row>
    <row r="104" spans="1:16" ht="15">
      <c r="A104" s="6"/>
      <c r="B104" s="6"/>
      <c r="C104" s="6"/>
      <c r="D104" s="6"/>
      <c r="E104" s="6"/>
      <c r="F104" s="6"/>
      <c r="G104" s="6"/>
      <c r="H104" s="6"/>
      <c r="I104" s="105"/>
      <c r="J104" s="105"/>
      <c r="K104" s="105"/>
      <c r="L104" s="105"/>
      <c r="M104" s="105"/>
      <c r="N104" s="49"/>
      <c r="O104" s="49"/>
      <c r="P104" s="49"/>
    </row>
    <row r="105" spans="1:16" ht="18.75">
      <c r="A105" s="6"/>
      <c r="B105" s="157" t="s">
        <v>158</v>
      </c>
      <c r="C105" s="206"/>
      <c r="D105" s="206"/>
      <c r="E105" s="206"/>
      <c r="F105" s="6"/>
      <c r="G105" s="6"/>
      <c r="H105" s="6"/>
      <c r="I105" s="105"/>
      <c r="J105" s="105"/>
      <c r="K105" s="105"/>
      <c r="L105" s="105"/>
      <c r="M105" s="105"/>
      <c r="N105" s="49"/>
      <c r="O105" s="49"/>
      <c r="P105" s="49"/>
    </row>
    <row r="106" spans="1:19" ht="15">
      <c r="A106" s="6"/>
      <c r="B106" s="6"/>
      <c r="C106" s="105"/>
      <c r="D106" s="105"/>
      <c r="E106" s="105"/>
      <c r="F106" s="105"/>
      <c r="G106" s="159"/>
      <c r="H106" s="159"/>
      <c r="I106" s="159"/>
      <c r="J106" s="105"/>
      <c r="K106" s="159"/>
      <c r="L106" s="105"/>
      <c r="M106" s="105"/>
      <c r="N106" s="49"/>
      <c r="O106" s="49"/>
      <c r="P106" s="49"/>
      <c r="Q106" s="10"/>
      <c r="S106" s="49"/>
    </row>
    <row r="107" spans="1:18" ht="135" customHeight="1">
      <c r="A107" s="6"/>
      <c r="B107" s="207" t="s">
        <v>159</v>
      </c>
      <c r="C107" s="208" t="s">
        <v>160</v>
      </c>
      <c r="D107" s="209" t="s">
        <v>161</v>
      </c>
      <c r="E107" s="209" t="s">
        <v>162</v>
      </c>
      <c r="F107" s="210" t="s">
        <v>163</v>
      </c>
      <c r="G107" s="210" t="s">
        <v>164</v>
      </c>
      <c r="H107" s="209" t="s">
        <v>165</v>
      </c>
      <c r="I107" s="209" t="s">
        <v>166</v>
      </c>
      <c r="J107" s="209" t="s">
        <v>167</v>
      </c>
      <c r="K107" s="211" t="s">
        <v>168</v>
      </c>
      <c r="L107" s="159"/>
      <c r="M107" s="49"/>
      <c r="N107" s="49"/>
      <c r="O107" s="49"/>
      <c r="P107" s="10"/>
      <c r="R107" s="49"/>
    </row>
    <row r="108" spans="1:18" ht="48.75" customHeight="1">
      <c r="A108" s="6"/>
      <c r="B108" s="212" t="s">
        <v>169</v>
      </c>
      <c r="C108" s="213" t="s">
        <v>170</v>
      </c>
      <c r="D108" s="214">
        <v>1</v>
      </c>
      <c r="E108" s="215">
        <f>IF(ISBLANK(D108),"",D108*30)</f>
        <v>30</v>
      </c>
      <c r="F108" s="216">
        <v>2700</v>
      </c>
      <c r="G108" s="217">
        <f>IF(AND(E108&gt;0,F108&gt;0),(F108*E108),"")</f>
        <v>81000</v>
      </c>
      <c r="H108" s="216">
        <v>818040</v>
      </c>
      <c r="I108" s="218">
        <f>IF(AND(G108&gt;0,H108&gt;0),H108/G108,"")</f>
        <v>10.09925925925926</v>
      </c>
      <c r="J108" s="219">
        <v>6</v>
      </c>
      <c r="K108" s="220">
        <f>IF(AND(I108&gt;0,J108&gt;0),I108-J108,"")</f>
        <v>4.099259259259259</v>
      </c>
      <c r="L108" s="159"/>
      <c r="M108" s="49"/>
      <c r="N108" s="49"/>
      <c r="O108" s="49"/>
      <c r="P108" s="10"/>
      <c r="R108" s="49"/>
    </row>
    <row r="109" spans="1:19" ht="15">
      <c r="A109" s="6"/>
      <c r="B109" s="6" t="s">
        <v>171</v>
      </c>
      <c r="C109" s="6"/>
      <c r="D109" s="6"/>
      <c r="E109" s="6"/>
      <c r="F109" s="6"/>
      <c r="G109" s="159"/>
      <c r="H109" s="159"/>
      <c r="I109" s="159"/>
      <c r="J109" s="6"/>
      <c r="K109" s="6"/>
      <c r="L109" s="159"/>
      <c r="M109" s="159"/>
      <c r="N109" s="49"/>
      <c r="O109" s="49"/>
      <c r="P109" s="49"/>
      <c r="Q109" s="10"/>
      <c r="S109" s="49"/>
    </row>
    <row r="110" spans="1:13" ht="15">
      <c r="A110" s="6"/>
      <c r="B110" s="6"/>
      <c r="C110" s="6"/>
      <c r="D110" s="6"/>
      <c r="E110" s="6"/>
      <c r="F110" s="6"/>
      <c r="G110" s="6"/>
      <c r="H110" s="6"/>
      <c r="I110" s="159"/>
      <c r="J110" s="155"/>
      <c r="K110" s="155"/>
      <c r="L110" s="6"/>
      <c r="M110" s="6"/>
    </row>
    <row r="111" spans="1:17" ht="18.75">
      <c r="A111" s="6"/>
      <c r="B111" s="221" t="s">
        <v>172</v>
      </c>
      <c r="C111" s="222"/>
      <c r="D111" s="222"/>
      <c r="E111" s="223"/>
      <c r="F111" s="223"/>
      <c r="G111" s="223"/>
      <c r="H111" s="224"/>
      <c r="I111" s="225"/>
      <c r="J111" s="226"/>
      <c r="K111" s="227" t="s">
        <v>173</v>
      </c>
      <c r="L111" s="223"/>
      <c r="M111" s="228"/>
      <c r="N111" s="229"/>
      <c r="O111" s="229"/>
      <c r="P111" s="230"/>
      <c r="Q111" s="5"/>
    </row>
    <row r="112" spans="1:17" ht="15">
      <c r="A112" s="6"/>
      <c r="B112" s="6"/>
      <c r="C112" s="6"/>
      <c r="D112" s="6"/>
      <c r="E112" s="6"/>
      <c r="F112" s="6"/>
      <c r="G112" s="6"/>
      <c r="H112" s="6"/>
      <c r="I112" s="6"/>
      <c r="J112" s="6"/>
      <c r="K112" s="6"/>
      <c r="L112" s="6"/>
      <c r="M112" s="6"/>
      <c r="N112"/>
      <c r="O112"/>
      <c r="P112" s="5"/>
      <c r="Q112" s="5"/>
    </row>
    <row r="113" spans="1:20" ht="42" customHeight="1">
      <c r="A113" s="6"/>
      <c r="B113" s="526" t="s">
        <v>174</v>
      </c>
      <c r="C113" s="526"/>
      <c r="D113" s="526"/>
      <c r="E113" s="231" t="s">
        <v>175</v>
      </c>
      <c r="F113" s="232" t="s">
        <v>176</v>
      </c>
      <c r="G113" s="233"/>
      <c r="H113" s="234" t="s">
        <v>89</v>
      </c>
      <c r="I113" s="234" t="s">
        <v>90</v>
      </c>
      <c r="J113" s="234" t="s">
        <v>91</v>
      </c>
      <c r="K113" s="234" t="s">
        <v>92</v>
      </c>
      <c r="L113" s="234" t="s">
        <v>72</v>
      </c>
      <c r="M113" s="234" t="s">
        <v>93</v>
      </c>
      <c r="N113" s="234" t="s">
        <v>94</v>
      </c>
      <c r="O113" s="234" t="s">
        <v>95</v>
      </c>
      <c r="P113" s="234" t="s">
        <v>96</v>
      </c>
      <c r="Q113" s="234" t="s">
        <v>97</v>
      </c>
      <c r="R113" s="234" t="s">
        <v>98</v>
      </c>
      <c r="S113" s="235" t="s">
        <v>99</v>
      </c>
      <c r="T113" s="235" t="s">
        <v>177</v>
      </c>
    </row>
    <row r="114" spans="1:20" ht="15">
      <c r="A114" s="6"/>
      <c r="B114" s="236"/>
      <c r="C114" s="237"/>
      <c r="D114" s="237"/>
      <c r="E114" s="238"/>
      <c r="F114" s="239"/>
      <c r="G114" s="240"/>
      <c r="H114" s="241"/>
      <c r="I114" s="241"/>
      <c r="J114" s="241"/>
      <c r="K114" s="241"/>
      <c r="L114" s="241"/>
      <c r="M114" s="241"/>
      <c r="N114" s="241"/>
      <c r="O114" s="241"/>
      <c r="P114" s="241"/>
      <c r="Q114" s="241"/>
      <c r="R114" s="241"/>
      <c r="S114" s="242"/>
      <c r="T114" s="242"/>
    </row>
    <row r="115" spans="1:20" ht="43.5" customHeight="1">
      <c r="A115" s="527" t="s">
        <v>178</v>
      </c>
      <c r="B115" s="528" t="s">
        <v>179</v>
      </c>
      <c r="C115" s="528"/>
      <c r="D115" s="528"/>
      <c r="E115" s="529" t="s">
        <v>180</v>
      </c>
      <c r="F115" s="530" t="s">
        <v>181</v>
      </c>
      <c r="G115" s="243" t="s">
        <v>182</v>
      </c>
      <c r="H115" s="244">
        <v>8443</v>
      </c>
      <c r="I115" s="244">
        <v>9043</v>
      </c>
      <c r="J115" s="245">
        <v>9643</v>
      </c>
      <c r="K115" s="246">
        <v>10243</v>
      </c>
      <c r="L115" s="247">
        <v>10843</v>
      </c>
      <c r="M115" s="248"/>
      <c r="N115" s="248"/>
      <c r="O115" s="248"/>
      <c r="P115" s="248"/>
      <c r="Q115" s="248"/>
      <c r="R115" s="248"/>
      <c r="S115" s="249"/>
      <c r="T115" s="531" t="s">
        <v>183</v>
      </c>
    </row>
    <row r="116" spans="1:20" ht="43.5" customHeight="1">
      <c r="A116" s="527"/>
      <c r="B116" s="528"/>
      <c r="C116" s="528"/>
      <c r="D116" s="528"/>
      <c r="E116" s="529"/>
      <c r="F116" s="530"/>
      <c r="G116" s="243" t="s">
        <v>184</v>
      </c>
      <c r="H116" s="244">
        <v>7220</v>
      </c>
      <c r="I116" s="244">
        <v>7688</v>
      </c>
      <c r="J116" s="245">
        <v>7950</v>
      </c>
      <c r="K116" s="246">
        <v>8329</v>
      </c>
      <c r="L116" s="250">
        <v>8625</v>
      </c>
      <c r="M116" s="248"/>
      <c r="N116" s="248"/>
      <c r="O116" s="248"/>
      <c r="P116" s="248"/>
      <c r="Q116" s="248"/>
      <c r="R116" s="248"/>
      <c r="S116" s="249"/>
      <c r="T116" s="531"/>
    </row>
    <row r="117" spans="1:20" ht="30.75" customHeight="1">
      <c r="A117" s="527"/>
      <c r="B117" s="528" t="s">
        <v>185</v>
      </c>
      <c r="C117" s="528"/>
      <c r="D117" s="528"/>
      <c r="E117" s="529" t="s">
        <v>186</v>
      </c>
      <c r="F117" s="530" t="s">
        <v>181</v>
      </c>
      <c r="G117" s="251" t="s">
        <v>182</v>
      </c>
      <c r="H117" s="244">
        <v>30</v>
      </c>
      <c r="I117" s="244">
        <v>171</v>
      </c>
      <c r="J117" s="245">
        <v>100</v>
      </c>
      <c r="K117" s="252">
        <v>56</v>
      </c>
      <c r="L117" s="253">
        <v>87</v>
      </c>
      <c r="M117" s="254"/>
      <c r="N117" s="254"/>
      <c r="O117" s="254"/>
      <c r="P117" s="254"/>
      <c r="Q117" s="254"/>
      <c r="R117" s="254"/>
      <c r="S117" s="255"/>
      <c r="T117" s="532" t="s">
        <v>187</v>
      </c>
    </row>
    <row r="118" spans="1:20" ht="42" customHeight="1">
      <c r="A118" s="527"/>
      <c r="B118" s="528"/>
      <c r="C118" s="528"/>
      <c r="D118" s="528"/>
      <c r="E118" s="529"/>
      <c r="F118" s="530"/>
      <c r="G118" s="251" t="s">
        <v>184</v>
      </c>
      <c r="H118" s="244">
        <v>17</v>
      </c>
      <c r="I118" s="244">
        <v>170</v>
      </c>
      <c r="J118" s="245">
        <v>100</v>
      </c>
      <c r="K118" s="252">
        <v>53</v>
      </c>
      <c r="L118" s="253">
        <v>86</v>
      </c>
      <c r="M118" s="254"/>
      <c r="N118" s="254"/>
      <c r="O118" s="254"/>
      <c r="P118" s="254"/>
      <c r="Q118" s="254"/>
      <c r="R118" s="254"/>
      <c r="S118" s="255"/>
      <c r="T118" s="532"/>
    </row>
    <row r="119" spans="1:20" ht="44.25" customHeight="1">
      <c r="A119" s="527"/>
      <c r="B119" s="528" t="s">
        <v>188</v>
      </c>
      <c r="C119" s="528"/>
      <c r="D119" s="528"/>
      <c r="E119" s="529" t="s">
        <v>189</v>
      </c>
      <c r="F119" s="530" t="s">
        <v>181</v>
      </c>
      <c r="G119" s="243" t="s">
        <v>182</v>
      </c>
      <c r="H119" s="244">
        <v>6093</v>
      </c>
      <c r="I119" s="244">
        <v>12185</v>
      </c>
      <c r="J119" s="245">
        <v>6651</v>
      </c>
      <c r="K119" s="246">
        <v>13301</v>
      </c>
      <c r="L119" s="247">
        <v>13877</v>
      </c>
      <c r="M119" s="248"/>
      <c r="N119" s="248"/>
      <c r="O119" s="248"/>
      <c r="P119" s="248"/>
      <c r="Q119" s="248"/>
      <c r="R119" s="248"/>
      <c r="S119" s="249"/>
      <c r="T119" s="531" t="s">
        <v>190</v>
      </c>
    </row>
    <row r="120" spans="1:20" ht="48.75" customHeight="1">
      <c r="A120" s="527"/>
      <c r="B120" s="528"/>
      <c r="C120" s="528"/>
      <c r="D120" s="528"/>
      <c r="E120" s="529"/>
      <c r="F120" s="530"/>
      <c r="G120" s="243" t="s">
        <v>184</v>
      </c>
      <c r="H120" s="244">
        <v>199</v>
      </c>
      <c r="I120" s="244">
        <v>985</v>
      </c>
      <c r="J120" s="245">
        <v>882</v>
      </c>
      <c r="K120" s="246">
        <v>2187</v>
      </c>
      <c r="L120" s="247">
        <v>1707</v>
      </c>
      <c r="M120" s="248"/>
      <c r="N120" s="248"/>
      <c r="O120" s="248"/>
      <c r="P120" s="248"/>
      <c r="Q120" s="248"/>
      <c r="R120" s="248"/>
      <c r="S120" s="249"/>
      <c r="T120" s="531"/>
    </row>
    <row r="121" spans="1:20" ht="35.25" customHeight="1">
      <c r="A121" s="6"/>
      <c r="B121" s="533" t="s">
        <v>191</v>
      </c>
      <c r="C121" s="533"/>
      <c r="D121" s="533"/>
      <c r="E121" s="529" t="s">
        <v>192</v>
      </c>
      <c r="F121" s="530" t="s">
        <v>181</v>
      </c>
      <c r="G121" s="251" t="s">
        <v>182</v>
      </c>
      <c r="H121" s="256">
        <v>4638</v>
      </c>
      <c r="I121" s="254">
        <v>9275</v>
      </c>
      <c r="J121" s="245">
        <v>37.4</v>
      </c>
      <c r="K121" s="252">
        <v>9940</v>
      </c>
      <c r="L121" s="253">
        <v>10605</v>
      </c>
      <c r="M121" s="254"/>
      <c r="N121" s="254"/>
      <c r="O121" s="254"/>
      <c r="P121" s="254"/>
      <c r="Q121" s="254"/>
      <c r="R121" s="254"/>
      <c r="S121" s="255"/>
      <c r="T121" s="531"/>
    </row>
    <row r="122" spans="1:20" ht="34.5" customHeight="1">
      <c r="A122" s="6"/>
      <c r="B122" s="533"/>
      <c r="C122" s="533"/>
      <c r="D122" s="533"/>
      <c r="E122" s="529"/>
      <c r="F122" s="530"/>
      <c r="G122" s="251" t="s">
        <v>184</v>
      </c>
      <c r="H122" s="256">
        <v>743</v>
      </c>
      <c r="I122" s="254">
        <v>2715</v>
      </c>
      <c r="J122" s="245">
        <v>14.13</v>
      </c>
      <c r="K122" s="252">
        <v>2972</v>
      </c>
      <c r="L122" s="253">
        <v>2692</v>
      </c>
      <c r="M122" s="254"/>
      <c r="N122" s="254"/>
      <c r="O122" s="254"/>
      <c r="P122" s="254"/>
      <c r="Q122" s="254"/>
      <c r="R122" s="254"/>
      <c r="S122" s="255"/>
      <c r="T122" s="531"/>
    </row>
    <row r="123" spans="1:20" ht="42.75" customHeight="1">
      <c r="A123" s="6"/>
      <c r="B123" s="528" t="s">
        <v>193</v>
      </c>
      <c r="C123" s="528"/>
      <c r="D123" s="528"/>
      <c r="E123" s="529" t="s">
        <v>194</v>
      </c>
      <c r="F123" s="530" t="s">
        <v>181</v>
      </c>
      <c r="G123" s="243" t="s">
        <v>182</v>
      </c>
      <c r="H123" s="244">
        <v>922</v>
      </c>
      <c r="I123" s="254">
        <v>1843</v>
      </c>
      <c r="J123" s="245">
        <v>35.9</v>
      </c>
      <c r="K123" s="252">
        <v>1444</v>
      </c>
      <c r="L123" s="247">
        <v>1546</v>
      </c>
      <c r="M123" s="248"/>
      <c r="N123" s="248"/>
      <c r="O123" s="248"/>
      <c r="P123" s="248"/>
      <c r="Q123" s="248"/>
      <c r="R123" s="248"/>
      <c r="S123" s="249"/>
      <c r="T123" s="531"/>
    </row>
    <row r="124" spans="1:20" ht="42" customHeight="1">
      <c r="A124" s="6"/>
      <c r="B124" s="528"/>
      <c r="C124" s="528"/>
      <c r="D124" s="528"/>
      <c r="E124" s="529"/>
      <c r="F124" s="530"/>
      <c r="G124" s="243" t="s">
        <v>184</v>
      </c>
      <c r="H124" s="244">
        <v>33</v>
      </c>
      <c r="I124" s="254">
        <v>103</v>
      </c>
      <c r="J124" s="245">
        <v>6.36</v>
      </c>
      <c r="K124" s="252">
        <v>459</v>
      </c>
      <c r="L124" s="247">
        <v>110</v>
      </c>
      <c r="M124" s="248"/>
      <c r="N124" s="248"/>
      <c r="O124" s="248"/>
      <c r="P124" s="248"/>
      <c r="Q124" s="248"/>
      <c r="R124" s="248"/>
      <c r="S124" s="249"/>
      <c r="T124" s="531"/>
    </row>
    <row r="125" spans="1:20" ht="47.25" customHeight="1">
      <c r="A125" s="6"/>
      <c r="B125" s="533" t="s">
        <v>195</v>
      </c>
      <c r="C125" s="533"/>
      <c r="D125" s="533"/>
      <c r="E125" s="529">
        <v>2.1</v>
      </c>
      <c r="F125" s="530" t="s">
        <v>181</v>
      </c>
      <c r="G125" s="251" t="s">
        <v>182</v>
      </c>
      <c r="H125" s="256">
        <v>232</v>
      </c>
      <c r="I125" s="257">
        <v>6575</v>
      </c>
      <c r="J125" s="245">
        <v>15</v>
      </c>
      <c r="K125" s="258"/>
      <c r="L125" s="253">
        <v>6695</v>
      </c>
      <c r="M125" s="254"/>
      <c r="N125" s="254"/>
      <c r="O125" s="254"/>
      <c r="P125" s="254"/>
      <c r="Q125" s="254"/>
      <c r="R125" s="254"/>
      <c r="S125" s="255"/>
      <c r="T125" s="534" t="s">
        <v>196</v>
      </c>
    </row>
    <row r="126" spans="1:20" ht="70.5" customHeight="1">
      <c r="A126" s="6"/>
      <c r="B126" s="533"/>
      <c r="C126" s="533"/>
      <c r="D126" s="533"/>
      <c r="E126" s="529"/>
      <c r="F126" s="530"/>
      <c r="G126" s="243" t="s">
        <v>184</v>
      </c>
      <c r="H126" s="256">
        <v>3218</v>
      </c>
      <c r="I126" s="257">
        <v>5089</v>
      </c>
      <c r="J126" s="245">
        <v>74.4</v>
      </c>
      <c r="K126" s="259"/>
      <c r="L126" s="260">
        <v>7062</v>
      </c>
      <c r="M126" s="261"/>
      <c r="N126" s="261"/>
      <c r="O126" s="261"/>
      <c r="P126" s="261"/>
      <c r="Q126" s="261"/>
      <c r="R126" s="261"/>
      <c r="S126" s="262"/>
      <c r="T126" s="534"/>
    </row>
    <row r="127" spans="1:20" ht="64.5" customHeight="1">
      <c r="A127" s="6"/>
      <c r="B127" s="533" t="s">
        <v>197</v>
      </c>
      <c r="C127" s="533"/>
      <c r="D127" s="533"/>
      <c r="E127" s="535">
        <v>2.9</v>
      </c>
      <c r="F127" s="536" t="s">
        <v>181</v>
      </c>
      <c r="G127" s="251" t="s">
        <v>182</v>
      </c>
      <c r="H127" s="244" t="s">
        <v>143</v>
      </c>
      <c r="I127" s="254">
        <v>302</v>
      </c>
      <c r="J127" s="245">
        <v>50</v>
      </c>
      <c r="K127" s="252">
        <v>52.5</v>
      </c>
      <c r="L127" s="247">
        <v>60</v>
      </c>
      <c r="M127" s="248"/>
      <c r="N127" s="248"/>
      <c r="O127" s="248"/>
      <c r="P127" s="248"/>
      <c r="Q127" s="248"/>
      <c r="R127" s="248"/>
      <c r="S127" s="249"/>
      <c r="T127" s="537" t="s">
        <v>198</v>
      </c>
    </row>
    <row r="128" spans="1:20" ht="64.5" customHeight="1">
      <c r="A128" s="6"/>
      <c r="B128" s="533"/>
      <c r="C128" s="533"/>
      <c r="D128" s="533"/>
      <c r="E128" s="535"/>
      <c r="F128" s="536"/>
      <c r="G128" s="243" t="s">
        <v>184</v>
      </c>
      <c r="H128" s="244" t="s">
        <v>143</v>
      </c>
      <c r="I128" s="254">
        <v>280</v>
      </c>
      <c r="J128" s="245">
        <v>59</v>
      </c>
      <c r="K128" s="252">
        <v>55</v>
      </c>
      <c r="L128" s="247">
        <v>50</v>
      </c>
      <c r="M128" s="248"/>
      <c r="N128" s="248"/>
      <c r="O128" s="248"/>
      <c r="P128" s="248"/>
      <c r="Q128" s="248"/>
      <c r="R128" s="248"/>
      <c r="S128" s="249"/>
      <c r="T128" s="537"/>
    </row>
    <row r="129" spans="1:20" ht="43.5" customHeight="1">
      <c r="A129" s="6"/>
      <c r="B129" s="528" t="s">
        <v>199</v>
      </c>
      <c r="C129" s="528"/>
      <c r="D129" s="528"/>
      <c r="E129" s="529">
        <v>2.5</v>
      </c>
      <c r="F129" s="530" t="s">
        <v>181</v>
      </c>
      <c r="G129" s="251" t="s">
        <v>182</v>
      </c>
      <c r="H129" s="244" t="s">
        <v>143</v>
      </c>
      <c r="I129" s="254">
        <v>0</v>
      </c>
      <c r="J129" s="245">
        <v>20</v>
      </c>
      <c r="K129" s="252">
        <v>20</v>
      </c>
      <c r="L129" s="247">
        <v>20</v>
      </c>
      <c r="M129" s="248"/>
      <c r="N129" s="248"/>
      <c r="O129" s="248"/>
      <c r="P129" s="248"/>
      <c r="Q129" s="248"/>
      <c r="R129" s="248"/>
      <c r="S129" s="249"/>
      <c r="T129" s="531" t="s">
        <v>200</v>
      </c>
    </row>
    <row r="130" spans="1:21" ht="43.5" customHeight="1">
      <c r="A130" s="6"/>
      <c r="B130" s="528"/>
      <c r="C130" s="528"/>
      <c r="D130" s="528"/>
      <c r="E130" s="529"/>
      <c r="F130" s="530"/>
      <c r="G130" s="243" t="s">
        <v>184</v>
      </c>
      <c r="H130" s="244" t="s">
        <v>143</v>
      </c>
      <c r="I130" s="254">
        <v>5</v>
      </c>
      <c r="J130" s="245">
        <v>6</v>
      </c>
      <c r="K130" s="252"/>
      <c r="L130" s="247">
        <v>7</v>
      </c>
      <c r="M130" s="248"/>
      <c r="N130" s="248"/>
      <c r="O130" s="248"/>
      <c r="P130" s="248"/>
      <c r="Q130" s="248"/>
      <c r="R130" s="248"/>
      <c r="S130" s="249"/>
      <c r="T130" s="531"/>
      <c r="U130" s="5"/>
    </row>
    <row r="131" spans="1:21" ht="59.25" customHeight="1">
      <c r="A131" s="6"/>
      <c r="B131" s="533" t="s">
        <v>201</v>
      </c>
      <c r="C131" s="533"/>
      <c r="D131" s="533"/>
      <c r="E131" s="529">
        <v>2.6</v>
      </c>
      <c r="F131" s="530" t="s">
        <v>181</v>
      </c>
      <c r="G131" s="243" t="s">
        <v>182</v>
      </c>
      <c r="H131" s="256">
        <v>42291</v>
      </c>
      <c r="I131" s="254">
        <v>84581</v>
      </c>
      <c r="J131" s="245">
        <v>72</v>
      </c>
      <c r="K131" s="252">
        <v>35349</v>
      </c>
      <c r="L131" s="247">
        <v>37262</v>
      </c>
      <c r="M131" s="248"/>
      <c r="N131" s="248"/>
      <c r="O131" s="248"/>
      <c r="P131" s="248"/>
      <c r="Q131" s="248"/>
      <c r="R131" s="248"/>
      <c r="S131" s="249"/>
      <c r="T131" s="531" t="s">
        <v>202</v>
      </c>
      <c r="U131" s="5"/>
    </row>
    <row r="132" spans="1:21" ht="77.25" customHeight="1">
      <c r="A132" s="6"/>
      <c r="B132" s="533"/>
      <c r="C132" s="533"/>
      <c r="D132" s="533"/>
      <c r="E132" s="529"/>
      <c r="F132" s="530"/>
      <c r="G132" s="243" t="s">
        <v>184</v>
      </c>
      <c r="H132" s="256">
        <v>34209</v>
      </c>
      <c r="I132" s="254">
        <v>65433</v>
      </c>
      <c r="J132" s="245">
        <v>72</v>
      </c>
      <c r="K132" s="252">
        <v>25048</v>
      </c>
      <c r="L132" s="247">
        <v>26625</v>
      </c>
      <c r="M132" s="248"/>
      <c r="N132" s="248"/>
      <c r="O132" s="248"/>
      <c r="P132" s="248"/>
      <c r="Q132" s="248"/>
      <c r="R132" s="248"/>
      <c r="S132" s="249"/>
      <c r="T132" s="531"/>
      <c r="U132" s="5"/>
    </row>
    <row r="133" spans="1:21" ht="45.75" customHeight="1">
      <c r="A133" s="6"/>
      <c r="B133" s="533" t="s">
        <v>203</v>
      </c>
      <c r="C133" s="533"/>
      <c r="D133" s="533"/>
      <c r="E133" s="529">
        <v>2.8</v>
      </c>
      <c r="F133" s="530" t="s">
        <v>181</v>
      </c>
      <c r="G133" s="251" t="s">
        <v>182</v>
      </c>
      <c r="H133" s="256">
        <v>12000</v>
      </c>
      <c r="I133" s="254">
        <v>27000</v>
      </c>
      <c r="J133" s="245">
        <v>44.4</v>
      </c>
      <c r="K133" s="252">
        <v>24000</v>
      </c>
      <c r="L133" s="253">
        <v>24000</v>
      </c>
      <c r="M133" s="254"/>
      <c r="N133" s="254"/>
      <c r="O133" s="254"/>
      <c r="P133" s="254"/>
      <c r="Q133" s="254"/>
      <c r="R133" s="254"/>
      <c r="S133" s="255"/>
      <c r="T133" s="538" t="s">
        <v>204</v>
      </c>
      <c r="U133" s="5"/>
    </row>
    <row r="134" spans="1:21" ht="40.5" customHeight="1">
      <c r="A134" s="6"/>
      <c r="B134" s="533"/>
      <c r="C134" s="533"/>
      <c r="D134" s="533"/>
      <c r="E134" s="529"/>
      <c r="F134" s="530"/>
      <c r="G134" s="263" t="s">
        <v>184</v>
      </c>
      <c r="H134" s="256">
        <v>13310</v>
      </c>
      <c r="I134" s="254">
        <v>27253</v>
      </c>
      <c r="J134" s="245">
        <v>65</v>
      </c>
      <c r="K134" s="252">
        <v>30846</v>
      </c>
      <c r="L134" s="260">
        <v>15424</v>
      </c>
      <c r="M134" s="261"/>
      <c r="N134" s="261"/>
      <c r="O134" s="261"/>
      <c r="P134" s="261"/>
      <c r="Q134" s="261"/>
      <c r="R134" s="261"/>
      <c r="S134" s="262"/>
      <c r="T134" s="538"/>
      <c r="U134" s="5"/>
    </row>
    <row r="135" spans="1:17" ht="15">
      <c r="A135" s="6"/>
      <c r="B135" s="6"/>
      <c r="C135" s="6"/>
      <c r="D135" s="6"/>
      <c r="E135" s="6"/>
      <c r="F135" s="6"/>
      <c r="G135" s="6"/>
      <c r="H135" s="6"/>
      <c r="I135" s="6"/>
      <c r="J135" s="6"/>
      <c r="K135" s="6"/>
      <c r="L135" s="6"/>
      <c r="M135" s="6"/>
      <c r="N135"/>
      <c r="O135"/>
      <c r="P135" s="5"/>
      <c r="Q135" s="5"/>
    </row>
    <row r="136" spans="2:20" ht="63.75" customHeight="1" hidden="1">
      <c r="B136" s="539" t="s">
        <v>205</v>
      </c>
      <c r="C136" s="539"/>
      <c r="D136" s="539"/>
      <c r="E136" s="539"/>
      <c r="F136" s="539"/>
      <c r="G136" s="539"/>
      <c r="H136" s="539"/>
      <c r="I136" s="539"/>
      <c r="J136" s="539"/>
      <c r="K136" s="539"/>
      <c r="L136" s="539"/>
      <c r="M136" s="539"/>
      <c r="N136" s="539"/>
      <c r="O136" s="539"/>
      <c r="P136" s="539"/>
      <c r="Q136" s="539"/>
      <c r="R136" s="539"/>
      <c r="S136" s="539"/>
      <c r="T136" s="539"/>
    </row>
    <row r="137" spans="1:20" ht="36.75" customHeight="1" hidden="1">
      <c r="A137" s="6"/>
      <c r="B137" s="528" t="s">
        <v>206</v>
      </c>
      <c r="C137" s="528"/>
      <c r="D137" s="528"/>
      <c r="E137" s="529" t="s">
        <v>207</v>
      </c>
      <c r="F137" s="530" t="s">
        <v>181</v>
      </c>
      <c r="G137" s="251" t="s">
        <v>182</v>
      </c>
      <c r="H137" s="244" t="s">
        <v>143</v>
      </c>
      <c r="I137" s="257">
        <v>9.7</v>
      </c>
      <c r="J137" s="257">
        <v>9.7</v>
      </c>
      <c r="K137" s="258"/>
      <c r="L137" s="254"/>
      <c r="M137" s="254"/>
      <c r="N137" s="254"/>
      <c r="O137" s="254"/>
      <c r="P137" s="254"/>
      <c r="Q137" s="254"/>
      <c r="R137" s="254"/>
      <c r="S137" s="255"/>
      <c r="T137" s="538" t="s">
        <v>208</v>
      </c>
    </row>
    <row r="138" spans="1:20" ht="40.5" customHeight="1" hidden="1">
      <c r="A138" s="6"/>
      <c r="B138" s="528"/>
      <c r="C138" s="528"/>
      <c r="D138" s="528"/>
      <c r="E138" s="529"/>
      <c r="F138" s="530"/>
      <c r="G138" s="251" t="s">
        <v>184</v>
      </c>
      <c r="H138" s="244" t="s">
        <v>143</v>
      </c>
      <c r="I138" s="254">
        <v>7</v>
      </c>
      <c r="J138" s="264">
        <v>6.44</v>
      </c>
      <c r="K138" s="258"/>
      <c r="L138" s="254"/>
      <c r="M138" s="254"/>
      <c r="N138" s="254"/>
      <c r="O138" s="254"/>
      <c r="P138" s="254"/>
      <c r="Q138" s="254"/>
      <c r="R138" s="254"/>
      <c r="S138" s="255"/>
      <c r="T138" s="538"/>
    </row>
    <row r="139" spans="1:20" ht="33.75" customHeight="1" hidden="1">
      <c r="A139" s="6"/>
      <c r="B139" s="533" t="s">
        <v>209</v>
      </c>
      <c r="C139" s="533"/>
      <c r="D139" s="533"/>
      <c r="E139" s="529" t="s">
        <v>207</v>
      </c>
      <c r="F139" s="530" t="s">
        <v>181</v>
      </c>
      <c r="G139" s="243" t="s">
        <v>182</v>
      </c>
      <c r="H139" s="244" t="s">
        <v>143</v>
      </c>
      <c r="I139" s="248" t="s">
        <v>210</v>
      </c>
      <c r="J139" s="265">
        <v>3.1</v>
      </c>
      <c r="K139" s="266"/>
      <c r="L139" s="248"/>
      <c r="M139" s="248"/>
      <c r="N139" s="248"/>
      <c r="O139" s="248"/>
      <c r="P139" s="248"/>
      <c r="Q139" s="248"/>
      <c r="R139" s="248"/>
      <c r="S139" s="249"/>
      <c r="T139" s="538"/>
    </row>
    <row r="140" spans="1:20" ht="30" customHeight="1" hidden="1">
      <c r="A140" s="6"/>
      <c r="B140" s="533"/>
      <c r="C140" s="533"/>
      <c r="D140" s="533"/>
      <c r="E140" s="529"/>
      <c r="F140" s="530"/>
      <c r="G140" s="243" t="s">
        <v>184</v>
      </c>
      <c r="H140" s="244" t="s">
        <v>143</v>
      </c>
      <c r="I140" s="248" t="s">
        <v>211</v>
      </c>
      <c r="J140" s="265">
        <v>1.65</v>
      </c>
      <c r="K140" s="266"/>
      <c r="L140" s="248"/>
      <c r="M140" s="248"/>
      <c r="N140" s="248"/>
      <c r="O140" s="248"/>
      <c r="P140" s="248"/>
      <c r="Q140" s="248"/>
      <c r="R140" s="248"/>
      <c r="S140" s="249"/>
      <c r="T140" s="538"/>
    </row>
    <row r="141" spans="1:20" ht="40.5" customHeight="1" hidden="1">
      <c r="A141" s="6"/>
      <c r="B141" s="533" t="s">
        <v>212</v>
      </c>
      <c r="C141" s="533"/>
      <c r="D141" s="533"/>
      <c r="E141" s="529" t="s">
        <v>207</v>
      </c>
      <c r="F141" s="530" t="s">
        <v>181</v>
      </c>
      <c r="G141" s="251" t="s">
        <v>182</v>
      </c>
      <c r="H141" s="244" t="s">
        <v>143</v>
      </c>
      <c r="I141" s="254" t="s">
        <v>143</v>
      </c>
      <c r="J141" s="245"/>
      <c r="K141" s="258"/>
      <c r="L141" s="254"/>
      <c r="M141" s="254"/>
      <c r="N141" s="254"/>
      <c r="O141" s="254"/>
      <c r="P141" s="254"/>
      <c r="Q141" s="254"/>
      <c r="R141" s="254"/>
      <c r="S141" s="255"/>
      <c r="T141" s="538"/>
    </row>
    <row r="142" spans="1:20" ht="43.5" customHeight="1" hidden="1">
      <c r="A142" s="6"/>
      <c r="B142" s="533"/>
      <c r="C142" s="533"/>
      <c r="D142" s="533"/>
      <c r="E142" s="529"/>
      <c r="F142" s="530"/>
      <c r="G142" s="251" t="s">
        <v>184</v>
      </c>
      <c r="H142" s="244" t="s">
        <v>143</v>
      </c>
      <c r="I142" s="254" t="s">
        <v>143</v>
      </c>
      <c r="J142" s="245"/>
      <c r="K142" s="258"/>
      <c r="L142" s="254"/>
      <c r="M142" s="254"/>
      <c r="N142" s="254"/>
      <c r="O142" s="254"/>
      <c r="P142" s="254"/>
      <c r="Q142" s="254"/>
      <c r="R142" s="254"/>
      <c r="S142" s="255"/>
      <c r="T142" s="538"/>
    </row>
    <row r="143" spans="1:20" ht="36" customHeight="1" hidden="1">
      <c r="A143" s="6"/>
      <c r="B143" s="533" t="s">
        <v>213</v>
      </c>
      <c r="C143" s="533"/>
      <c r="D143" s="533"/>
      <c r="E143" s="529" t="s">
        <v>207</v>
      </c>
      <c r="F143" s="530" t="s">
        <v>181</v>
      </c>
      <c r="G143" s="243" t="s">
        <v>182</v>
      </c>
      <c r="H143" s="244" t="s">
        <v>143</v>
      </c>
      <c r="I143" s="253">
        <v>7</v>
      </c>
      <c r="J143" s="245"/>
      <c r="K143" s="246">
        <v>4</v>
      </c>
      <c r="L143" s="248"/>
      <c r="M143" s="248"/>
      <c r="N143" s="248"/>
      <c r="O143" s="248"/>
      <c r="P143" s="248"/>
      <c r="Q143" s="248"/>
      <c r="R143" s="248"/>
      <c r="S143" s="249"/>
      <c r="T143" s="538"/>
    </row>
    <row r="144" spans="1:20" ht="33.75" customHeight="1" hidden="1">
      <c r="A144" s="6"/>
      <c r="B144" s="533"/>
      <c r="C144" s="533"/>
      <c r="D144" s="533"/>
      <c r="E144" s="529"/>
      <c r="F144" s="530"/>
      <c r="G144" s="243" t="s">
        <v>184</v>
      </c>
      <c r="H144" s="244" t="s">
        <v>143</v>
      </c>
      <c r="I144" s="253">
        <v>3</v>
      </c>
      <c r="J144" s="245"/>
      <c r="K144" s="246">
        <v>2</v>
      </c>
      <c r="L144" s="248"/>
      <c r="M144" s="248"/>
      <c r="N144" s="248"/>
      <c r="O144" s="248"/>
      <c r="P144" s="248"/>
      <c r="Q144" s="248"/>
      <c r="R144" s="248"/>
      <c r="S144" s="249"/>
      <c r="T144" s="538"/>
    </row>
    <row r="145" spans="1:20" ht="38.25" customHeight="1" hidden="1">
      <c r="A145" s="6"/>
      <c r="B145" s="528" t="s">
        <v>214</v>
      </c>
      <c r="C145" s="528"/>
      <c r="D145" s="528"/>
      <c r="E145" s="529" t="s">
        <v>207</v>
      </c>
      <c r="F145" s="530" t="s">
        <v>181</v>
      </c>
      <c r="G145" s="243" t="s">
        <v>182</v>
      </c>
      <c r="H145" s="244" t="s">
        <v>143</v>
      </c>
      <c r="I145" s="253">
        <v>87</v>
      </c>
      <c r="J145" s="245"/>
      <c r="K145" s="246">
        <v>88</v>
      </c>
      <c r="L145" s="248"/>
      <c r="M145" s="248"/>
      <c r="N145" s="248"/>
      <c r="O145" s="248"/>
      <c r="P145" s="248"/>
      <c r="Q145" s="248"/>
      <c r="R145" s="248"/>
      <c r="S145" s="249"/>
      <c r="T145" s="538"/>
    </row>
    <row r="146" spans="1:20" ht="39" customHeight="1" hidden="1">
      <c r="A146" s="6"/>
      <c r="B146" s="528"/>
      <c r="C146" s="528"/>
      <c r="D146" s="528"/>
      <c r="E146" s="529" t="s">
        <v>207</v>
      </c>
      <c r="F146" s="530"/>
      <c r="G146" s="243" t="s">
        <v>184</v>
      </c>
      <c r="H146" s="244" t="s">
        <v>143</v>
      </c>
      <c r="I146" s="253">
        <v>81</v>
      </c>
      <c r="J146" s="245"/>
      <c r="K146" s="246">
        <v>82.8</v>
      </c>
      <c r="L146" s="248"/>
      <c r="M146" s="248"/>
      <c r="N146" s="248"/>
      <c r="O146" s="248"/>
      <c r="P146" s="248"/>
      <c r="Q146" s="248"/>
      <c r="R146" s="248"/>
      <c r="S146" s="249"/>
      <c r="T146" s="538"/>
    </row>
    <row r="147" spans="1:20" ht="36.75" customHeight="1" hidden="1">
      <c r="A147" s="6"/>
      <c r="B147" s="528" t="s">
        <v>215</v>
      </c>
      <c r="C147" s="528"/>
      <c r="D147" s="528"/>
      <c r="E147" s="529" t="s">
        <v>207</v>
      </c>
      <c r="F147" s="530" t="s">
        <v>181</v>
      </c>
      <c r="G147" s="251" t="s">
        <v>182</v>
      </c>
      <c r="H147" s="244" t="s">
        <v>143</v>
      </c>
      <c r="I147" s="257">
        <v>68.75</v>
      </c>
      <c r="J147" s="245"/>
      <c r="K147" s="267">
        <v>73.75</v>
      </c>
      <c r="L147" s="254"/>
      <c r="M147" s="254"/>
      <c r="N147" s="254"/>
      <c r="O147" s="254"/>
      <c r="P147" s="254"/>
      <c r="Q147" s="254"/>
      <c r="R147" s="254"/>
      <c r="S147" s="255"/>
      <c r="T147" s="538"/>
    </row>
    <row r="148" spans="1:20" ht="41.25" customHeight="1" hidden="1">
      <c r="A148" s="6"/>
      <c r="B148" s="528"/>
      <c r="C148" s="528"/>
      <c r="D148" s="528"/>
      <c r="E148" s="529"/>
      <c r="F148" s="530"/>
      <c r="G148" s="243" t="s">
        <v>184</v>
      </c>
      <c r="H148" s="244" t="s">
        <v>143</v>
      </c>
      <c r="I148" s="257">
        <v>75.2</v>
      </c>
      <c r="J148" s="245"/>
      <c r="K148" s="268">
        <v>73.3</v>
      </c>
      <c r="L148" s="261"/>
      <c r="M148" s="261"/>
      <c r="N148" s="261"/>
      <c r="O148" s="261"/>
      <c r="P148" s="261"/>
      <c r="Q148" s="261"/>
      <c r="R148" s="261"/>
      <c r="S148" s="262"/>
      <c r="T148" s="538"/>
    </row>
    <row r="154" ht="15">
      <c r="J154" t="s">
        <v>216</v>
      </c>
    </row>
  </sheetData>
  <sheetProtection selectLockedCells="1" selectUnlockedCells="1"/>
  <mergeCells count="91">
    <mergeCell ref="B145:D146"/>
    <mergeCell ref="E145:E146"/>
    <mergeCell ref="F145:F146"/>
    <mergeCell ref="B147:D148"/>
    <mergeCell ref="E147:E148"/>
    <mergeCell ref="F147:F148"/>
    <mergeCell ref="E139:E140"/>
    <mergeCell ref="F139:F140"/>
    <mergeCell ref="B141:D142"/>
    <mergeCell ref="E141:E142"/>
    <mergeCell ref="F141:F142"/>
    <mergeCell ref="B143:D144"/>
    <mergeCell ref="E143:E144"/>
    <mergeCell ref="F143:F144"/>
    <mergeCell ref="B133:D134"/>
    <mergeCell ref="E133:E134"/>
    <mergeCell ref="F133:F134"/>
    <mergeCell ref="T133:T134"/>
    <mergeCell ref="B136:T136"/>
    <mergeCell ref="B137:D138"/>
    <mergeCell ref="E137:E138"/>
    <mergeCell ref="F137:F138"/>
    <mergeCell ref="T137:T148"/>
    <mergeCell ref="B139:D140"/>
    <mergeCell ref="B129:D130"/>
    <mergeCell ref="E129:E130"/>
    <mergeCell ref="F129:F130"/>
    <mergeCell ref="T129:T130"/>
    <mergeCell ref="B131:D132"/>
    <mergeCell ref="E131:E132"/>
    <mergeCell ref="F131:F132"/>
    <mergeCell ref="T131:T132"/>
    <mergeCell ref="B125:D126"/>
    <mergeCell ref="E125:E126"/>
    <mergeCell ref="F125:F126"/>
    <mergeCell ref="T125:T126"/>
    <mergeCell ref="B127:D128"/>
    <mergeCell ref="E127:E128"/>
    <mergeCell ref="F127:F128"/>
    <mergeCell ref="T127:T128"/>
    <mergeCell ref="F119:F120"/>
    <mergeCell ref="T119:T124"/>
    <mergeCell ref="B121:D122"/>
    <mergeCell ref="E121:E122"/>
    <mergeCell ref="F121:F122"/>
    <mergeCell ref="B123:D124"/>
    <mergeCell ref="E123:E124"/>
    <mergeCell ref="F123:F124"/>
    <mergeCell ref="F115:F116"/>
    <mergeCell ref="T115:T116"/>
    <mergeCell ref="B117:D118"/>
    <mergeCell ref="E117:E118"/>
    <mergeCell ref="F117:F118"/>
    <mergeCell ref="T117:T118"/>
    <mergeCell ref="B72:C72"/>
    <mergeCell ref="B73:C73"/>
    <mergeCell ref="B113:D113"/>
    <mergeCell ref="A115:A120"/>
    <mergeCell ref="B115:D116"/>
    <mergeCell ref="E115:E116"/>
    <mergeCell ref="B119:D120"/>
    <mergeCell ref="E119:E120"/>
    <mergeCell ref="B26:C26"/>
    <mergeCell ref="B29:N29"/>
    <mergeCell ref="O31:O34"/>
    <mergeCell ref="F47:I47"/>
    <mergeCell ref="B60:D60"/>
    <mergeCell ref="B71:C71"/>
    <mergeCell ref="B14:J14"/>
    <mergeCell ref="H16:I16"/>
    <mergeCell ref="B18:C18"/>
    <mergeCell ref="D18:F18"/>
    <mergeCell ref="B21:J21"/>
    <mergeCell ref="D24:E24"/>
    <mergeCell ref="G24:H24"/>
    <mergeCell ref="I24:J24"/>
    <mergeCell ref="C8:D8"/>
    <mergeCell ref="I8:J8"/>
    <mergeCell ref="C10:D10"/>
    <mergeCell ref="E10:F10"/>
    <mergeCell ref="G10:J10"/>
    <mergeCell ref="C12:D12"/>
    <mergeCell ref="E12:F12"/>
    <mergeCell ref="G12:J12"/>
    <mergeCell ref="B2:J2"/>
    <mergeCell ref="C4:D4"/>
    <mergeCell ref="E4:F4"/>
    <mergeCell ref="G4:J4"/>
    <mergeCell ref="C6:D6"/>
    <mergeCell ref="E6:F6"/>
    <mergeCell ref="I6:J6"/>
  </mergeCells>
  <conditionalFormatting sqref="C30:N30 C94:N94">
    <cfRule type="cellIs" priority="1" dxfId="37" operator="equal" stopIfTrue="1">
      <formula>$C$16</formula>
    </cfRule>
  </conditionalFormatting>
  <conditionalFormatting sqref="C12:D12">
    <cfRule type="cellIs" priority="2" dxfId="38" operator="equal" stopIfTrue="1">
      <formula>"C"</formula>
    </cfRule>
    <cfRule type="cellIs" priority="3" dxfId="39" operator="equal" stopIfTrue="1">
      <formula>"B2"</formula>
    </cfRule>
    <cfRule type="cellIs" priority="4" dxfId="40" operator="equal" stopIfTrue="1">
      <formula>"B1"</formula>
    </cfRule>
  </conditionalFormatting>
  <conditionalFormatting sqref="H113:T114">
    <cfRule type="cellIs" priority="5" dxfId="41" operator="equal" stopIfTrue="1">
      <formula>$C$16</formula>
    </cfRule>
  </conditionalFormatting>
  <conditionalFormatting sqref="F47:I47">
    <cfRule type="expression" priority="6" dxfId="42" stopIfTrue="1">
      <formula>LEFT($F$47,2)="OK"</formula>
    </cfRule>
  </conditionalFormatting>
  <dataValidations count="10">
    <dataValidation type="list" allowBlank="1" showErrorMessage="1" sqref="G6">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B108">
      <formula1>NA()</formula1>
      <formula2>0</formula2>
    </dataValidation>
    <dataValidation type="list" showErrorMessage="1" sqref="C108">
      <formula1>$C$108:$C$108</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headerFooter alignWithMargins="0">
    <oddFooter>&amp;L&amp;F&amp;C&amp;A&amp;R&amp;D</oddFooter>
  </headerFooter>
  <rowBreaks count="1" manualBreakCount="1">
    <brk id="48"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90" zoomScaleNormal="90" zoomScaleSheetLayoutView="100" zoomScalePageLayoutView="0" workbookViewId="0" topLeftCell="B1">
      <selection activeCell="I41" sqref="I41"/>
    </sheetView>
  </sheetViews>
  <sheetFormatPr defaultColWidth="11.421875" defaultRowHeight="15"/>
  <cols>
    <col min="1" max="1" width="21.140625" style="6" customWidth="1"/>
    <col min="2" max="2" width="12.57421875" style="6" customWidth="1"/>
    <col min="3" max="3" width="20.57421875" style="6" customWidth="1"/>
    <col min="4" max="4" width="19.28125" style="6" customWidth="1"/>
    <col min="5" max="5" width="11.7109375" style="6" customWidth="1"/>
    <col min="6" max="6" width="18.7109375" style="6" customWidth="1"/>
    <col min="7" max="7" width="11.710937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59"/>
      <c r="B1" s="159"/>
      <c r="C1" s="159"/>
      <c r="D1" s="159"/>
      <c r="E1" s="159"/>
      <c r="F1" s="159"/>
      <c r="G1" s="40"/>
      <c r="H1" s="159"/>
      <c r="I1" s="159"/>
      <c r="J1" s="159"/>
    </row>
    <row r="2" ht="25.5" customHeight="1"/>
    <row r="3" spans="2:20" ht="36">
      <c r="B3" s="540" t="str">
        <f>+"Tablero de mando: "&amp;" "&amp;+'Introducción de datos'!C4&amp;" - "&amp;+'Introducción de datos'!G6</f>
        <v>Tablero de mando:  El Salvador - VIH / SIDA</v>
      </c>
      <c r="C3" s="540"/>
      <c r="D3" s="540"/>
      <c r="E3" s="540"/>
      <c r="F3" s="540"/>
      <c r="G3" s="540"/>
      <c r="H3" s="540"/>
      <c r="I3" s="540"/>
      <c r="J3" s="540"/>
      <c r="K3" s="269"/>
      <c r="L3" s="269"/>
      <c r="M3" s="269"/>
      <c r="N3" s="206"/>
      <c r="O3" s="206"/>
      <c r="P3" s="206"/>
      <c r="Q3" s="206"/>
      <c r="R3" s="206"/>
      <c r="S3" s="206"/>
      <c r="T3" s="206"/>
    </row>
    <row r="4" spans="12:20" ht="15" customHeight="1">
      <c r="L4" s="206"/>
      <c r="M4" s="206"/>
      <c r="N4" s="206"/>
      <c r="O4" s="206"/>
      <c r="P4" s="206"/>
      <c r="Q4" s="206"/>
      <c r="R4" s="206"/>
      <c r="S4" s="206"/>
      <c r="T4" s="206"/>
    </row>
    <row r="5" spans="12:20" ht="15">
      <c r="L5" s="206"/>
      <c r="M5" s="206"/>
      <c r="N5" s="206"/>
      <c r="O5" s="206"/>
      <c r="P5" s="206"/>
      <c r="Q5" s="206"/>
      <c r="R5" s="206"/>
      <c r="S5" s="206"/>
      <c r="T5" s="206"/>
    </row>
    <row r="6" spans="1:21" ht="32.25" customHeight="1">
      <c r="A6" s="270" t="s">
        <v>47</v>
      </c>
      <c r="B6" s="541" t="str">
        <f>+'Introducción de datos'!C4</f>
        <v>El Salvador</v>
      </c>
      <c r="C6" s="541"/>
      <c r="D6" s="542" t="s">
        <v>49</v>
      </c>
      <c r="E6" s="542"/>
      <c r="F6" s="543" t="str">
        <f>+'Introducción de datos'!G4</f>
        <v>INNOVANDO SERVICIOS, REDUCIENDO RIESGOS, RENOVANDO VIDAS EN EL SALVADOR</v>
      </c>
      <c r="G6" s="543"/>
      <c r="H6" s="543"/>
      <c r="I6" s="543"/>
      <c r="J6" s="543"/>
      <c r="K6" s="271"/>
      <c r="L6" s="272"/>
      <c r="M6" s="271"/>
      <c r="N6" s="271"/>
      <c r="O6" s="271"/>
      <c r="P6" s="273"/>
      <c r="Q6" s="274"/>
      <c r="R6" s="274"/>
      <c r="S6" s="274"/>
      <c r="T6" s="274"/>
      <c r="U6" s="274"/>
    </row>
    <row r="7" spans="2:21" ht="8.25" customHeight="1">
      <c r="B7" s="275"/>
      <c r="C7" s="276"/>
      <c r="D7" s="276"/>
      <c r="E7" s="277"/>
      <c r="F7" s="277"/>
      <c r="G7" s="278"/>
      <c r="H7" s="278"/>
      <c r="K7" s="271"/>
      <c r="L7" s="271"/>
      <c r="M7" s="271"/>
      <c r="N7" s="271"/>
      <c r="O7" s="271"/>
      <c r="P7" s="273"/>
      <c r="Q7" s="274"/>
      <c r="R7" s="274"/>
      <c r="S7" s="274"/>
      <c r="T7" s="274"/>
      <c r="U7" s="274"/>
    </row>
    <row r="8" spans="3:21" ht="3.75" customHeight="1">
      <c r="C8" s="279"/>
      <c r="D8" s="279"/>
      <c r="E8" s="279"/>
      <c r="F8" s="279"/>
      <c r="G8" s="279"/>
      <c r="H8" s="279"/>
      <c r="I8" s="279"/>
      <c r="J8" s="279"/>
      <c r="K8" s="271"/>
      <c r="L8" s="271"/>
      <c r="M8" s="271"/>
      <c r="N8" s="271"/>
      <c r="O8" s="280"/>
      <c r="P8" s="273"/>
      <c r="Q8" s="280"/>
      <c r="R8" s="281"/>
      <c r="S8" s="274"/>
      <c r="T8" s="274"/>
      <c r="U8" s="274"/>
    </row>
    <row r="9" spans="1:24" ht="25.5" customHeight="1">
      <c r="A9" s="282" t="s">
        <v>53</v>
      </c>
      <c r="B9" s="283" t="str">
        <f>+'Introducción de datos'!G6</f>
        <v>VIH / SIDA</v>
      </c>
      <c r="C9" s="284" t="s">
        <v>51</v>
      </c>
      <c r="D9" s="285" t="str">
        <f>+'Introducción de datos'!C6</f>
        <v>SLV - H - MINSAL</v>
      </c>
      <c r="E9" s="544" t="s">
        <v>217</v>
      </c>
      <c r="F9" s="544"/>
      <c r="G9" s="286" t="str">
        <f>+'Introducción de datos'!C10</f>
        <v>01 de enero del 2014</v>
      </c>
      <c r="H9" s="282" t="s">
        <v>218</v>
      </c>
      <c r="I9" s="545">
        <f>+'Introducción de datos'!I6</f>
        <v>0</v>
      </c>
      <c r="J9" s="545"/>
      <c r="K9" s="271"/>
      <c r="L9" s="271"/>
      <c r="M9" s="271"/>
      <c r="N9" s="271"/>
      <c r="O9" s="280"/>
      <c r="P9" s="273"/>
      <c r="Q9" s="280"/>
      <c r="R9" s="281"/>
      <c r="S9" s="274"/>
      <c r="T9" s="287"/>
      <c r="U9" s="287"/>
      <c r="V9" s="279"/>
      <c r="W9" s="279"/>
      <c r="X9" s="279"/>
    </row>
    <row r="10" spans="1:21" ht="25.5" customHeight="1">
      <c r="A10" s="282" t="s">
        <v>58</v>
      </c>
      <c r="B10" s="288" t="str">
        <f>IF(ISBLANK('Introducción de datos'!G8),"",'Introducción de datos'!G8)</f>
        <v>SSF/NMF</v>
      </c>
      <c r="C10" s="284" t="s">
        <v>60</v>
      </c>
      <c r="D10" s="289" t="str">
        <f>+'Introducción de datos'!I8</f>
        <v>Fase 1</v>
      </c>
      <c r="E10" s="544" t="s">
        <v>219</v>
      </c>
      <c r="F10" s="544"/>
      <c r="G10" s="546" t="str">
        <f>+'Introducción de datos'!C8</f>
        <v>Ministerio de Salud </v>
      </c>
      <c r="H10" s="546"/>
      <c r="I10" s="546"/>
      <c r="J10" s="546"/>
      <c r="K10" s="291"/>
      <c r="L10" s="291"/>
      <c r="M10" s="271"/>
      <c r="N10" s="291"/>
      <c r="O10" s="280"/>
      <c r="P10" s="273"/>
      <c r="Q10" s="287"/>
      <c r="R10" s="281"/>
      <c r="S10" s="274"/>
      <c r="T10" s="287"/>
      <c r="U10" s="287"/>
    </row>
    <row r="11" spans="1:21" ht="25.5" customHeight="1">
      <c r="A11" s="282" t="s">
        <v>220</v>
      </c>
      <c r="B11" s="290" t="str">
        <f>+'Introducción de datos'!C16</f>
        <v>P5</v>
      </c>
      <c r="C11" s="284" t="s">
        <v>221</v>
      </c>
      <c r="D11" s="292">
        <f>+'Introducción de datos'!E16</f>
        <v>42370</v>
      </c>
      <c r="E11" s="544" t="s">
        <v>222</v>
      </c>
      <c r="F11" s="544"/>
      <c r="G11" s="292">
        <f>+'Introducción de datos'!G16</f>
        <v>42551</v>
      </c>
      <c r="H11" s="282" t="s">
        <v>223</v>
      </c>
      <c r="I11" s="548" t="str">
        <f>+'Introducción de datos'!C12</f>
        <v>B2</v>
      </c>
      <c r="J11" s="548"/>
      <c r="K11" s="293"/>
      <c r="L11" s="291"/>
      <c r="M11" s="271"/>
      <c r="N11" s="291"/>
      <c r="O11" s="291"/>
      <c r="P11" s="273"/>
      <c r="Q11" s="287"/>
      <c r="R11" s="281"/>
      <c r="S11" s="274"/>
      <c r="T11" s="294"/>
      <c r="U11" s="287"/>
    </row>
    <row r="12" spans="1:24" ht="25.5" customHeight="1">
      <c r="A12" s="282" t="s">
        <v>64</v>
      </c>
      <c r="B12" s="546" t="str">
        <f>+'Introducción de datos'!G10</f>
        <v>JACOBS</v>
      </c>
      <c r="C12" s="546"/>
      <c r="D12" s="546"/>
      <c r="E12" s="544" t="s">
        <v>68</v>
      </c>
      <c r="F12" s="544"/>
      <c r="G12" s="546" t="str">
        <f>+'Introducción de datos'!G12</f>
        <v>Serena Buccini</v>
      </c>
      <c r="H12" s="546"/>
      <c r="I12" s="546"/>
      <c r="J12" s="546"/>
      <c r="K12" s="291"/>
      <c r="L12" s="291"/>
      <c r="M12" s="271"/>
      <c r="N12" s="291"/>
      <c r="O12" s="274"/>
      <c r="P12" s="273"/>
      <c r="Q12" s="287"/>
      <c r="R12" s="281"/>
      <c r="S12" s="274"/>
      <c r="T12" s="287"/>
      <c r="U12" s="295"/>
      <c r="V12" s="287"/>
      <c r="W12" s="294"/>
      <c r="X12" s="287"/>
    </row>
    <row r="13" spans="1:21" ht="25.5" customHeight="1">
      <c r="A13" s="282" t="s">
        <v>76</v>
      </c>
      <c r="B13" s="546" t="str">
        <f>+'Introducción de datos'!D18</f>
        <v>UAFM/FE/MINSAL.</v>
      </c>
      <c r="C13" s="546"/>
      <c r="D13" s="546"/>
      <c r="E13" s="544" t="s">
        <v>224</v>
      </c>
      <c r="F13" s="544"/>
      <c r="G13" s="547">
        <f>+'Introducción de datos'!J16</f>
        <v>42646</v>
      </c>
      <c r="H13" s="547"/>
      <c r="I13" s="547"/>
      <c r="J13" s="547"/>
      <c r="K13" s="274"/>
      <c r="L13" s="296"/>
      <c r="M13" s="296"/>
      <c r="N13" s="296"/>
      <c r="O13" s="274"/>
      <c r="P13" s="296"/>
      <c r="Q13" s="296"/>
      <c r="R13" s="281"/>
      <c r="S13" s="274"/>
      <c r="T13" s="296"/>
      <c r="U13" s="297"/>
    </row>
  </sheetData>
  <sheetProtection password="CFC9" sheet="1" objects="1" scenarios="1"/>
  <mergeCells count="16">
    <mergeCell ref="B13:D13"/>
    <mergeCell ref="E13:F13"/>
    <mergeCell ref="G13:J13"/>
    <mergeCell ref="E10:F10"/>
    <mergeCell ref="G10:J10"/>
    <mergeCell ref="E11:F11"/>
    <mergeCell ref="I11:J11"/>
    <mergeCell ref="B12:D12"/>
    <mergeCell ref="E12:F12"/>
    <mergeCell ref="G12:J12"/>
    <mergeCell ref="B3:J3"/>
    <mergeCell ref="B6:C6"/>
    <mergeCell ref="D6:E6"/>
    <mergeCell ref="F6:J6"/>
    <mergeCell ref="E9:F9"/>
    <mergeCell ref="I9:J9"/>
  </mergeCells>
  <conditionalFormatting sqref="I11:J11">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dataValidations count="1">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O33"/>
  <sheetViews>
    <sheetView showGridLines="0" zoomScale="120" zoomScaleNormal="120" zoomScalePageLayoutView="0" workbookViewId="0" topLeftCell="B1">
      <selection activeCell="I9" sqref="I9:K9"/>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0.421875" style="0" customWidth="1"/>
    <col min="9" max="9" width="14.7109375" style="0" customWidth="1"/>
    <col min="10" max="10" width="12.00390625" style="0" customWidth="1"/>
    <col min="11" max="11" width="11.7109375" style="0" customWidth="1"/>
    <col min="12" max="12" width="3.7109375" style="0" customWidth="1"/>
  </cols>
  <sheetData>
    <row r="1" spans="2:11" ht="30.75" customHeight="1">
      <c r="B1" s="6"/>
      <c r="C1" s="6"/>
      <c r="D1" s="6"/>
      <c r="E1" s="6"/>
      <c r="F1" s="6"/>
      <c r="G1" s="6"/>
      <c r="H1" s="6"/>
      <c r="I1" s="6"/>
      <c r="J1" s="6"/>
      <c r="K1" s="6"/>
    </row>
    <row r="2" spans="2:15" ht="27.75" customHeight="1">
      <c r="B2" s="506" t="str">
        <f>+"Cuadro de mando:  "&amp;"  "&amp;+'Introducción de datos'!C4&amp;" - "&amp;'Introducción de datos'!G6</f>
        <v>Cuadro de mando:    El Salvador - VIH / SIDA</v>
      </c>
      <c r="C2" s="506"/>
      <c r="D2" s="506"/>
      <c r="E2" s="506"/>
      <c r="F2" s="506"/>
      <c r="G2" s="506"/>
      <c r="H2" s="506"/>
      <c r="I2" s="506"/>
      <c r="J2" s="506"/>
      <c r="K2" s="506"/>
      <c r="L2" s="298"/>
      <c r="M2" s="298"/>
      <c r="N2" s="298"/>
      <c r="O2" s="298"/>
    </row>
    <row r="3" spans="2:12" ht="15">
      <c r="B3" s="299" t="str">
        <f>+'Introducción de datos'!G8</f>
        <v>SSF/NMF</v>
      </c>
      <c r="C3" s="550" t="str">
        <f>+'Introducción de datos'!I8</f>
        <v>Fase 1</v>
      </c>
      <c r="D3" s="550"/>
      <c r="E3" s="551"/>
      <c r="F3" s="551"/>
      <c r="G3" s="551"/>
      <c r="H3" s="551"/>
      <c r="I3" s="552" t="str">
        <f>+'Introducción de datos'!B16</f>
        <v>Periodo:</v>
      </c>
      <c r="J3" s="552"/>
      <c r="K3" s="301" t="str">
        <f>+'Introducción de datos'!C16</f>
        <v>P5</v>
      </c>
      <c r="L3" s="302"/>
    </row>
    <row r="4" spans="2:11" ht="15">
      <c r="B4" s="299" t="str">
        <f>+'Introducción de datos'!B12</f>
        <v>Ultima calificación:</v>
      </c>
      <c r="C4" s="553" t="str">
        <f>+'Introducción de datos'!C12</f>
        <v>B2</v>
      </c>
      <c r="D4" s="553"/>
      <c r="E4" s="551" t="str">
        <f>+'Introducción de datos'!C8</f>
        <v>Ministerio de Salud </v>
      </c>
      <c r="F4" s="551"/>
      <c r="G4" s="551"/>
      <c r="H4" s="551"/>
      <c r="I4" s="552" t="str">
        <f>+'Introducción de datos'!D16</f>
        <v>Desde:</v>
      </c>
      <c r="J4" s="552"/>
      <c r="K4" s="303">
        <f>+'Introducción de datos'!E16</f>
        <v>42370</v>
      </c>
    </row>
    <row r="5" spans="2:11" ht="18.75" customHeight="1">
      <c r="B5" s="299"/>
      <c r="C5" s="299"/>
      <c r="D5" s="558" t="str">
        <f>+'Introducción de datos'!G4</f>
        <v>INNOVANDO SERVICIOS, REDUCIENDO RIESGOS, RENOVANDO VIDAS EN EL SALVADOR</v>
      </c>
      <c r="E5" s="558"/>
      <c r="F5" s="558"/>
      <c r="G5" s="558"/>
      <c r="H5" s="558"/>
      <c r="I5" s="558"/>
      <c r="J5" s="299" t="str">
        <f>+'Introducción de datos'!F16</f>
        <v>Hasta:</v>
      </c>
      <c r="K5" s="303">
        <f>+'Introducción de datos'!G16</f>
        <v>42551</v>
      </c>
    </row>
    <row r="6" spans="2:11" ht="18.75">
      <c r="B6" s="304"/>
      <c r="C6" s="299"/>
      <c r="D6" s="305"/>
      <c r="E6" s="559" t="s">
        <v>225</v>
      </c>
      <c r="F6" s="559"/>
      <c r="G6" s="559"/>
      <c r="H6" s="559"/>
      <c r="I6" s="6"/>
      <c r="J6" s="6"/>
      <c r="K6" s="6"/>
    </row>
    <row r="7" spans="2:11" ht="10.5" customHeight="1">
      <c r="B7" s="306"/>
      <c r="C7" s="300"/>
      <c r="D7" s="305"/>
      <c r="E7" s="307"/>
      <c r="F7" s="307"/>
      <c r="G7" s="308"/>
      <c r="H7" s="308"/>
      <c r="I7" s="309"/>
      <c r="J7" s="309"/>
      <c r="K7" s="310"/>
    </row>
    <row r="8" spans="2:11" ht="15">
      <c r="B8" s="311" t="str">
        <f>+'Introducción de datos'!B27&amp;" - en ("&amp;'Introducción de datos'!D26&amp;")         "&amp;+I3&amp;" "&amp;+K3</f>
        <v>F1: Presupuesto y desembolsos del Fondo Mundial - en ($)         Periodo: P5</v>
      </c>
      <c r="C8" s="312"/>
      <c r="D8" s="159"/>
      <c r="E8" s="159"/>
      <c r="F8" s="159"/>
      <c r="H8" s="311" t="str">
        <f>+'Introducción de datos'!B49&amp;" - en ("&amp;'Introducción de datos'!D26&amp;")         "&amp;+I3&amp;" "&amp;+K3</f>
        <v>F3: Desembolsos y gastos - en ($)         Periodo: P5</v>
      </c>
      <c r="I8" s="6"/>
      <c r="J8" s="6"/>
      <c r="K8" s="6"/>
    </row>
    <row r="9" spans="2:11" ht="45.75" customHeight="1">
      <c r="B9" s="313" t="s">
        <v>226</v>
      </c>
      <c r="C9" s="560" t="s">
        <v>227</v>
      </c>
      <c r="D9" s="560"/>
      <c r="E9" s="560"/>
      <c r="F9" s="560"/>
      <c r="H9" s="314" t="s">
        <v>226</v>
      </c>
      <c r="I9" s="549" t="s">
        <v>228</v>
      </c>
      <c r="J9" s="549"/>
      <c r="K9" s="549"/>
    </row>
    <row r="10" spans="2:11" ht="15">
      <c r="B10" s="159"/>
      <c r="C10" s="159"/>
      <c r="D10" s="159"/>
      <c r="E10" s="159"/>
      <c r="F10" s="159"/>
      <c r="G10" s="6"/>
      <c r="H10" s="6"/>
      <c r="I10" s="6"/>
      <c r="J10" s="6"/>
      <c r="K10" s="6"/>
    </row>
    <row r="11" spans="2:11" ht="15">
      <c r="B11" s="159"/>
      <c r="C11" s="159"/>
      <c r="D11" s="159"/>
      <c r="E11" s="159"/>
      <c r="F11" s="159"/>
      <c r="G11" s="6"/>
      <c r="H11" s="6"/>
      <c r="I11" s="6"/>
      <c r="J11" s="6"/>
      <c r="K11" s="6"/>
    </row>
    <row r="12" spans="2:11" ht="15">
      <c r="B12" s="159"/>
      <c r="C12" s="159"/>
      <c r="D12" s="159"/>
      <c r="E12" s="159"/>
      <c r="F12" s="159"/>
      <c r="G12" s="6"/>
      <c r="H12" s="6"/>
      <c r="I12" s="6"/>
      <c r="J12" s="6"/>
      <c r="K12" s="6"/>
    </row>
    <row r="13" spans="2:11" ht="15">
      <c r="B13" s="159"/>
      <c r="C13" s="159"/>
      <c r="D13" s="159"/>
      <c r="E13" s="159"/>
      <c r="F13" s="159"/>
      <c r="G13" s="6"/>
      <c r="H13" s="6"/>
      <c r="I13" s="6"/>
      <c r="J13" s="6"/>
      <c r="K13" s="6"/>
    </row>
    <row r="14" spans="2:11" ht="15">
      <c r="B14" s="159"/>
      <c r="C14" s="159"/>
      <c r="D14" s="159"/>
      <c r="E14" s="159"/>
      <c r="F14" s="159"/>
      <c r="G14" s="6"/>
      <c r="H14" s="6"/>
      <c r="I14" s="6"/>
      <c r="J14" s="6"/>
      <c r="K14" s="6"/>
    </row>
    <row r="15" spans="2:13" ht="15">
      <c r="B15" s="159"/>
      <c r="C15" s="159"/>
      <c r="D15" s="159"/>
      <c r="E15" s="159"/>
      <c r="F15" s="159"/>
      <c r="G15" s="6"/>
      <c r="H15" s="6"/>
      <c r="I15" s="6"/>
      <c r="J15" s="6"/>
      <c r="K15" s="6"/>
      <c r="M15" s="315" t="s">
        <v>229</v>
      </c>
    </row>
    <row r="16" spans="2:13" ht="15">
      <c r="B16" s="159"/>
      <c r="C16" s="159"/>
      <c r="D16" s="159"/>
      <c r="E16" s="159"/>
      <c r="F16" s="159"/>
      <c r="G16" s="6"/>
      <c r="H16" s="6"/>
      <c r="I16" s="6"/>
      <c r="J16" s="6"/>
      <c r="K16" s="6"/>
      <c r="M16" s="315" t="s">
        <v>230</v>
      </c>
    </row>
    <row r="17" spans="2:11" ht="15">
      <c r="B17" s="159"/>
      <c r="C17" s="159"/>
      <c r="D17" s="159"/>
      <c r="E17" s="159"/>
      <c r="F17" s="159"/>
      <c r="G17" s="6"/>
      <c r="H17" s="6"/>
      <c r="I17" s="6"/>
      <c r="J17" s="6"/>
      <c r="K17" s="6"/>
    </row>
    <row r="18" spans="2:11" ht="15">
      <c r="B18" s="159"/>
      <c r="C18" s="159"/>
      <c r="D18" s="159"/>
      <c r="E18" s="159"/>
      <c r="F18" s="159"/>
      <c r="G18" s="6"/>
      <c r="H18" s="6"/>
      <c r="I18" s="6"/>
      <c r="J18" s="6"/>
      <c r="K18" s="6"/>
    </row>
    <row r="19" spans="2:11" ht="15">
      <c r="B19" s="159"/>
      <c r="C19" s="159"/>
      <c r="D19" s="159"/>
      <c r="E19" s="159"/>
      <c r="F19" s="159"/>
      <c r="G19" s="6"/>
      <c r="H19" s="6"/>
      <c r="I19" s="6"/>
      <c r="J19" s="6"/>
      <c r="K19" s="6"/>
    </row>
    <row r="20" spans="2:11" ht="15">
      <c r="B20" s="159"/>
      <c r="C20" s="159"/>
      <c r="D20" s="159"/>
      <c r="E20" s="159"/>
      <c r="F20" s="159"/>
      <c r="G20" s="6"/>
      <c r="H20" s="6"/>
      <c r="I20" s="6"/>
      <c r="J20" s="6"/>
      <c r="K20" s="6"/>
    </row>
    <row r="21" spans="1:11" ht="24" customHeight="1">
      <c r="A21" s="10"/>
      <c r="B21" s="10"/>
      <c r="C21" s="10"/>
      <c r="D21" s="10"/>
      <c r="E21" s="10"/>
      <c r="F21" s="10"/>
      <c r="G21" s="10"/>
      <c r="H21" s="10"/>
      <c r="I21" s="10"/>
      <c r="J21" s="10"/>
      <c r="K21" s="10"/>
    </row>
    <row r="22" spans="2:11" ht="23.25" customHeight="1">
      <c r="B22" s="316" t="str">
        <f>+'Introducción de datos'!B36&amp;" - en ("&amp;'Introducción de datos'!D26&amp;")  "&amp;+I3&amp;" "&amp;+K3</f>
        <v>F2: Presupuesto y gastos reales por objetivo de la subvención - en ($)  Periodo: P5</v>
      </c>
      <c r="C22" s="159"/>
      <c r="D22" s="159"/>
      <c r="E22" s="159"/>
      <c r="F22" s="159"/>
      <c r="H22" s="316" t="str">
        <f>+'Introducción de datos'!B58&amp;"   "&amp;+I3&amp;" "&amp;+K3</f>
        <v>F4: Último ciclo de información y desembolso del RP   Periodo: P5</v>
      </c>
      <c r="J22" s="6"/>
      <c r="K22" s="6"/>
    </row>
    <row r="23" spans="2:11" ht="45.75" customHeight="1">
      <c r="B23" s="314" t="s">
        <v>231</v>
      </c>
      <c r="C23" s="549" t="s">
        <v>232</v>
      </c>
      <c r="D23" s="549"/>
      <c r="E23" s="549"/>
      <c r="F23" s="549"/>
      <c r="G23" s="317"/>
      <c r="H23" s="314" t="s">
        <v>226</v>
      </c>
      <c r="I23" s="549" t="s">
        <v>233</v>
      </c>
      <c r="J23" s="549"/>
      <c r="K23" s="549"/>
    </row>
    <row r="24" spans="2:11" ht="15">
      <c r="B24" s="318"/>
      <c r="C24" s="318"/>
      <c r="D24" s="318"/>
      <c r="E24" s="318"/>
      <c r="F24" s="318"/>
      <c r="G24" s="318"/>
      <c r="H24" s="319"/>
      <c r="I24" s="319"/>
      <c r="J24" s="318"/>
      <c r="K24" s="318"/>
    </row>
    <row r="25" spans="2:11" ht="29.25" customHeight="1">
      <c r="B25" s="6"/>
      <c r="C25" s="6"/>
      <c r="D25" s="6"/>
      <c r="E25" s="6"/>
      <c r="F25" s="6"/>
      <c r="G25" s="320"/>
      <c r="H25" s="554" t="s">
        <v>234</v>
      </c>
      <c r="I25" s="554"/>
      <c r="J25" s="554"/>
      <c r="K25" s="554"/>
    </row>
    <row r="26" spans="2:11" ht="24.75">
      <c r="B26" s="6"/>
      <c r="C26" s="6"/>
      <c r="D26" s="6"/>
      <c r="E26" s="6"/>
      <c r="F26" s="6"/>
      <c r="G26" s="44"/>
      <c r="H26" s="555"/>
      <c r="I26" s="555"/>
      <c r="J26" s="321" t="s">
        <v>118</v>
      </c>
      <c r="K26" s="322" t="s">
        <v>119</v>
      </c>
    </row>
    <row r="27" spans="2:11" ht="29.25" customHeight="1">
      <c r="B27" s="6"/>
      <c r="C27" s="6"/>
      <c r="D27" s="6"/>
      <c r="E27" s="6"/>
      <c r="F27" s="6"/>
      <c r="G27" s="323"/>
      <c r="H27" s="556" t="str">
        <f>'Introducción de datos'!B62</f>
        <v>Días tardados en presentar el informe de progreso actualizado y solicitud de desembolso al ALF</v>
      </c>
      <c r="I27" s="556"/>
      <c r="J27" s="324">
        <f>+'Introducción de datos'!C62</f>
        <v>60</v>
      </c>
      <c r="K27" s="325">
        <f>+'Introducción de datos'!D62</f>
        <v>60</v>
      </c>
    </row>
    <row r="28" spans="2:11" ht="21" customHeight="1">
      <c r="B28" s="6"/>
      <c r="C28" s="6"/>
      <c r="D28" s="6"/>
      <c r="E28" s="6"/>
      <c r="F28" s="6"/>
      <c r="G28" s="323"/>
      <c r="H28" s="556" t="str">
        <f>'Introducción de datos'!B63</f>
        <v>Días que el desembolso ha tardado en llegar al RP</v>
      </c>
      <c r="I28" s="556"/>
      <c r="J28" s="324">
        <f>+'Introducción de datos'!C63</f>
        <v>45</v>
      </c>
      <c r="K28" s="325">
        <f>+'Introducción de datos'!D63</f>
        <v>90</v>
      </c>
    </row>
    <row r="29" spans="2:11" ht="21" customHeight="1">
      <c r="B29" s="6"/>
      <c r="C29" s="6"/>
      <c r="D29" s="6"/>
      <c r="E29" s="6"/>
      <c r="F29" s="6"/>
      <c r="G29" s="323"/>
      <c r="H29" s="557" t="str">
        <f>'Introducción de datos'!B64</f>
        <v>Días que el desembolso ha tardado en llegar a los subreceptores </v>
      </c>
      <c r="I29" s="557"/>
      <c r="J29" s="326">
        <f>+'Introducción de datos'!C64</f>
        <v>0</v>
      </c>
      <c r="K29" s="327">
        <f>+'Introducción de datos'!D64</f>
        <v>0</v>
      </c>
    </row>
    <row r="30" spans="2:11" ht="15">
      <c r="B30" s="6"/>
      <c r="C30" s="6"/>
      <c r="D30" s="6"/>
      <c r="E30" s="6"/>
      <c r="F30" s="6"/>
      <c r="G30" s="6"/>
      <c r="H30" s="6"/>
      <c r="I30" s="6"/>
      <c r="J30" s="6"/>
      <c r="K30" s="6"/>
    </row>
    <row r="31" spans="2:11" ht="15">
      <c r="B31" s="6"/>
      <c r="C31" s="105"/>
      <c r="D31" s="328"/>
      <c r="E31" s="6"/>
      <c r="F31" s="6"/>
      <c r="G31" s="6"/>
      <c r="H31" s="6"/>
      <c r="I31" s="6"/>
      <c r="J31" s="6"/>
      <c r="K31" s="6"/>
    </row>
    <row r="32" spans="2:11" ht="15">
      <c r="B32" s="6"/>
      <c r="C32" s="291" t="s">
        <v>101</v>
      </c>
      <c r="D32" s="328"/>
      <c r="E32" s="6"/>
      <c r="F32" s="6"/>
      <c r="G32" s="6"/>
      <c r="H32" s="6"/>
      <c r="I32" s="6"/>
      <c r="J32" s="6"/>
      <c r="K32" s="6"/>
    </row>
    <row r="33" ht="15">
      <c r="C33" s="315" t="s">
        <v>156</v>
      </c>
    </row>
  </sheetData>
  <sheetProtection password="CF09" sheet="1" objects="1" scenarios="1"/>
  <mergeCells count="18">
    <mergeCell ref="H25:K25"/>
    <mergeCell ref="H26:I26"/>
    <mergeCell ref="H27:I27"/>
    <mergeCell ref="H28:I28"/>
    <mergeCell ref="H29:I29"/>
    <mergeCell ref="D5:I5"/>
    <mergeCell ref="E6:H6"/>
    <mergeCell ref="C9:F9"/>
    <mergeCell ref="I9:K9"/>
    <mergeCell ref="C23:F23"/>
    <mergeCell ref="I23:K23"/>
    <mergeCell ref="B2:K2"/>
    <mergeCell ref="C3:D3"/>
    <mergeCell ref="E3:H3"/>
    <mergeCell ref="I3:J3"/>
    <mergeCell ref="C4:D4"/>
    <mergeCell ref="E4:H4"/>
    <mergeCell ref="I4:J4"/>
  </mergeCells>
  <conditionalFormatting sqref="K27:K29">
    <cfRule type="cellIs" priority="1" dxfId="44" operator="equal" stopIfTrue="1">
      <formula>0</formula>
    </cfRule>
  </conditionalFormatting>
  <conditionalFormatting sqref="C4:D4">
    <cfRule type="cellIs" priority="2" dxfId="43" operator="equal" stopIfTrue="1">
      <formula>"C"</formula>
    </cfRule>
    <cfRule type="cellIs" priority="3" dxfId="39" operator="equal" stopIfTrue="1">
      <formula>"B2"</formula>
    </cfRule>
    <cfRule type="cellIs" priority="4"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5"/>
  <sheetViews>
    <sheetView showGridLines="0" zoomScalePageLayoutView="0" workbookViewId="0" topLeftCell="A13">
      <selection activeCell="P32" sqref="P32"/>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39.00390625" style="0" customWidth="1"/>
    <col min="10" max="10" width="13.7109375" style="0" customWidth="1"/>
    <col min="11" max="11" width="13.57421875" style="0" customWidth="1"/>
    <col min="12" max="12" width="14.140625" style="0" customWidth="1"/>
  </cols>
  <sheetData>
    <row r="1" spans="3:5" ht="28.5" customHeight="1">
      <c r="C1" s="329"/>
      <c r="E1" s="329"/>
    </row>
    <row r="2" spans="2:16" ht="27.75" customHeight="1">
      <c r="B2" s="561" t="str">
        <f>+"Cuadro de mando:  "&amp;"  "&amp;+'Introducción de datos'!C4&amp;" - "&amp;'Introducción de datos'!G6</f>
        <v>Cuadro de mando:    El Salvador - VIH / SIDA</v>
      </c>
      <c r="C2" s="561"/>
      <c r="D2" s="561"/>
      <c r="E2" s="561"/>
      <c r="F2" s="561"/>
      <c r="G2" s="561"/>
      <c r="H2" s="561"/>
      <c r="I2" s="561"/>
      <c r="J2" s="561"/>
      <c r="K2" s="561"/>
      <c r="L2" s="561"/>
      <c r="M2" s="330"/>
      <c r="N2" s="330"/>
      <c r="O2" s="330"/>
      <c r="P2" s="330"/>
    </row>
    <row r="3" spans="2:12" ht="15">
      <c r="B3" s="331" t="str">
        <f>+'Introducción de datos'!G8</f>
        <v>SSF/NMF</v>
      </c>
      <c r="C3" s="562" t="str">
        <f>+'Introducción de datos'!I8</f>
        <v>Fase 1</v>
      </c>
      <c r="D3" s="562"/>
      <c r="E3" s="563"/>
      <c r="F3" s="563"/>
      <c r="G3" s="563"/>
      <c r="H3" s="563"/>
      <c r="I3" s="563"/>
      <c r="J3" s="564" t="str">
        <f>+'Introducción de datos'!B16</f>
        <v>Periodo:</v>
      </c>
      <c r="K3" s="564"/>
      <c r="L3" s="301" t="str">
        <f>+'Introducción de datos'!C16</f>
        <v>P5</v>
      </c>
    </row>
    <row r="4" spans="2:12" ht="15">
      <c r="B4" s="331" t="str">
        <f>+'Introducción de datos'!B12</f>
        <v>Ultima calificación:</v>
      </c>
      <c r="C4" s="553" t="str">
        <f>+'Introducción de datos'!C12</f>
        <v>B2</v>
      </c>
      <c r="D4" s="553"/>
      <c r="E4" s="563" t="str">
        <f>+'Introducción de datos'!C8</f>
        <v>Ministerio de Salud </v>
      </c>
      <c r="F4" s="563"/>
      <c r="G4" s="563"/>
      <c r="H4" s="563"/>
      <c r="I4" s="563"/>
      <c r="J4" s="564" t="str">
        <f>+'Introducción de datos'!D16</f>
        <v>Desde:</v>
      </c>
      <c r="K4" s="564"/>
      <c r="L4" s="303">
        <f>+'Introducción de datos'!E16</f>
        <v>42370</v>
      </c>
    </row>
    <row r="5" spans="2:12" ht="18.75" customHeight="1">
      <c r="B5" s="331"/>
      <c r="C5" s="331"/>
      <c r="D5" s="563" t="str">
        <f>+'Introducción de datos'!G4</f>
        <v>INNOVANDO SERVICIOS, REDUCIENDO RIESGOS, RENOVANDO VIDAS EN EL SALVADOR</v>
      </c>
      <c r="E5" s="563"/>
      <c r="F5" s="563"/>
      <c r="G5" s="563"/>
      <c r="H5" s="563"/>
      <c r="I5" s="563"/>
      <c r="J5" s="563"/>
      <c r="K5" s="331" t="str">
        <f>+'Introducción de datos'!F16</f>
        <v>Hasta:</v>
      </c>
      <c r="L5" s="303">
        <f>+'Introducción de datos'!G16</f>
        <v>42551</v>
      </c>
    </row>
    <row r="6" spans="2:9" ht="18.75">
      <c r="B6" s="332"/>
      <c r="C6" s="331"/>
      <c r="D6" s="305"/>
      <c r="E6" s="569" t="s">
        <v>20</v>
      </c>
      <c r="F6" s="569"/>
      <c r="G6" s="569"/>
      <c r="H6" s="569"/>
      <c r="I6" s="569"/>
    </row>
    <row r="7" spans="2:8" ht="15">
      <c r="B7" s="333" t="str">
        <f>+'Introducción de datos'!B69&amp;"     "&amp;+J3&amp;" "&amp;+L3</f>
        <v>M1: Estado de las condiciones precedentes y acciones con fecha límite     Periodo: P5</v>
      </c>
      <c r="C7" s="334"/>
      <c r="H7" s="333" t="str">
        <f>+'Introducción de datos'!B76&amp;"         "&amp;+J3&amp;"  "&amp;+L3</f>
        <v>M2: Estado de los principales puestos directivos del RP         Periodo:  P5</v>
      </c>
    </row>
    <row r="8" spans="2:12" ht="74.25" customHeight="1">
      <c r="B8" s="335" t="s">
        <v>226</v>
      </c>
      <c r="C8" s="565" t="s">
        <v>235</v>
      </c>
      <c r="D8" s="565"/>
      <c r="E8" s="565"/>
      <c r="F8" s="565"/>
      <c r="G8" s="336"/>
      <c r="H8" s="335" t="s">
        <v>226</v>
      </c>
      <c r="I8" s="565" t="s">
        <v>236</v>
      </c>
      <c r="J8" s="565"/>
      <c r="K8" s="565"/>
      <c r="L8" s="565"/>
    </row>
    <row r="9" spans="2:8" ht="15">
      <c r="B9" s="10"/>
      <c r="C9" s="10"/>
      <c r="D9" s="10"/>
      <c r="E9" s="10"/>
      <c r="F9" s="10"/>
      <c r="G9" s="10"/>
      <c r="H9" s="10"/>
    </row>
    <row r="10" spans="1:16" ht="15">
      <c r="A10" s="337"/>
      <c r="B10" s="10"/>
      <c r="C10" s="10"/>
      <c r="D10" s="570"/>
      <c r="E10" s="484"/>
      <c r="F10" s="484"/>
      <c r="G10" s="12"/>
      <c r="H10" s="10"/>
      <c r="N10" s="339"/>
      <c r="O10" s="339"/>
      <c r="P10" s="340"/>
    </row>
    <row r="11" spans="2:15" ht="15">
      <c r="B11" s="10"/>
      <c r="C11" s="338"/>
      <c r="D11" s="570"/>
      <c r="E11" s="338"/>
      <c r="F11" s="338"/>
      <c r="G11" s="338"/>
      <c r="H11" s="338"/>
      <c r="N11" s="10"/>
      <c r="O11" s="10"/>
    </row>
    <row r="12" spans="2:8" ht="15">
      <c r="B12" s="338"/>
      <c r="C12" s="341"/>
      <c r="D12" s="342"/>
      <c r="E12" s="342"/>
      <c r="F12" s="342"/>
      <c r="G12" s="342"/>
      <c r="H12" s="343"/>
    </row>
    <row r="13" spans="2:8" ht="15">
      <c r="B13" s="338"/>
      <c r="C13" s="341"/>
      <c r="D13" s="342"/>
      <c r="E13" s="342"/>
      <c r="F13" s="342"/>
      <c r="G13" s="342"/>
      <c r="H13" s="343"/>
    </row>
    <row r="15" ht="27.75" customHeight="1">
      <c r="B15" s="333" t="str">
        <f>+'Introducción de datos'!B81&amp;"            "&amp;+J3&amp;" "&amp;+L3</f>
        <v>M3: Acuerdos contractuales (gestores de compra de bienes y servicios)             Periodo: P5</v>
      </c>
    </row>
    <row r="16" ht="31.5" customHeight="1">
      <c r="G16" s="336"/>
    </row>
    <row r="17" spans="2:8" ht="30" customHeight="1">
      <c r="B17" s="335" t="s">
        <v>226</v>
      </c>
      <c r="C17" s="565" t="s">
        <v>237</v>
      </c>
      <c r="D17" s="565"/>
      <c r="E17" s="565"/>
      <c r="F17" s="565"/>
      <c r="H17" s="344"/>
    </row>
    <row r="18" spans="8:13" ht="15">
      <c r="H18" s="333" t="str">
        <f>+'Introducción de datos'!B86&amp;"                "&amp;+J3&amp;" "&amp;+L3</f>
        <v>M4: Número de informes completos recibidos a tiempo                Periodo: P5</v>
      </c>
      <c r="M18" s="302"/>
    </row>
    <row r="19" spans="8:12" ht="15.75" customHeight="1">
      <c r="H19" s="335" t="s">
        <v>226</v>
      </c>
      <c r="I19" s="565" t="s">
        <v>237</v>
      </c>
      <c r="J19" s="565"/>
      <c r="K19" s="565"/>
      <c r="L19" s="565"/>
    </row>
    <row r="25" ht="22.5" customHeight="1"/>
    <row r="26" ht="15">
      <c r="H26" s="333" t="str">
        <f>+'Introducción de datos'!B105&amp;"    "&amp;+J3&amp;"  "&amp;+L3</f>
        <v>M6: Diferencia entre existencias actuales y existencias de seguridad    Periodo:  P5</v>
      </c>
    </row>
    <row r="27" spans="2:7" ht="57.75" customHeight="1">
      <c r="B27" s="333" t="str">
        <f>+'Introducción de datos'!B92</f>
        <v>M5: Presupuesto y compra de productos y equipo sanitario, medicamentos y productos farmacéuticos</v>
      </c>
      <c r="G27" s="336"/>
    </row>
    <row r="28" spans="2:6" ht="74.25" customHeight="1">
      <c r="B28" s="335" t="s">
        <v>226</v>
      </c>
      <c r="C28" s="566" t="s">
        <v>238</v>
      </c>
      <c r="D28" s="566"/>
      <c r="E28" s="566"/>
      <c r="F28" s="566"/>
    </row>
    <row r="29" spans="6:8" ht="40.5" customHeight="1">
      <c r="F29" s="345"/>
      <c r="G29" s="345"/>
      <c r="H29" t="s">
        <v>158</v>
      </c>
    </row>
    <row r="30" spans="6:12" ht="43.5" customHeight="1">
      <c r="F30" s="345"/>
      <c r="G30" s="345"/>
      <c r="H30" s="335" t="s">
        <v>226</v>
      </c>
      <c r="I30" s="567" t="s">
        <v>239</v>
      </c>
      <c r="J30" s="567"/>
      <c r="K30" s="567"/>
      <c r="L30" s="567"/>
    </row>
    <row r="31" spans="6:12" ht="90.75">
      <c r="F31" s="345"/>
      <c r="G31" s="345"/>
      <c r="H31" s="346" t="s">
        <v>159</v>
      </c>
      <c r="I31" s="347" t="s">
        <v>160</v>
      </c>
      <c r="J31" s="348" t="s">
        <v>240</v>
      </c>
      <c r="K31" s="349" t="s">
        <v>241</v>
      </c>
      <c r="L31" s="350" t="s">
        <v>242</v>
      </c>
    </row>
    <row r="32" spans="6:12" ht="30">
      <c r="F32" s="345"/>
      <c r="G32" s="345"/>
      <c r="H32" s="351" t="str">
        <f>+'Introducción de datos'!B108</f>
        <v>VIH/SIDA</v>
      </c>
      <c r="I32" s="352" t="str">
        <f>+'Introducción de datos'!C108</f>
        <v>Efavirenz 600mg/ Emtrecitabina 200 mg/ tenofovir 300 mg</v>
      </c>
      <c r="J32" s="353">
        <f>+'Introducción de datos'!I108</f>
        <v>10.09925925925926</v>
      </c>
      <c r="K32" s="354">
        <f>+'Introducción de datos'!J108</f>
        <v>6</v>
      </c>
      <c r="L32" s="355">
        <f>+'Introducción de datos'!K108</f>
        <v>4.099259259259259</v>
      </c>
    </row>
    <row r="35" spans="2:5" ht="34.5" customHeight="1">
      <c r="B35" s="568" t="str">
        <f>+'Introducción de datos'!B102</f>
        <v>* Incluye sólo los montos de las categorías 4 y 5 (Productos y equipamientos sanitarios y Medicamentos y productos farmacéuticos) de los  Informes Financieros Mejorados</v>
      </c>
      <c r="C35" s="568"/>
      <c r="D35" s="568"/>
      <c r="E35" s="568"/>
    </row>
  </sheetData>
  <sheetProtection selectLockedCells="1" selectUnlockedCells="1"/>
  <mergeCells count="18">
    <mergeCell ref="C17:F17"/>
    <mergeCell ref="I19:L19"/>
    <mergeCell ref="C28:F28"/>
    <mergeCell ref="I30:L30"/>
    <mergeCell ref="B35:E35"/>
    <mergeCell ref="D5:J5"/>
    <mergeCell ref="E6:I6"/>
    <mergeCell ref="C8:F8"/>
    <mergeCell ref="I8:L8"/>
    <mergeCell ref="D10:D11"/>
    <mergeCell ref="E10:F10"/>
    <mergeCell ref="B2:L2"/>
    <mergeCell ref="C3:D3"/>
    <mergeCell ref="E3:I3"/>
    <mergeCell ref="J3:K3"/>
    <mergeCell ref="C4:D4"/>
    <mergeCell ref="E4:I4"/>
    <mergeCell ref="J4:K4"/>
  </mergeCells>
  <conditionalFormatting sqref="D12:D13">
    <cfRule type="cellIs" priority="1" dxfId="42" operator="greaterThan" stopIfTrue="1">
      <formula>0</formula>
    </cfRule>
  </conditionalFormatting>
  <conditionalFormatting sqref="E12:E13">
    <cfRule type="cellIs" priority="2" dxfId="45" operator="greaterThan" stopIfTrue="1">
      <formula>0</formula>
    </cfRule>
  </conditionalFormatting>
  <conditionalFormatting sqref="F12:G13">
    <cfRule type="cellIs" priority="3" dxfId="43" operator="greaterThan" stopIfTrue="1">
      <formula>0</formula>
    </cfRule>
  </conditionalFormatting>
  <conditionalFormatting sqref="C4:D4">
    <cfRule type="cellIs" priority="4" dxfId="43" operator="equal" stopIfTrue="1">
      <formula>"C"</formula>
    </cfRule>
    <cfRule type="cellIs" priority="5" dxfId="39" operator="equal" stopIfTrue="1">
      <formula>"B2"</formula>
    </cfRule>
    <cfRule type="cellIs" priority="6" dxfId="40" operator="equal" stopIfTrue="1">
      <formula>"B1"</formula>
    </cfRule>
  </conditionalFormatting>
  <conditionalFormatting sqref="L32">
    <cfRule type="cellIs" priority="7" dxfId="46" operator="lessThan" stopIfTrue="1">
      <formula>1</formula>
    </cfRule>
    <cfRule type="cellIs" priority="8" dxfId="47" operator="between" stopIfTrue="1">
      <formula>3</formula>
      <formula>17</formula>
    </cfRule>
    <cfRule type="cellIs" priority="9" dxfId="48"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38"/>
  <sheetViews>
    <sheetView showGridLines="0" zoomScale="90" zoomScaleNormal="90" zoomScaleSheetLayoutView="110" zoomScalePageLayoutView="0" workbookViewId="0" topLeftCell="B19">
      <selection activeCell="F22" sqref="F22:F24"/>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14.00390625" style="0" customWidth="1"/>
    <col min="6" max="6" width="10.7109375" style="0" customWidth="1"/>
    <col min="7" max="7" width="5.7109375" style="0" customWidth="1"/>
    <col min="8" max="8" width="8.00390625" style="0" customWidth="1"/>
    <col min="9" max="9" width="6.7109375" style="0" customWidth="1"/>
    <col min="10" max="10" width="4.140625" style="0" customWidth="1"/>
    <col min="11" max="11" width="15.140625" style="0" customWidth="1"/>
    <col min="12" max="12" width="12.140625" style="0" customWidth="1"/>
    <col min="13" max="13" width="16.7109375" style="0" customWidth="1"/>
    <col min="14" max="14" width="12.421875" style="0" customWidth="1"/>
    <col min="15" max="15" width="14.57421875" style="0" customWidth="1"/>
    <col min="16" max="16" width="15.7109375" style="0" customWidth="1"/>
    <col min="17" max="17" width="25.57421875" style="0" customWidth="1"/>
    <col min="18" max="18" width="6.57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571" t="str">
        <f>+"Cuadro de mando:  "&amp;"  "&amp;+'Introducción de datos'!C4&amp;" - "&amp;'Introducción de datos'!G6</f>
        <v>Cuadro de mando:    El Salvador - VIH / SIDA</v>
      </c>
      <c r="C2" s="571"/>
      <c r="D2" s="571"/>
      <c r="E2" s="571"/>
      <c r="F2" s="571"/>
      <c r="G2" s="571"/>
      <c r="H2" s="571"/>
      <c r="I2" s="571"/>
      <c r="J2" s="571"/>
      <c r="K2" s="571"/>
      <c r="L2" s="571"/>
      <c r="M2" s="571"/>
      <c r="N2" s="571"/>
      <c r="O2" s="571"/>
      <c r="P2" s="571"/>
      <c r="Q2" s="571"/>
    </row>
    <row r="3" spans="1:17" ht="15">
      <c r="A3" s="6"/>
      <c r="B3" s="299" t="str">
        <f>+'Introducción de datos'!G8</f>
        <v>SSF/NMF</v>
      </c>
      <c r="C3" s="550" t="str">
        <f>+'Introducción de datos'!I8</f>
        <v>Fase 1</v>
      </c>
      <c r="D3" s="550"/>
      <c r="E3" s="551"/>
      <c r="F3" s="551"/>
      <c r="G3" s="551"/>
      <c r="H3" s="551"/>
      <c r="I3" s="551"/>
      <c r="J3" s="551"/>
      <c r="K3" s="551"/>
      <c r="L3" s="6"/>
      <c r="M3" s="6"/>
      <c r="O3" s="552" t="str">
        <f>+'Introducción de datos'!B16</f>
        <v>Periodo:</v>
      </c>
      <c r="P3" s="552"/>
      <c r="Q3" s="356" t="str">
        <f>+'Introducción de datos'!C16</f>
        <v>P5</v>
      </c>
    </row>
    <row r="4" spans="1:29" ht="12" customHeight="1">
      <c r="A4" s="6"/>
      <c r="B4" s="299" t="str">
        <f>+'Introducción de datos'!B12</f>
        <v>Ultima calificación:</v>
      </c>
      <c r="C4" s="572" t="str">
        <f>+'Introducción de datos'!C12</f>
        <v>B2</v>
      </c>
      <c r="D4" s="572"/>
      <c r="E4" s="551" t="str">
        <f>+'Introducción de datos'!C8</f>
        <v>Ministerio de Salud </v>
      </c>
      <c r="F4" s="551"/>
      <c r="G4" s="551"/>
      <c r="H4" s="551"/>
      <c r="I4" s="551"/>
      <c r="J4" s="551"/>
      <c r="K4" s="551"/>
      <c r="L4" s="551"/>
      <c r="M4" s="6"/>
      <c r="O4" s="357"/>
      <c r="P4" s="299" t="str">
        <f>+'Introducción de datos'!D16</f>
        <v>Desde:</v>
      </c>
      <c r="Q4" s="358">
        <f>+'Introducción de datos'!E16</f>
        <v>42370</v>
      </c>
      <c r="Y4" s="315"/>
      <c r="Z4" s="315"/>
      <c r="AA4" s="315"/>
      <c r="AB4" s="315"/>
      <c r="AC4" s="315"/>
    </row>
    <row r="5" spans="1:35" ht="15.75" customHeight="1">
      <c r="A5" s="6"/>
      <c r="B5" s="299"/>
      <c r="C5" s="299"/>
      <c r="D5" s="551" t="str">
        <f>+'Introducción de datos'!G4</f>
        <v>INNOVANDO SERVICIOS, REDUCIENDO RIESGOS, RENOVANDO VIDAS EN EL SALVADOR</v>
      </c>
      <c r="E5" s="551"/>
      <c r="F5" s="551"/>
      <c r="G5" s="551"/>
      <c r="H5" s="551"/>
      <c r="I5" s="551"/>
      <c r="J5" s="551"/>
      <c r="K5" s="551"/>
      <c r="L5" s="551"/>
      <c r="M5" s="551"/>
      <c r="N5" s="551"/>
      <c r="P5" s="299" t="str">
        <f>+'Introducción de datos'!F16</f>
        <v>Hasta:</v>
      </c>
      <c r="Q5" s="358">
        <f>+'Introducción de datos'!G16</f>
        <v>42551</v>
      </c>
      <c r="S5" s="359"/>
      <c r="T5" s="359"/>
      <c r="U5" s="359"/>
      <c r="V5" s="359"/>
      <c r="W5" s="359"/>
      <c r="X5" s="359"/>
      <c r="Y5" s="315"/>
      <c r="Z5" s="315"/>
      <c r="AA5" s="315" t="s">
        <v>243</v>
      </c>
      <c r="AB5" s="315"/>
      <c r="AC5" s="360" t="s">
        <v>244</v>
      </c>
      <c r="AD5" s="359"/>
      <c r="AE5" s="359"/>
      <c r="AF5" s="359"/>
      <c r="AG5" s="359"/>
      <c r="AH5" s="359"/>
      <c r="AI5" s="359"/>
    </row>
    <row r="6" spans="1:35" ht="15.75" customHeight="1">
      <c r="A6" s="6"/>
      <c r="B6" s="299"/>
      <c r="C6" s="299"/>
      <c r="D6" s="361"/>
      <c r="E6" s="361"/>
      <c r="F6" s="573" t="s">
        <v>245</v>
      </c>
      <c r="G6" s="573"/>
      <c r="H6" s="573"/>
      <c r="I6" s="573"/>
      <c r="J6" s="573"/>
      <c r="K6" s="573"/>
      <c r="L6" s="361"/>
      <c r="M6" s="6"/>
      <c r="N6" s="6"/>
      <c r="O6" s="362"/>
      <c r="P6" s="363"/>
      <c r="S6" s="359"/>
      <c r="T6" s="359"/>
      <c r="U6" s="359"/>
      <c r="V6" s="359"/>
      <c r="W6" s="359"/>
      <c r="X6" s="359"/>
      <c r="Y6" s="315"/>
      <c r="Z6" s="315"/>
      <c r="AA6" s="315"/>
      <c r="AB6" s="315"/>
      <c r="AC6" s="315"/>
      <c r="AD6" s="359"/>
      <c r="AE6" s="359"/>
      <c r="AF6" s="359"/>
      <c r="AG6" s="359"/>
      <c r="AH6" s="359"/>
      <c r="AI6" s="359"/>
    </row>
    <row r="7" spans="1:35" ht="3" customHeight="1">
      <c r="A7" s="6"/>
      <c r="B7" s="299"/>
      <c r="C7" s="299"/>
      <c r="D7" s="361"/>
      <c r="E7" s="361"/>
      <c r="F7" s="361"/>
      <c r="G7" s="361"/>
      <c r="H7" s="361"/>
      <c r="I7" s="361"/>
      <c r="J7" s="361"/>
      <c r="K7" s="361"/>
      <c r="L7" s="361"/>
      <c r="M7" s="6"/>
      <c r="N7" s="6"/>
      <c r="O7" s="362"/>
      <c r="P7" s="303"/>
      <c r="Q7" s="303"/>
      <c r="S7" s="359"/>
      <c r="T7" s="359"/>
      <c r="U7" s="359"/>
      <c r="V7" s="359"/>
      <c r="W7" s="359"/>
      <c r="X7" s="359"/>
      <c r="Y7" s="315"/>
      <c r="Z7" s="315"/>
      <c r="AA7" s="315"/>
      <c r="AB7" s="315"/>
      <c r="AC7" s="315"/>
      <c r="AD7" s="359"/>
      <c r="AE7" s="359"/>
      <c r="AF7" s="359"/>
      <c r="AG7" s="359"/>
      <c r="AH7" s="359"/>
      <c r="AI7" s="359"/>
    </row>
    <row r="8" spans="1:35" ht="42" customHeight="1">
      <c r="A8" s="6"/>
      <c r="B8" s="574" t="str">
        <f>+'Introducción de datos'!B115</f>
        <v>Número y porcentaje de adultos y niños elegible que actualmente recibe terapia antirretroviral</v>
      </c>
      <c r="C8" s="574"/>
      <c r="D8" s="574"/>
      <c r="E8" s="574"/>
      <c r="F8" s="574" t="str">
        <f>+'Introducción de datos'!B117</f>
        <v>Número y porcentaje de embarazadas con VIH que recibe medicamentos antirretrovirales, para reducir el riesgo de transmisión materno infantil</v>
      </c>
      <c r="G8" s="574"/>
      <c r="H8" s="574"/>
      <c r="I8" s="574"/>
      <c r="J8" s="574"/>
      <c r="K8" s="574"/>
      <c r="L8" s="574" t="str">
        <f>+'Introducción de datos'!B119</f>
        <v>Número y porcentaje de hombres que tienen sexo con hombres que se sometieron a las pruebas y consejería del VIH y que recibieron sus resultados</v>
      </c>
      <c r="M8" s="574"/>
      <c r="N8" s="574"/>
      <c r="O8" s="574"/>
      <c r="P8" s="574"/>
      <c r="Q8" s="574"/>
      <c r="S8" s="359"/>
      <c r="T8" s="359"/>
      <c r="U8" s="359"/>
      <c r="V8" s="359"/>
      <c r="W8" s="359"/>
      <c r="X8" s="359"/>
      <c r="Y8" s="315"/>
      <c r="Z8" s="315"/>
      <c r="AA8" s="315"/>
      <c r="AB8" s="315"/>
      <c r="AC8" s="315"/>
      <c r="AD8" s="359"/>
      <c r="AE8" s="359"/>
      <c r="AF8" s="359"/>
      <c r="AG8" s="359"/>
      <c r="AH8" s="359"/>
      <c r="AI8" s="359"/>
    </row>
    <row r="9" spans="1:35" ht="95.25" customHeight="1">
      <c r="A9" s="6"/>
      <c r="B9" s="364" t="s">
        <v>246</v>
      </c>
      <c r="C9" s="575" t="s">
        <v>247</v>
      </c>
      <c r="D9" s="575"/>
      <c r="E9" s="575"/>
      <c r="F9" s="364" t="s">
        <v>246</v>
      </c>
      <c r="G9" s="575" t="s">
        <v>248</v>
      </c>
      <c r="H9" s="575"/>
      <c r="I9" s="575"/>
      <c r="J9" s="575"/>
      <c r="K9" s="575"/>
      <c r="L9" s="364" t="s">
        <v>246</v>
      </c>
      <c r="M9" s="575" t="s">
        <v>249</v>
      </c>
      <c r="N9" s="575"/>
      <c r="O9" s="575"/>
      <c r="P9" s="575"/>
      <c r="Q9" s="575"/>
      <c r="S9" s="359"/>
      <c r="T9" s="359"/>
      <c r="U9" s="359"/>
      <c r="V9" s="359"/>
      <c r="W9" s="359"/>
      <c r="X9" s="359"/>
      <c r="Y9" s="359"/>
      <c r="Z9" s="359"/>
      <c r="AA9" s="359"/>
      <c r="AB9" s="359"/>
      <c r="AC9" s="359"/>
      <c r="AD9" s="359"/>
      <c r="AE9" s="359"/>
      <c r="AF9" s="359"/>
      <c r="AG9" s="359"/>
      <c r="AH9" s="359"/>
      <c r="AI9" s="359"/>
    </row>
    <row r="10" spans="1:35" ht="18.75" customHeight="1">
      <c r="A10" s="6"/>
      <c r="B10" s="299"/>
      <c r="C10" s="299"/>
      <c r="D10" s="361"/>
      <c r="E10" s="361"/>
      <c r="F10" s="361"/>
      <c r="G10" s="361"/>
      <c r="H10" s="361"/>
      <c r="I10" s="361"/>
      <c r="J10" s="361"/>
      <c r="K10" s="361"/>
      <c r="L10" s="361"/>
      <c r="M10" s="6"/>
      <c r="N10" s="6"/>
      <c r="O10" s="362"/>
      <c r="P10" s="303"/>
      <c r="S10" s="359"/>
      <c r="T10" s="359"/>
      <c r="U10" s="359"/>
      <c r="V10" s="359"/>
      <c r="W10" s="359"/>
      <c r="X10" s="359"/>
      <c r="Y10" s="359"/>
      <c r="Z10" s="359"/>
      <c r="AA10" s="359"/>
      <c r="AB10" s="359"/>
      <c r="AC10" s="359"/>
      <c r="AD10" s="359"/>
      <c r="AE10" s="359"/>
      <c r="AF10" s="359"/>
      <c r="AG10" s="359"/>
      <c r="AH10" s="359"/>
      <c r="AI10" s="359"/>
    </row>
    <row r="11" spans="1:35" ht="18.75" customHeight="1">
      <c r="A11" s="6"/>
      <c r="B11" s="299"/>
      <c r="C11" s="299"/>
      <c r="D11" s="361"/>
      <c r="E11" s="361"/>
      <c r="F11" s="361"/>
      <c r="G11" s="361"/>
      <c r="H11" s="361"/>
      <c r="I11" s="361"/>
      <c r="J11" s="361"/>
      <c r="K11" s="361"/>
      <c r="L11" s="361"/>
      <c r="M11" s="6"/>
      <c r="N11" s="6"/>
      <c r="O11" s="362"/>
      <c r="P11" s="303"/>
      <c r="S11" s="359"/>
      <c r="T11" s="359"/>
      <c r="U11" s="359"/>
      <c r="V11" s="359"/>
      <c r="W11" s="359"/>
      <c r="X11" s="359"/>
      <c r="Y11" s="359"/>
      <c r="Z11" s="359"/>
      <c r="AA11" s="359"/>
      <c r="AB11" s="359"/>
      <c r="AC11" s="359"/>
      <c r="AD11" s="359"/>
      <c r="AE11" s="359"/>
      <c r="AF11" s="359"/>
      <c r="AG11" s="359"/>
      <c r="AH11" s="359"/>
      <c r="AI11" s="359"/>
    </row>
    <row r="12" spans="1:35" ht="18.75" customHeight="1">
      <c r="A12" s="6"/>
      <c r="B12" s="299"/>
      <c r="C12" s="299"/>
      <c r="D12" s="361"/>
      <c r="E12" s="361"/>
      <c r="F12" s="361"/>
      <c r="G12" s="361"/>
      <c r="H12" s="361"/>
      <c r="I12" s="361"/>
      <c r="J12" s="361"/>
      <c r="K12" s="361"/>
      <c r="L12" s="361"/>
      <c r="M12" s="6"/>
      <c r="N12" s="6"/>
      <c r="O12" s="362"/>
      <c r="P12" s="303"/>
      <c r="S12" s="359"/>
      <c r="T12" s="359"/>
      <c r="U12" s="359"/>
      <c r="V12" s="359"/>
      <c r="W12" s="359"/>
      <c r="X12" s="359"/>
      <c r="Y12" s="359"/>
      <c r="Z12" s="359"/>
      <c r="AA12" s="359"/>
      <c r="AB12" s="359"/>
      <c r="AC12" s="359"/>
      <c r="AD12" s="359"/>
      <c r="AE12" s="359"/>
      <c r="AF12" s="359"/>
      <c r="AG12" s="359"/>
      <c r="AH12" s="359"/>
      <c r="AI12" s="359"/>
    </row>
    <row r="13" spans="1:35" ht="18.75" customHeight="1">
      <c r="A13" s="6"/>
      <c r="B13" s="299"/>
      <c r="C13" s="299"/>
      <c r="D13" s="361"/>
      <c r="E13" s="361"/>
      <c r="F13" s="361"/>
      <c r="G13" s="361"/>
      <c r="H13" s="361"/>
      <c r="I13" s="361"/>
      <c r="J13" s="361"/>
      <c r="K13" s="361"/>
      <c r="L13" s="361"/>
      <c r="M13" s="6"/>
      <c r="N13" s="6"/>
      <c r="O13" s="362"/>
      <c r="P13" s="303"/>
      <c r="S13" s="359"/>
      <c r="T13" s="359"/>
      <c r="U13" s="359"/>
      <c r="V13" s="359"/>
      <c r="W13" s="359"/>
      <c r="X13" s="359"/>
      <c r="Y13" s="359"/>
      <c r="Z13" s="359"/>
      <c r="AA13" s="359"/>
      <c r="AB13" s="359"/>
      <c r="AC13" s="359"/>
      <c r="AD13" s="359"/>
      <c r="AE13" s="359"/>
      <c r="AF13" s="359"/>
      <c r="AG13" s="359"/>
      <c r="AH13" s="359"/>
      <c r="AI13" s="359"/>
    </row>
    <row r="14" spans="1:35" ht="18.75" customHeight="1">
      <c r="A14" s="6"/>
      <c r="B14" s="299"/>
      <c r="C14" s="299"/>
      <c r="D14" s="361"/>
      <c r="E14" s="361"/>
      <c r="F14" s="361"/>
      <c r="G14" s="361"/>
      <c r="H14" s="361"/>
      <c r="I14" s="361"/>
      <c r="J14" s="361"/>
      <c r="K14" s="361"/>
      <c r="L14" s="361"/>
      <c r="M14" s="6"/>
      <c r="N14" s="6"/>
      <c r="O14" s="362"/>
      <c r="P14" s="303"/>
      <c r="S14" s="359"/>
      <c r="T14" s="359"/>
      <c r="U14" s="359"/>
      <c r="V14" s="359"/>
      <c r="W14" s="359"/>
      <c r="X14" s="359"/>
      <c r="Y14" s="359"/>
      <c r="Z14" s="359"/>
      <c r="AA14" s="359"/>
      <c r="AB14" s="359"/>
      <c r="AC14" s="359"/>
      <c r="AD14" s="359"/>
      <c r="AE14" s="359"/>
      <c r="AF14" s="359"/>
      <c r="AG14" s="359"/>
      <c r="AH14" s="359"/>
      <c r="AI14" s="359"/>
    </row>
    <row r="15" spans="1:35" ht="18.75" customHeight="1">
      <c r="A15" s="6"/>
      <c r="B15" s="299"/>
      <c r="C15" s="299"/>
      <c r="D15" s="361"/>
      <c r="E15" s="361"/>
      <c r="F15" s="361"/>
      <c r="G15" s="361"/>
      <c r="H15" s="361"/>
      <c r="I15" s="361"/>
      <c r="J15" s="361"/>
      <c r="K15" s="361"/>
      <c r="L15" s="361"/>
      <c r="M15" s="6"/>
      <c r="N15" s="6"/>
      <c r="O15" s="362"/>
      <c r="P15" s="303"/>
      <c r="S15" s="359"/>
      <c r="T15" s="359"/>
      <c r="U15" s="359"/>
      <c r="V15" s="359"/>
      <c r="W15" s="359"/>
      <c r="X15" s="359"/>
      <c r="Y15" s="359"/>
      <c r="Z15" s="359"/>
      <c r="AA15" s="359"/>
      <c r="AB15" s="359"/>
      <c r="AC15" s="359"/>
      <c r="AD15" s="359"/>
      <c r="AE15" s="359"/>
      <c r="AF15" s="359"/>
      <c r="AG15" s="359"/>
      <c r="AH15" s="359"/>
      <c r="AI15" s="359"/>
    </row>
    <row r="16" spans="1:35" ht="18.75" customHeight="1">
      <c r="A16" s="6"/>
      <c r="B16" s="299"/>
      <c r="C16" s="299"/>
      <c r="D16" s="361"/>
      <c r="E16" s="361"/>
      <c r="F16" s="361"/>
      <c r="G16" s="361"/>
      <c r="H16" s="361"/>
      <c r="I16" s="361"/>
      <c r="J16" s="361"/>
      <c r="K16" s="361"/>
      <c r="L16" s="361"/>
      <c r="M16" s="6"/>
      <c r="N16" s="6"/>
      <c r="O16" s="362"/>
      <c r="P16" s="303"/>
      <c r="S16" s="359"/>
      <c r="T16" s="359"/>
      <c r="U16" s="359"/>
      <c r="V16" s="359"/>
      <c r="W16" s="359"/>
      <c r="X16" s="359"/>
      <c r="Y16" s="359"/>
      <c r="Z16" s="359"/>
      <c r="AA16" s="359"/>
      <c r="AB16" s="359"/>
      <c r="AC16" s="359"/>
      <c r="AD16" s="359"/>
      <c r="AE16" s="359"/>
      <c r="AF16" s="359"/>
      <c r="AG16" s="359"/>
      <c r="AH16" s="359"/>
      <c r="AI16" s="359"/>
    </row>
    <row r="17" spans="1:35" ht="17.25" customHeight="1">
      <c r="A17" s="6"/>
      <c r="B17" s="299"/>
      <c r="C17" s="299"/>
      <c r="D17" s="361"/>
      <c r="E17" s="361"/>
      <c r="F17" s="361"/>
      <c r="G17" s="361"/>
      <c r="H17" s="361"/>
      <c r="I17" s="361"/>
      <c r="J17" s="361"/>
      <c r="K17" s="361"/>
      <c r="L17" s="361"/>
      <c r="M17" s="6"/>
      <c r="N17" s="6"/>
      <c r="O17" s="362"/>
      <c r="P17" s="303"/>
      <c r="S17" s="359"/>
      <c r="T17" s="359"/>
      <c r="U17" s="359"/>
      <c r="V17" s="359"/>
      <c r="W17" s="359"/>
      <c r="X17" s="359"/>
      <c r="Y17" s="359"/>
      <c r="Z17" s="359"/>
      <c r="AA17" s="359"/>
      <c r="AB17" s="359"/>
      <c r="AC17" s="359"/>
      <c r="AD17" s="359"/>
      <c r="AE17" s="359"/>
      <c r="AF17" s="359"/>
      <c r="AG17" s="359"/>
      <c r="AH17" s="359"/>
      <c r="AI17" s="359"/>
    </row>
    <row r="18" spans="1:35" ht="6" customHeight="1">
      <c r="A18" s="6"/>
      <c r="B18" s="304"/>
      <c r="C18" s="299"/>
      <c r="D18" s="305"/>
      <c r="E18" s="576"/>
      <c r="F18" s="576"/>
      <c r="G18" s="576"/>
      <c r="H18" s="576"/>
      <c r="I18" s="576"/>
      <c r="J18" s="576"/>
      <c r="K18" s="576"/>
      <c r="L18" s="6"/>
      <c r="M18" s="6"/>
      <c r="N18" s="6"/>
      <c r="O18" s="6"/>
      <c r="P18" s="6"/>
      <c r="S18" s="359"/>
      <c r="T18" s="359"/>
      <c r="U18" s="359"/>
      <c r="V18" s="359"/>
      <c r="W18" s="359"/>
      <c r="X18" s="359"/>
      <c r="Y18" s="359"/>
      <c r="Z18" s="359"/>
      <c r="AA18" s="359"/>
      <c r="AB18" s="359"/>
      <c r="AC18" s="359"/>
      <c r="AD18" s="359"/>
      <c r="AE18" s="359"/>
      <c r="AF18" s="359"/>
      <c r="AG18" s="359"/>
      <c r="AH18" s="359"/>
      <c r="AI18" s="359"/>
    </row>
    <row r="19" spans="1:35" ht="24" customHeight="1">
      <c r="A19" s="6"/>
      <c r="B19" s="577" t="s">
        <v>250</v>
      </c>
      <c r="C19" s="577"/>
      <c r="D19" s="577"/>
      <c r="E19" s="365" t="s">
        <v>182</v>
      </c>
      <c r="F19" s="365" t="s">
        <v>251</v>
      </c>
      <c r="G19" s="578" t="s">
        <v>252</v>
      </c>
      <c r="H19" s="578"/>
      <c r="I19" s="579" t="s">
        <v>253</v>
      </c>
      <c r="J19" s="579"/>
      <c r="K19" s="366" t="s">
        <v>254</v>
      </c>
      <c r="L19" s="580" t="s">
        <v>177</v>
      </c>
      <c r="M19" s="580"/>
      <c r="N19" s="580"/>
      <c r="O19" s="580"/>
      <c r="P19" s="580"/>
      <c r="Q19" s="580"/>
      <c r="S19" s="367" t="s">
        <v>255</v>
      </c>
      <c r="T19" s="368">
        <v>0</v>
      </c>
      <c r="U19" s="369">
        <v>0.3</v>
      </c>
      <c r="V19" s="369">
        <v>0.6</v>
      </c>
      <c r="W19" s="369">
        <v>0.9</v>
      </c>
      <c r="X19" s="369">
        <v>1</v>
      </c>
      <c r="Y19" s="315"/>
      <c r="Z19" s="315"/>
      <c r="AA19" s="367" t="s">
        <v>256</v>
      </c>
      <c r="AB19" s="368">
        <v>0</v>
      </c>
      <c r="AC19" s="369">
        <v>0.2</v>
      </c>
      <c r="AD19" s="369">
        <v>0.4</v>
      </c>
      <c r="AE19" s="369">
        <v>0.6</v>
      </c>
      <c r="AF19" s="369">
        <v>0.8</v>
      </c>
      <c r="AG19" s="315"/>
      <c r="AH19" s="315"/>
      <c r="AI19" s="315"/>
    </row>
    <row r="20" spans="1:35" ht="74.25" customHeight="1">
      <c r="A20" s="6"/>
      <c r="B20" s="581" t="str">
        <f>+'Introducción de datos'!B115</f>
        <v>Número y porcentaje de adultos y niños elegible que actualmente recibe terapia antirretroviral</v>
      </c>
      <c r="C20" s="581"/>
      <c r="D20" s="581"/>
      <c r="E20" s="370">
        <f ca="1">OFFSET('Introducción de datos'!$G$114,1,RIGHT('Introducción de datos'!$C$16,LEN('Introducción de datos'!$C$16)-1),1,1)</f>
        <v>10843</v>
      </c>
      <c r="F20" s="370">
        <f ca="1">OFFSET('Introducción de datos'!$G$114,2,RIGHT('Introducción de datos'!$C$16,LEN('Introducción de datos'!$C$16)-1),1,1)</f>
        <v>8625</v>
      </c>
      <c r="G20" s="582">
        <f aca="true" t="shared" si="0" ref="G20:G29">+IF(ISERROR(F20/E20),0,F20/E20)</f>
        <v>0.7954440652955824</v>
      </c>
      <c r="H20" s="582"/>
      <c r="I20" s="582"/>
      <c r="J20" s="582"/>
      <c r="K20" s="582"/>
      <c r="L20" s="583" t="s">
        <v>257</v>
      </c>
      <c r="M20" s="583"/>
      <c r="N20" s="583"/>
      <c r="O20" s="583"/>
      <c r="P20" s="583"/>
      <c r="Q20" s="583"/>
      <c r="R20" s="469"/>
      <c r="S20" s="467" t="s">
        <v>258</v>
      </c>
      <c r="T20" s="468">
        <v>0.3</v>
      </c>
      <c r="U20" s="369">
        <v>0.6</v>
      </c>
      <c r="V20" s="369">
        <v>0.9</v>
      </c>
      <c r="W20" s="369">
        <v>1</v>
      </c>
      <c r="X20" s="369">
        <v>2</v>
      </c>
      <c r="Y20" s="315"/>
      <c r="Z20" s="315"/>
      <c r="AA20" s="367" t="s">
        <v>259</v>
      </c>
      <c r="AB20" s="371">
        <v>0.2</v>
      </c>
      <c r="AC20" s="369">
        <v>0.4</v>
      </c>
      <c r="AD20" s="369">
        <v>0.6</v>
      </c>
      <c r="AE20" s="369">
        <v>0.8</v>
      </c>
      <c r="AF20" s="369">
        <v>1</v>
      </c>
      <c r="AG20" s="315"/>
      <c r="AH20" s="315"/>
      <c r="AI20" s="315"/>
    </row>
    <row r="21" spans="1:35" ht="60.75" customHeight="1">
      <c r="A21" s="6"/>
      <c r="B21" s="581" t="str">
        <f>+'Introducción de datos'!B117</f>
        <v>Número y porcentaje de embarazadas con VIH que recibe medicamentos antirretrovirales, para reducir el riesgo de transmisión materno infantil</v>
      </c>
      <c r="C21" s="581"/>
      <c r="D21" s="581"/>
      <c r="E21" s="370">
        <f ca="1">OFFSET('Introducción de datos'!$G$114,3,RIGHT('Introducción de datos'!$C$16,LEN('Introducción de datos'!$C$16)-1),1,1)</f>
        <v>87</v>
      </c>
      <c r="F21" s="370">
        <f ca="1">OFFSET('Introducción de datos'!$G$114,4,RIGHT('Introducción de datos'!$C$16,LEN('Introducción de datos'!$C$16)-1),1,1)</f>
        <v>86</v>
      </c>
      <c r="G21" s="582">
        <f t="shared" si="0"/>
        <v>0.9885057471264368</v>
      </c>
      <c r="H21" s="582"/>
      <c r="I21" s="582"/>
      <c r="J21" s="582"/>
      <c r="K21" s="582"/>
      <c r="L21" s="583" t="s">
        <v>260</v>
      </c>
      <c r="M21" s="583"/>
      <c r="N21" s="583"/>
      <c r="O21" s="583"/>
      <c r="P21" s="583"/>
      <c r="Q21" s="583"/>
      <c r="S21" s="372"/>
      <c r="T21" s="373" t="str">
        <f>"de "&amp;T19&amp;" a "&amp;T20</f>
        <v>de 0 a 0.3</v>
      </c>
      <c r="U21" s="373" t="str">
        <f>"de "&amp;U19&amp;" a "&amp;U20</f>
        <v>de 0.3 a 0.6</v>
      </c>
      <c r="V21" s="373" t="str">
        <f>"de "&amp;V19&amp;" a "&amp;V20</f>
        <v>de 0.6 a 0.9</v>
      </c>
      <c r="W21" s="373" t="str">
        <f>"de "&amp;W19&amp;" a "&amp;W20</f>
        <v>de 0.9 a 1</v>
      </c>
      <c r="X21" s="373" t="str">
        <f>"de "&amp;X19&amp;" a "&amp;X20</f>
        <v>de 1 a 2</v>
      </c>
      <c r="Y21" s="315"/>
      <c r="Z21" s="374" t="s">
        <v>261</v>
      </c>
      <c r="AA21" s="375" t="s">
        <v>262</v>
      </c>
      <c r="AB21" s="373" t="str">
        <f>"de "&amp;AB19&amp;" a "&amp;AB20</f>
        <v>de 0 a 0.2</v>
      </c>
      <c r="AC21" s="373" t="str">
        <f>"de "&amp;AC19&amp;" a "&amp;AC20</f>
        <v>de 0.2 a 0.4</v>
      </c>
      <c r="AD21" s="373" t="str">
        <f>"de "&amp;AD19&amp;" a "&amp;AD20</f>
        <v>de 0.4 a 0.6</v>
      </c>
      <c r="AE21" s="373" t="str">
        <f>"de "&amp;AE19&amp;" a "&amp;AE20</f>
        <v>de 0.6 a 0.8</v>
      </c>
      <c r="AF21" s="373" t="str">
        <f>"de "&amp;AF19&amp;" a "&amp;AF20</f>
        <v>de 0.8 a 1</v>
      </c>
      <c r="AG21" s="315"/>
      <c r="AH21" s="315"/>
      <c r="AI21" s="315"/>
    </row>
    <row r="22" spans="1:35" ht="57" customHeight="1">
      <c r="A22" s="6"/>
      <c r="B22" s="581" t="str">
        <f>+'Introducción de datos'!B119</f>
        <v>Número y porcentaje de hombres que tienen sexo con hombres que se sometieron a las pruebas y consejería del VIH y que recibieron sus resultados</v>
      </c>
      <c r="C22" s="581"/>
      <c r="D22" s="581"/>
      <c r="E22" s="370">
        <f ca="1">OFFSET('Introducción de datos'!$G$114,5,RIGHT('Introducción de datos'!$C$16,LEN('Introducción de datos'!$C$16)-1),1,1)</f>
        <v>13877</v>
      </c>
      <c r="F22" s="370">
        <f ca="1">OFFSET('Introducción de datos'!$G$114,6,RIGHT('Introducción de datos'!$C$16,LEN('Introducción de datos'!$C$16)-1),1,1)</f>
        <v>1707</v>
      </c>
      <c r="G22" s="582">
        <f t="shared" si="0"/>
        <v>0.12300929595733948</v>
      </c>
      <c r="H22" s="582"/>
      <c r="I22" s="582"/>
      <c r="J22" s="582"/>
      <c r="K22" s="582"/>
      <c r="L22" s="583" t="s">
        <v>397</v>
      </c>
      <c r="M22" s="583"/>
      <c r="N22" s="583"/>
      <c r="O22" s="583"/>
      <c r="P22" s="583"/>
      <c r="Q22" s="583"/>
      <c r="S22" s="372"/>
      <c r="T22" s="369" t="e">
        <f aca="true" t="shared" si="1" ref="T22:W25">IF($K20&gt;T$19,IF($K20&lt;=T$20,$K20,NA()),NA())</f>
        <v>#N/A</v>
      </c>
      <c r="U22" s="369" t="e">
        <f t="shared" si="1"/>
        <v>#N/A</v>
      </c>
      <c r="V22" s="369" t="e">
        <f t="shared" si="1"/>
        <v>#N/A</v>
      </c>
      <c r="W22" s="369" t="e">
        <f t="shared" si="1"/>
        <v>#N/A</v>
      </c>
      <c r="X22" s="369" t="e">
        <f>IF($K20&gt;X$19,IF($K20&lt;=X$20,1,NA()),NA())</f>
        <v>#N/A</v>
      </c>
      <c r="Y22" s="315"/>
      <c r="Z22" s="376" t="e">
        <f>+'Información de la subvención'!#REF!</f>
        <v>#REF!</v>
      </c>
      <c r="AA22" s="369" t="e">
        <f>+IF(Z22="A1",1,IF(Z22="A2",0.8,IF(Z22="B1",0.6,IF(Z22="B2",0.4,0.2))))</f>
        <v>#REF!</v>
      </c>
      <c r="AB22" s="369" t="e">
        <f aca="true" t="shared" si="2" ref="AB22:AF24">IF($AA22&gt;AB$19,IF($AA22&lt;=AB$20,$AA22,NA()),NA())</f>
        <v>#REF!</v>
      </c>
      <c r="AC22" s="369" t="e">
        <f t="shared" si="2"/>
        <v>#REF!</v>
      </c>
      <c r="AD22" s="369" t="e">
        <f t="shared" si="2"/>
        <v>#REF!</v>
      </c>
      <c r="AE22" s="369" t="e">
        <f t="shared" si="2"/>
        <v>#REF!</v>
      </c>
      <c r="AF22" s="369" t="e">
        <f t="shared" si="2"/>
        <v>#REF!</v>
      </c>
      <c r="AG22" s="315"/>
      <c r="AH22" s="315"/>
      <c r="AI22" s="315"/>
    </row>
    <row r="23" spans="1:35" ht="57" customHeight="1">
      <c r="A23" s="6"/>
      <c r="B23" s="581" t="str">
        <f>+'Introducción de datos'!B121</f>
        <v>Número y porcentaje de trabajadores sexuales que se sometieron a las pruebas y consejería del VIH y que recibieron sus resultados</v>
      </c>
      <c r="C23" s="581"/>
      <c r="D23" s="581"/>
      <c r="E23" s="370">
        <f ca="1">OFFSET('Introducción de datos'!$G$114,7,RIGHT('Introducción de datos'!$C$16,LEN('Introducción de datos'!$C$16)-1),1,1)</f>
        <v>10605</v>
      </c>
      <c r="F23" s="370">
        <f ca="1">OFFSET('Introducción de datos'!$G$114,8,RIGHT('Introducción de datos'!$C$16,LEN('Introducción de datos'!$C$16)-1),1,1)</f>
        <v>2692</v>
      </c>
      <c r="G23" s="582">
        <f t="shared" si="0"/>
        <v>0.25384252710985383</v>
      </c>
      <c r="H23" s="582"/>
      <c r="I23" s="582"/>
      <c r="J23" s="582"/>
      <c r="K23" s="582"/>
      <c r="L23" s="583"/>
      <c r="M23" s="583"/>
      <c r="N23" s="583"/>
      <c r="O23" s="583"/>
      <c r="P23" s="583"/>
      <c r="Q23" s="583"/>
      <c r="S23" s="372"/>
      <c r="T23" s="369" t="e">
        <f t="shared" si="1"/>
        <v>#N/A</v>
      </c>
      <c r="U23" s="369" t="e">
        <f t="shared" si="1"/>
        <v>#N/A</v>
      </c>
      <c r="V23" s="369" t="e">
        <f t="shared" si="1"/>
        <v>#N/A</v>
      </c>
      <c r="W23" s="369" t="e">
        <f t="shared" si="1"/>
        <v>#N/A</v>
      </c>
      <c r="X23" s="369" t="e">
        <f>IF($K21&gt;X$19,IF($K21&lt;=X$20,1,1),NA())</f>
        <v>#N/A</v>
      </c>
      <c r="Y23" s="315"/>
      <c r="Z23" s="376" t="e">
        <f>+'Información de la subvención'!#REF!</f>
        <v>#REF!</v>
      </c>
      <c r="AA23" s="369" t="e">
        <f>+IF(Z23="A1",1,IF(Z23="A2",0.8,IF(Z23="B1",0.6,IF(Z23="B2",0.4,0.2))))</f>
        <v>#REF!</v>
      </c>
      <c r="AB23" s="369" t="e">
        <f t="shared" si="2"/>
        <v>#REF!</v>
      </c>
      <c r="AC23" s="369" t="e">
        <f t="shared" si="2"/>
        <v>#REF!</v>
      </c>
      <c r="AD23" s="369" t="e">
        <f t="shared" si="2"/>
        <v>#REF!</v>
      </c>
      <c r="AE23" s="369" t="e">
        <f t="shared" si="2"/>
        <v>#REF!</v>
      </c>
      <c r="AF23" s="369" t="e">
        <f t="shared" si="2"/>
        <v>#REF!</v>
      </c>
      <c r="AG23" s="315"/>
      <c r="AH23" s="315"/>
      <c r="AI23" s="315"/>
    </row>
    <row r="24" spans="1:35" ht="57" customHeight="1">
      <c r="A24" s="6"/>
      <c r="B24" s="581" t="str">
        <f>+'Introducción de datos'!B123</f>
        <v>Número y porcentaje de personas transgénero que se sometieron a las pruebas y consejería del VIH y que recibieron sus resultados</v>
      </c>
      <c r="C24" s="581"/>
      <c r="D24" s="581"/>
      <c r="E24" s="370">
        <f ca="1">OFFSET('Introducción de datos'!$G$114,9,RIGHT('Introducción de datos'!$C$16,LEN('Introducción de datos'!$C$16)-1),1,1)</f>
        <v>1546</v>
      </c>
      <c r="F24" s="370">
        <f ca="1">OFFSET('Introducción de datos'!$G$114,10,RIGHT('Introducción de datos'!$C$16,LEN('Introducción de datos'!$C$16)-1),1,1)</f>
        <v>110</v>
      </c>
      <c r="G24" s="582">
        <f t="shared" si="0"/>
        <v>0.07115135834411385</v>
      </c>
      <c r="H24" s="582"/>
      <c r="I24" s="582"/>
      <c r="J24" s="582"/>
      <c r="K24" s="582"/>
      <c r="L24" s="583"/>
      <c r="M24" s="583"/>
      <c r="N24" s="583"/>
      <c r="O24" s="583"/>
      <c r="P24" s="583"/>
      <c r="Q24" s="583"/>
      <c r="S24" s="372"/>
      <c r="T24" s="369" t="e">
        <f t="shared" si="1"/>
        <v>#N/A</v>
      </c>
      <c r="U24" s="369" t="e">
        <f t="shared" si="1"/>
        <v>#N/A</v>
      </c>
      <c r="V24" s="369" t="e">
        <f t="shared" si="1"/>
        <v>#N/A</v>
      </c>
      <c r="W24" s="369" t="e">
        <f t="shared" si="1"/>
        <v>#N/A</v>
      </c>
      <c r="X24" s="369" t="e">
        <f>IF($K22&gt;X$19,IF($K22&lt;=X$20,1,NA()),NA())</f>
        <v>#N/A</v>
      </c>
      <c r="Y24" s="315"/>
      <c r="Z24" s="376" t="e">
        <f>+'Información de la subvención'!#REF!</f>
        <v>#REF!</v>
      </c>
      <c r="AA24" s="369" t="e">
        <f>+IF(Z24="A1",1,IF(Z24="A2",0.8,IF(Z24="B1",0.6,IF(Z24="B2",0.4,0.2))))</f>
        <v>#REF!</v>
      </c>
      <c r="AB24" s="369" t="e">
        <f t="shared" si="2"/>
        <v>#REF!</v>
      </c>
      <c r="AC24" s="369" t="e">
        <f t="shared" si="2"/>
        <v>#REF!</v>
      </c>
      <c r="AD24" s="369" t="e">
        <f t="shared" si="2"/>
        <v>#REF!</v>
      </c>
      <c r="AE24" s="369" t="e">
        <f t="shared" si="2"/>
        <v>#REF!</v>
      </c>
      <c r="AF24" s="369" t="e">
        <f t="shared" si="2"/>
        <v>#REF!</v>
      </c>
      <c r="AG24" s="315"/>
      <c r="AH24" s="315"/>
      <c r="AI24" s="315"/>
    </row>
    <row r="25" spans="1:35" ht="89.25" customHeight="1">
      <c r="A25" s="6"/>
      <c r="B25" s="581" t="str">
        <f>+'Introducción de datos'!B125</f>
        <v>Número y porcentaje de adultos y niños con diagnostico positivo de VIH que se sometieron a pruebas de la TB y se registró dicha información durante su última visita durante el periodo de reporte, de entre todos los adultos y niños con diagnostico positivo de VIH durante el periodo de notificación</v>
      </c>
      <c r="C25" s="581"/>
      <c r="D25" s="581"/>
      <c r="E25" s="370">
        <f ca="1">OFFSET('Introducción de datos'!$G$114,11,RIGHT('Introducción de datos'!$C$16,LEN('Introducción de datos'!$C$16)-1),1,1)</f>
        <v>6695</v>
      </c>
      <c r="F25" s="370">
        <f ca="1">OFFSET('Introducción de datos'!$G$114,12,RIGHT('Introducción de datos'!$C$16,LEN('Introducción de datos'!$C$16)-1),1,1)</f>
        <v>7062</v>
      </c>
      <c r="G25" s="582">
        <f t="shared" si="0"/>
        <v>1.0548170276325617</v>
      </c>
      <c r="H25" s="582"/>
      <c r="I25" s="582"/>
      <c r="J25" s="582"/>
      <c r="K25" s="582"/>
      <c r="L25" s="583" t="s">
        <v>263</v>
      </c>
      <c r="M25" s="583"/>
      <c r="N25" s="583"/>
      <c r="O25" s="583"/>
      <c r="P25" s="583"/>
      <c r="Q25" s="583"/>
      <c r="S25" s="372"/>
      <c r="T25" s="369" t="e">
        <f t="shared" si="1"/>
        <v>#N/A</v>
      </c>
      <c r="U25" s="369" t="e">
        <f t="shared" si="1"/>
        <v>#N/A</v>
      </c>
      <c r="V25" s="369" t="e">
        <f t="shared" si="1"/>
        <v>#N/A</v>
      </c>
      <c r="W25" s="369" t="e">
        <f t="shared" si="1"/>
        <v>#N/A</v>
      </c>
      <c r="X25" s="369" t="e">
        <f>IF($K23&gt;X$19,IF($K23&lt;=X$20,1,NA()),NA())</f>
        <v>#N/A</v>
      </c>
      <c r="Y25" s="315"/>
      <c r="Z25" s="315"/>
      <c r="AA25" s="315"/>
      <c r="AB25" s="315"/>
      <c r="AC25" s="315"/>
      <c r="AD25" s="315"/>
      <c r="AE25" s="315"/>
      <c r="AF25" s="315"/>
      <c r="AG25" s="315"/>
      <c r="AH25" s="315"/>
      <c r="AI25" s="315"/>
    </row>
    <row r="26" spans="1:35" ht="58.5" customHeight="1">
      <c r="A26" s="6"/>
      <c r="B26" s="581" t="str">
        <f>+'Introducción de datos'!B127</f>
        <v>"Número de todos los adultos y niños seropositivos que reciben un recuento de células CD4 cada 6 meses"</v>
      </c>
      <c r="C26" s="581"/>
      <c r="D26" s="581"/>
      <c r="E26" s="370">
        <f ca="1">OFFSET('Introducción de datos'!$G$114,13,RIGHT('Introducción de datos'!$C$16,LEN('Introducción de datos'!$C$16)-1),1,1)</f>
        <v>60</v>
      </c>
      <c r="F26" s="370">
        <f ca="1">OFFSET('Introducción de datos'!$G$114,14,RIGHT('Introducción de datos'!$C$16,LEN('Introducción de datos'!$C$16)-1),1,1)</f>
        <v>50</v>
      </c>
      <c r="G26" s="582">
        <f t="shared" si="0"/>
        <v>0.8333333333333334</v>
      </c>
      <c r="H26" s="582"/>
      <c r="I26" s="582"/>
      <c r="J26" s="582"/>
      <c r="K26" s="582"/>
      <c r="L26" s="583" t="s">
        <v>264</v>
      </c>
      <c r="M26" s="583"/>
      <c r="N26" s="583"/>
      <c r="O26" s="583"/>
      <c r="P26" s="583"/>
      <c r="Q26" s="583"/>
      <c r="S26" s="372"/>
      <c r="T26" s="369"/>
      <c r="U26" s="369"/>
      <c r="V26" s="369"/>
      <c r="W26" s="369"/>
      <c r="X26" s="369"/>
      <c r="Y26" s="315"/>
      <c r="Z26" s="315"/>
      <c r="AA26" s="315"/>
      <c r="AB26" s="315"/>
      <c r="AC26" s="315"/>
      <c r="AD26" s="315"/>
      <c r="AE26" s="315"/>
      <c r="AF26" s="315"/>
      <c r="AG26" s="315"/>
      <c r="AH26" s="315"/>
      <c r="AI26" s="315"/>
    </row>
    <row r="27" spans="1:35" ht="273.75" customHeight="1">
      <c r="A27" s="6"/>
      <c r="B27" s="581" t="str">
        <f>+'Introducción de datos'!B129</f>
        <v>Número y porcentaje de centros de salud que dispensan tratamiento antirretroviral que tuvieron ruptura de stock de por lo menos uno de los medicamentos antirretrovirales requeridos</v>
      </c>
      <c r="C27" s="581"/>
      <c r="D27" s="581"/>
      <c r="E27" s="370">
        <f ca="1">OFFSET('Introducción de datos'!$G$114,15,RIGHT('Introducción de datos'!$C$16,LEN('Introducción de datos'!$C$16)-1),1,1)</f>
        <v>20</v>
      </c>
      <c r="F27" s="370">
        <f ca="1">OFFSET('Introducción de datos'!$G$114,16,RIGHT('Introducción de datos'!$C$16,LEN('Introducción de datos'!$C$16)-1),1,1)</f>
        <v>7</v>
      </c>
      <c r="G27" s="582">
        <f t="shared" si="0"/>
        <v>0.35</v>
      </c>
      <c r="H27" s="582"/>
      <c r="I27" s="582"/>
      <c r="J27" s="582"/>
      <c r="K27" s="582"/>
      <c r="L27" s="583" t="s">
        <v>265</v>
      </c>
      <c r="M27" s="583"/>
      <c r="N27" s="583"/>
      <c r="O27" s="583"/>
      <c r="P27" s="583"/>
      <c r="Q27" s="583"/>
      <c r="S27" s="372"/>
      <c r="T27" s="369"/>
      <c r="U27" s="369"/>
      <c r="V27" s="369"/>
      <c r="W27" s="369"/>
      <c r="X27" s="369"/>
      <c r="Y27" s="315"/>
      <c r="Z27" s="315"/>
      <c r="AA27" s="315"/>
      <c r="AB27" s="315"/>
      <c r="AC27" s="315"/>
      <c r="AD27" s="315"/>
      <c r="AE27" s="315"/>
      <c r="AF27" s="315"/>
      <c r="AG27" s="315"/>
      <c r="AH27" s="315"/>
      <c r="AI27" s="315"/>
    </row>
    <row r="28" spans="1:35" ht="112.5" customHeight="1">
      <c r="A28" s="6"/>
      <c r="B28" s="581" t="str">
        <f>+'Introducción de datos'!B131</f>
        <v>Número y porcentaje de mujeres embarazadas que se sometieron a las pruebas y consejería del VIH y que recibieron sus resultados</v>
      </c>
      <c r="C28" s="581"/>
      <c r="D28" s="581"/>
      <c r="E28" s="370">
        <f ca="1">OFFSET('Introducción de datos'!$G$114,17,RIGHT('Introducción de datos'!$C$16,LEN('Introducción de datos'!$C$16)-1),1,1)</f>
        <v>37262</v>
      </c>
      <c r="F28" s="370">
        <f ca="1">OFFSET('Introducción de datos'!$G$114,18,RIGHT('Introducción de datos'!$C$16,LEN('Introducción de datos'!$C$16)-1),1,1)</f>
        <v>26625</v>
      </c>
      <c r="G28" s="582">
        <f t="shared" si="0"/>
        <v>0.714534914926735</v>
      </c>
      <c r="H28" s="582"/>
      <c r="I28" s="582"/>
      <c r="J28" s="582"/>
      <c r="K28" s="582"/>
      <c r="L28" s="583" t="s">
        <v>266</v>
      </c>
      <c r="M28" s="583"/>
      <c r="N28" s="583"/>
      <c r="O28" s="583"/>
      <c r="P28" s="583"/>
      <c r="Q28" s="583"/>
      <c r="S28" s="372"/>
      <c r="T28" s="369"/>
      <c r="U28" s="369"/>
      <c r="V28" s="369"/>
      <c r="W28" s="369"/>
      <c r="X28" s="369"/>
      <c r="Y28" s="315"/>
      <c r="Z28" s="315"/>
      <c r="AA28" s="315"/>
      <c r="AB28" s="315"/>
      <c r="AC28" s="315"/>
      <c r="AD28" s="315"/>
      <c r="AE28" s="315"/>
      <c r="AF28" s="315"/>
      <c r="AG28" s="315"/>
      <c r="AH28" s="315"/>
      <c r="AI28" s="315"/>
    </row>
    <row r="29" spans="1:35" ht="78" customHeight="1">
      <c r="A29" s="6" t="s">
        <v>267</v>
      </c>
      <c r="B29" s="581" t="str">
        <f>+'Introducción de datos'!B133</f>
        <v>Número de personas privadas de libertad que se sometieron a las pruebas y consejería del VIH y que recibieron sus resultados</v>
      </c>
      <c r="C29" s="581"/>
      <c r="D29" s="581"/>
      <c r="E29" s="370">
        <f ca="1">OFFSET('Introducción de datos'!$G$114,19,RIGHT('Introducción de datos'!$C$16,LEN('Introducción de datos'!$C$16)-1),1,1)</f>
        <v>24000</v>
      </c>
      <c r="F29" s="370">
        <f ca="1">OFFSET('Introducción de datos'!$G$114,20,RIGHT('Introducción de datos'!$C$16,LEN('Introducción de datos'!$C$16)-1),1,1)</f>
        <v>15424</v>
      </c>
      <c r="G29" s="582">
        <f t="shared" si="0"/>
        <v>0.6426666666666667</v>
      </c>
      <c r="H29" s="582"/>
      <c r="I29" s="582"/>
      <c r="J29" s="582"/>
      <c r="K29" s="582"/>
      <c r="L29" s="583" t="s">
        <v>268</v>
      </c>
      <c r="M29" s="583"/>
      <c r="N29" s="583"/>
      <c r="O29" s="583"/>
      <c r="P29" s="583"/>
      <c r="Q29" s="583"/>
      <c r="S29" s="372"/>
      <c r="T29" s="369" t="e">
        <f>IF($K24&gt;T$19,IF($K24&lt;=T$20,$K24,NA()),NA())</f>
        <v>#N/A</v>
      </c>
      <c r="U29" s="369" t="e">
        <f>IF($K24&gt;U$19,IF($K24&lt;=U$20,$K24,NA()),NA())</f>
        <v>#N/A</v>
      </c>
      <c r="V29" s="369" t="e">
        <f>IF($K24&gt;V$19,IF($K24&lt;=V$20,$K24,NA()),NA())</f>
        <v>#N/A</v>
      </c>
      <c r="W29" s="369" t="e">
        <f>IF($K24&gt;W$19,IF($K24&lt;=W$20,$K24,NA()),NA())</f>
        <v>#N/A</v>
      </c>
      <c r="X29" s="369" t="e">
        <f>IF($K24&gt;X$19,IF($K24&lt;=X$20,1,NA()),NA())</f>
        <v>#N/A</v>
      </c>
      <c r="Y29" s="315"/>
      <c r="Z29" s="315"/>
      <c r="AA29" s="315"/>
      <c r="AB29" s="315"/>
      <c r="AC29" s="315"/>
      <c r="AD29" s="315"/>
      <c r="AE29" s="315"/>
      <c r="AF29" s="315"/>
      <c r="AG29" s="315"/>
      <c r="AH29" s="315"/>
      <c r="AI29" s="315"/>
    </row>
    <row r="30" spans="1:35" ht="42" customHeight="1" hidden="1">
      <c r="A30" s="6"/>
      <c r="B30" s="577"/>
      <c r="C30" s="577"/>
      <c r="D30" s="577"/>
      <c r="E30" s="577"/>
      <c r="F30" s="577"/>
      <c r="G30" s="577"/>
      <c r="H30" s="577"/>
      <c r="I30" s="577"/>
      <c r="J30" s="577"/>
      <c r="K30" s="577"/>
      <c r="L30" s="577"/>
      <c r="M30" s="577"/>
      <c r="N30" s="577"/>
      <c r="O30" s="577"/>
      <c r="P30" s="577"/>
      <c r="Q30" s="577"/>
      <c r="S30" s="372"/>
      <c r="T30" s="369"/>
      <c r="U30" s="369"/>
      <c r="V30" s="369"/>
      <c r="W30" s="369"/>
      <c r="X30" s="369"/>
      <c r="Y30" s="315"/>
      <c r="Z30" s="315"/>
      <c r="AA30" s="315"/>
      <c r="AB30" s="315"/>
      <c r="AC30" s="315"/>
      <c r="AD30" s="315"/>
      <c r="AE30" s="315"/>
      <c r="AF30" s="315"/>
      <c r="AG30" s="315"/>
      <c r="AH30" s="315"/>
      <c r="AI30" s="315"/>
    </row>
    <row r="31" spans="1:35" ht="26.25" customHeight="1" hidden="1">
      <c r="A31" s="6"/>
      <c r="B31" s="584" t="s">
        <v>205</v>
      </c>
      <c r="C31" s="584"/>
      <c r="D31" s="584"/>
      <c r="E31" s="584"/>
      <c r="F31" s="584"/>
      <c r="G31" s="584"/>
      <c r="H31" s="584"/>
      <c r="I31" s="584"/>
      <c r="J31" s="584"/>
      <c r="K31" s="584"/>
      <c r="L31" s="584"/>
      <c r="M31" s="584"/>
      <c r="N31" s="584"/>
      <c r="O31" s="584"/>
      <c r="P31" s="584"/>
      <c r="Q31" s="584"/>
      <c r="S31" s="372"/>
      <c r="T31" s="369"/>
      <c r="U31" s="369"/>
      <c r="V31" s="369"/>
      <c r="W31" s="369"/>
      <c r="X31" s="369"/>
      <c r="Y31" s="315"/>
      <c r="Z31" s="315"/>
      <c r="AA31" s="315"/>
      <c r="AB31" s="315"/>
      <c r="AC31" s="315"/>
      <c r="AD31" s="315"/>
      <c r="AE31" s="315"/>
      <c r="AF31" s="315"/>
      <c r="AG31" s="315"/>
      <c r="AH31" s="315"/>
      <c r="AI31" s="315"/>
    </row>
    <row r="32" spans="1:35" ht="25.5" customHeight="1" hidden="1">
      <c r="A32" s="6"/>
      <c r="B32" s="581" t="str">
        <f>+'Introducción de datos'!B137</f>
        <v>% de Hombres que tienen relaciones sexuales con hombres infectados por el VIH </v>
      </c>
      <c r="C32" s="581"/>
      <c r="D32" s="581"/>
      <c r="E32" s="377">
        <f ca="1">OFFSET('Introducción de datos'!$G$114,23,RIGHT('Introducción de datos'!$C$16,LEN('Introducción de datos'!$C$16)-1),1,1)</f>
        <v>0</v>
      </c>
      <c r="F32" s="377">
        <f ca="1">OFFSET('Introducción de datos'!$G$114,24,RIGHT('Introducción de datos'!$C$16,LEN('Introducción de datos'!$C$16)-1),1,1)</f>
        <v>0</v>
      </c>
      <c r="G32" s="582">
        <f>+IF(ISERROR(F32/E32),0,F32/E32)</f>
        <v>0</v>
      </c>
      <c r="H32" s="582"/>
      <c r="I32" s="582"/>
      <c r="J32" s="582"/>
      <c r="K32" s="582"/>
      <c r="L32" s="585" t="s">
        <v>269</v>
      </c>
      <c r="M32" s="585"/>
      <c r="N32" s="585"/>
      <c r="O32" s="585"/>
      <c r="P32" s="585"/>
      <c r="Q32" s="585"/>
      <c r="S32" s="372"/>
      <c r="T32" s="369" t="e">
        <f>IF($K25&gt;T$19,IF($K25&lt;=T$20,$K25,NA()),NA())</f>
        <v>#N/A</v>
      </c>
      <c r="U32" s="369" t="e">
        <f>IF($K25&gt;U$19,IF($K25&lt;=U$20,$K25,NA()),NA())</f>
        <v>#N/A</v>
      </c>
      <c r="V32" s="369" t="e">
        <f>IF($K25&gt;V$19,IF($K25&lt;=V$20,$K25,NA()),NA())</f>
        <v>#N/A</v>
      </c>
      <c r="W32" s="369" t="e">
        <f>IF($K25&gt;W$19,IF($K25&lt;=W$20,$K25,NA()),NA())</f>
        <v>#N/A</v>
      </c>
      <c r="X32" s="369" t="e">
        <f>IF($K25&gt;X$19,IF($K25&lt;=X$20,1,NA()),NA())</f>
        <v>#N/A</v>
      </c>
      <c r="Y32" s="315"/>
      <c r="Z32" s="315"/>
      <c r="AA32" s="315"/>
      <c r="AB32" s="315"/>
      <c r="AC32" s="315"/>
      <c r="AD32" s="315"/>
      <c r="AE32" s="315"/>
      <c r="AF32" s="315"/>
      <c r="AG32" s="315"/>
      <c r="AH32" s="315"/>
      <c r="AI32" s="315"/>
    </row>
    <row r="33" spans="1:35" ht="19.5" customHeight="1" hidden="1">
      <c r="A33" s="6"/>
      <c r="B33" s="581" t="str">
        <f>+'Introducción de datos'!B139</f>
        <v>% de Trabajadoras sexuales  femeninas y masculinos infectados por el VIH</v>
      </c>
      <c r="C33" s="581"/>
      <c r="D33" s="581"/>
      <c r="E33" s="377">
        <f ca="1">OFFSET('Introducción de datos'!$G$114,25,RIGHT('Introducción de datos'!$C$16,LEN('Introducción de datos'!$C$16)-1),1,1)</f>
        <v>0</v>
      </c>
      <c r="F33" s="377">
        <f ca="1">OFFSET('Introducción de datos'!$G$114,26,RIGHT('Introducción de datos'!$C$16,LEN('Introducción de datos'!$C$16)-1),1,1)</f>
        <v>0</v>
      </c>
      <c r="G33" s="582">
        <f>+IF(ISERROR(F33/E33),0,F33/E33)</f>
        <v>0</v>
      </c>
      <c r="H33" s="582"/>
      <c r="I33" s="582"/>
      <c r="J33" s="582"/>
      <c r="K33" s="582"/>
      <c r="L33" s="585" t="s">
        <v>269</v>
      </c>
      <c r="M33" s="585"/>
      <c r="N33" s="585"/>
      <c r="O33" s="585"/>
      <c r="P33" s="585"/>
      <c r="Q33" s="585"/>
      <c r="S33" s="372"/>
      <c r="T33" s="369" t="e">
        <f>IF($K29&gt;T$19,IF($K29&lt;=T$20,$K29,NA()),NA())</f>
        <v>#N/A</v>
      </c>
      <c r="U33" s="369" t="e">
        <f>IF($K29&gt;U$19,IF($K29&lt;=U$20,$K29,NA()),NA())</f>
        <v>#N/A</v>
      </c>
      <c r="V33" s="369" t="e">
        <f>IF($K29&gt;V$19,IF($K29&lt;=V$20,$K29,NA()),NA())</f>
        <v>#N/A</v>
      </c>
      <c r="W33" s="369" t="e">
        <f>IF($K29&gt;W$19,IF($K29&lt;=W$20,$K29,NA()),NA())</f>
        <v>#N/A</v>
      </c>
      <c r="X33" s="369" t="e">
        <f>IF($K29&gt;X$19,IF($K29&lt;=X$20,1,NA()),NA())</f>
        <v>#N/A</v>
      </c>
      <c r="Y33" s="315"/>
      <c r="Z33" s="315"/>
      <c r="AA33" s="315"/>
      <c r="AB33" s="315"/>
      <c r="AC33" s="315"/>
      <c r="AD33" s="315"/>
      <c r="AE33" s="315"/>
      <c r="AF33" s="315"/>
      <c r="AG33" s="315"/>
      <c r="AH33" s="315"/>
      <c r="AI33" s="315"/>
    </row>
    <row r="34" spans="1:35" ht="23.25" customHeight="1" hidden="1">
      <c r="A34" s="6"/>
      <c r="B34" s="586" t="str">
        <f>+'Introducción de datos'!B141</f>
        <v>% de Poblacion Transgenero infectada por el VIH</v>
      </c>
      <c r="C34" s="586"/>
      <c r="D34" s="586"/>
      <c r="E34" s="378">
        <f ca="1">OFFSET('Introducción de datos'!$G$114,19,RIGHT('Introducción de datos'!$C$16,LEN('Introducción de datos'!$C$16)-1),1,1)</f>
        <v>24000</v>
      </c>
      <c r="F34" s="378">
        <f ca="1">OFFSET('Introducción de datos'!$G$114,20,RIGHT('Introducción de datos'!$C$16,LEN('Introducción de datos'!$C$16)-1),1,1)</f>
        <v>15424</v>
      </c>
      <c r="G34" s="582">
        <f>+IF(ISERROR(F34/E34),0,F34/E34)</f>
        <v>0.6426666666666667</v>
      </c>
      <c r="H34" s="582"/>
      <c r="I34" s="582"/>
      <c r="J34" s="582"/>
      <c r="K34" s="582"/>
      <c r="L34" s="585" t="s">
        <v>270</v>
      </c>
      <c r="M34" s="585"/>
      <c r="N34" s="585"/>
      <c r="O34" s="585"/>
      <c r="P34" s="585"/>
      <c r="Q34" s="585"/>
      <c r="S34" s="372"/>
      <c r="T34" s="369"/>
      <c r="U34" s="369"/>
      <c r="V34" s="369"/>
      <c r="W34" s="369"/>
      <c r="X34" s="369"/>
      <c r="Y34" s="315"/>
      <c r="Z34" s="315"/>
      <c r="AA34" s="315"/>
      <c r="AB34" s="315"/>
      <c r="AC34" s="315"/>
      <c r="AD34" s="315"/>
      <c r="AE34" s="315"/>
      <c r="AF34" s="315"/>
      <c r="AG34" s="315"/>
      <c r="AH34" s="315"/>
      <c r="AI34" s="315"/>
    </row>
    <row r="35" spans="1:35" ht="22.5" customHeight="1">
      <c r="A35" s="6"/>
      <c r="B35" s="588"/>
      <c r="C35" s="588"/>
      <c r="D35" s="588"/>
      <c r="E35" s="588"/>
      <c r="F35" s="589"/>
      <c r="G35" s="589"/>
      <c r="H35" s="589"/>
      <c r="I35" s="589"/>
      <c r="J35" s="589"/>
      <c r="K35" s="589"/>
      <c r="L35" s="590"/>
      <c r="M35" s="590"/>
      <c r="N35" s="590"/>
      <c r="O35" s="590"/>
      <c r="P35" s="590"/>
      <c r="S35" s="372"/>
      <c r="T35" s="369" t="e">
        <f>IF($K33&gt;T$19,IF($K33&lt;=T$20,$K33,NA()),NA())</f>
        <v>#N/A</v>
      </c>
      <c r="U35" s="369" t="e">
        <f>IF($K33&gt;U$19,IF($K33&lt;=U$20,$K33,NA()),NA())</f>
        <v>#N/A</v>
      </c>
      <c r="V35" s="369" t="e">
        <f>IF($K33&gt;V$19,IF($K33&lt;=V$20,$K33,NA()),NA())</f>
        <v>#N/A</v>
      </c>
      <c r="W35" s="369" t="e">
        <f>IF($K33&gt;W$19,IF($K33&lt;=W$20,$K33,NA()),NA())</f>
        <v>#N/A</v>
      </c>
      <c r="X35" s="369" t="e">
        <f>IF($K33&gt;X$19,IF($K33&lt;=X$20,1,NA()),NA())</f>
        <v>#N/A</v>
      </c>
      <c r="Y35" s="315"/>
      <c r="Z35" s="315"/>
      <c r="AA35" s="315"/>
      <c r="AB35" s="315"/>
      <c r="AC35" s="315"/>
      <c r="AD35" s="315"/>
      <c r="AE35" s="315"/>
      <c r="AF35" s="315"/>
      <c r="AG35" s="315"/>
      <c r="AH35" s="315"/>
      <c r="AI35" s="315"/>
    </row>
    <row r="36" spans="1:35" ht="22.5" customHeight="1">
      <c r="A36" s="6"/>
      <c r="B36" s="591"/>
      <c r="C36" s="591"/>
      <c r="D36" s="591"/>
      <c r="E36" s="591"/>
      <c r="F36" s="592"/>
      <c r="G36" s="592"/>
      <c r="H36" s="592"/>
      <c r="I36" s="592"/>
      <c r="J36" s="592"/>
      <c r="K36" s="592"/>
      <c r="L36" s="593"/>
      <c r="M36" s="593"/>
      <c r="N36" s="593"/>
      <c r="O36" s="593"/>
      <c r="P36" s="593"/>
      <c r="S36" s="372"/>
      <c r="T36" s="369" t="e">
        <f>IF(#REF!&gt;T$19,IF(#REF!&lt;=T$20,#REF!,NA()),NA())</f>
        <v>#REF!</v>
      </c>
      <c r="U36" s="369" t="e">
        <f>IF(#REF!&gt;U$19,IF(#REF!&lt;=U$20,#REF!,NA()),NA())</f>
        <v>#REF!</v>
      </c>
      <c r="V36" s="369" t="e">
        <f>IF(#REF!&gt;V$19,IF(#REF!&lt;=V$20,#REF!,NA()),NA())</f>
        <v>#REF!</v>
      </c>
      <c r="W36" s="369" t="e">
        <f>IF(#REF!&gt;W$19,IF(#REF!&lt;=W$20,#REF!,NA()),NA())</f>
        <v>#REF!</v>
      </c>
      <c r="X36" s="369" t="e">
        <f>IF(#REF!&gt;X$19,IF(#REF!&lt;=X$20,1,NA()),NA())</f>
        <v>#REF!</v>
      </c>
      <c r="Y36" s="315"/>
      <c r="Z36" s="315"/>
      <c r="AA36" s="315"/>
      <c r="AB36" s="315"/>
      <c r="AC36" s="315"/>
      <c r="AD36" s="315"/>
      <c r="AE36" s="315"/>
      <c r="AF36" s="315"/>
      <c r="AG36" s="315"/>
      <c r="AH36" s="315"/>
      <c r="AI36" s="315"/>
    </row>
    <row r="37" spans="1:35" ht="15">
      <c r="A37" s="6"/>
      <c r="B37" s="379"/>
      <c r="C37" s="379"/>
      <c r="D37" s="379"/>
      <c r="E37" s="379"/>
      <c r="F37" s="379"/>
      <c r="G37" s="379"/>
      <c r="H37" s="380"/>
      <c r="I37" s="379"/>
      <c r="J37" s="379"/>
      <c r="K37" s="379"/>
      <c r="L37" s="379"/>
      <c r="M37" s="379"/>
      <c r="N37" s="379"/>
      <c r="O37" s="379"/>
      <c r="P37" s="379"/>
      <c r="S37" s="372"/>
      <c r="T37" s="369" t="e">
        <f aca="true" t="shared" si="3" ref="T37:W38">IF($K35&gt;T$19,IF($K35&lt;=T$20,$K35,NA()),NA())</f>
        <v>#N/A</v>
      </c>
      <c r="U37" s="369" t="e">
        <f t="shared" si="3"/>
        <v>#N/A</v>
      </c>
      <c r="V37" s="369" t="e">
        <f t="shared" si="3"/>
        <v>#N/A</v>
      </c>
      <c r="W37" s="369" t="e">
        <f t="shared" si="3"/>
        <v>#N/A</v>
      </c>
      <c r="X37" s="369" t="e">
        <f>IF($K35&gt;X$19,IF($K35&lt;=X$20,1,NA()),NA())</f>
        <v>#N/A</v>
      </c>
      <c r="Y37" s="315"/>
      <c r="Z37" s="315"/>
      <c r="AA37" s="315"/>
      <c r="AB37" s="315"/>
      <c r="AC37" s="315"/>
      <c r="AD37" s="315"/>
      <c r="AE37" s="315"/>
      <c r="AF37" s="315"/>
      <c r="AG37" s="315"/>
      <c r="AH37" s="315"/>
      <c r="AI37" s="315"/>
    </row>
    <row r="38" spans="1:35" ht="15">
      <c r="A38" s="6"/>
      <c r="B38" s="587"/>
      <c r="C38" s="587"/>
      <c r="D38" s="587"/>
      <c r="E38" s="587"/>
      <c r="F38" s="587"/>
      <c r="G38" s="587"/>
      <c r="H38" s="587"/>
      <c r="I38" s="587"/>
      <c r="J38" s="587"/>
      <c r="K38" s="587"/>
      <c r="L38" s="379"/>
      <c r="M38" s="379"/>
      <c r="N38" s="379"/>
      <c r="O38" s="379"/>
      <c r="P38" s="379"/>
      <c r="S38" s="372"/>
      <c r="T38" s="369" t="e">
        <f t="shared" si="3"/>
        <v>#N/A</v>
      </c>
      <c r="U38" s="369" t="e">
        <f t="shared" si="3"/>
        <v>#N/A</v>
      </c>
      <c r="V38" s="369" t="e">
        <f t="shared" si="3"/>
        <v>#N/A</v>
      </c>
      <c r="W38" s="369" t="e">
        <f t="shared" si="3"/>
        <v>#N/A</v>
      </c>
      <c r="X38" s="369" t="e">
        <f>IF($K36&gt;X$19,IF($K36&lt;=X$20,1,NA()),NA())</f>
        <v>#N/A</v>
      </c>
      <c r="Y38" s="315"/>
      <c r="Z38" s="315"/>
      <c r="AA38" s="315"/>
      <c r="AB38" s="315"/>
      <c r="AC38" s="315"/>
      <c r="AD38" s="315"/>
      <c r="AE38" s="315"/>
      <c r="AF38" s="315"/>
      <c r="AG38" s="315"/>
      <c r="AH38" s="315"/>
      <c r="AI38" s="315"/>
    </row>
  </sheetData>
  <sheetProtection selectLockedCells="1" selectUnlockedCells="1"/>
  <mergeCells count="67">
    <mergeCell ref="B38:D38"/>
    <mergeCell ref="E38:G38"/>
    <mergeCell ref="H38:K38"/>
    <mergeCell ref="B35:E35"/>
    <mergeCell ref="F35:K35"/>
    <mergeCell ref="L35:P35"/>
    <mergeCell ref="B36:E36"/>
    <mergeCell ref="F36:K36"/>
    <mergeCell ref="L36:P36"/>
    <mergeCell ref="B33:D33"/>
    <mergeCell ref="G33:K33"/>
    <mergeCell ref="L33:Q33"/>
    <mergeCell ref="B34:D34"/>
    <mergeCell ref="G34:K34"/>
    <mergeCell ref="L34:Q34"/>
    <mergeCell ref="B29:D29"/>
    <mergeCell ref="G29:K29"/>
    <mergeCell ref="L29:Q29"/>
    <mergeCell ref="B30:Q30"/>
    <mergeCell ref="B31:Q31"/>
    <mergeCell ref="B32:D32"/>
    <mergeCell ref="G32:K32"/>
    <mergeCell ref="L32:Q32"/>
    <mergeCell ref="B27:D27"/>
    <mergeCell ref="G27:K27"/>
    <mergeCell ref="L27:Q27"/>
    <mergeCell ref="B28:D28"/>
    <mergeCell ref="G28:K28"/>
    <mergeCell ref="L28:Q28"/>
    <mergeCell ref="B25:D25"/>
    <mergeCell ref="G25:K25"/>
    <mergeCell ref="L25:Q25"/>
    <mergeCell ref="B26:D26"/>
    <mergeCell ref="G26:K26"/>
    <mergeCell ref="L26:Q26"/>
    <mergeCell ref="B21:D21"/>
    <mergeCell ref="G21:K21"/>
    <mergeCell ref="L21:Q21"/>
    <mergeCell ref="B22:D22"/>
    <mergeCell ref="G22:K22"/>
    <mergeCell ref="L22:Q24"/>
    <mergeCell ref="B23:D23"/>
    <mergeCell ref="G23:K23"/>
    <mergeCell ref="B24:D24"/>
    <mergeCell ref="G24:K24"/>
    <mergeCell ref="E18:K18"/>
    <mergeCell ref="B19:D19"/>
    <mergeCell ref="G19:H19"/>
    <mergeCell ref="I19:J19"/>
    <mergeCell ref="L19:Q19"/>
    <mergeCell ref="B20:D20"/>
    <mergeCell ref="G20:K20"/>
    <mergeCell ref="L20:Q20"/>
    <mergeCell ref="D5:N5"/>
    <mergeCell ref="F6:K6"/>
    <mergeCell ref="B8:E8"/>
    <mergeCell ref="F8:K8"/>
    <mergeCell ref="L8:Q8"/>
    <mergeCell ref="C9:E9"/>
    <mergeCell ref="G9:K9"/>
    <mergeCell ref="M9:Q9"/>
    <mergeCell ref="B2:Q2"/>
    <mergeCell ref="C3:D3"/>
    <mergeCell ref="E3:K3"/>
    <mergeCell ref="O3:P3"/>
    <mergeCell ref="C4:D4"/>
    <mergeCell ref="E4:L4"/>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conditionalFormatting sqref="G32:G34 G26:G29 G20:G24">
    <cfRule type="cellIs" priority="4" dxfId="49" operator="between" stopIfTrue="1">
      <formula>0</formula>
      <formula>0.599</formula>
    </cfRule>
    <cfRule type="cellIs" priority="5" dxfId="48" operator="between" stopIfTrue="1">
      <formula>0.6</formula>
      <formula>0.899</formula>
    </cfRule>
    <cfRule type="cellIs" priority="6" dxfId="47" operator="greaterThanOrEqual" stopIfTrue="1">
      <formula>0.9</formula>
    </cfRule>
  </conditionalFormatting>
  <conditionalFormatting sqref="G25">
    <cfRule type="cellIs" priority="7" dxfId="49" operator="between" stopIfTrue="1">
      <formula>0</formula>
      <formula>0.599</formula>
    </cfRule>
    <cfRule type="cellIs" priority="8" dxfId="48" operator="between" stopIfTrue="1">
      <formula>0.6</formula>
      <formula>0.899</formula>
    </cfRule>
    <cfRule type="cellIs" priority="9" dxfId="47"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64"/>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28">
      <selection activeCell="D41" sqref="D41"/>
    </sheetView>
  </sheetViews>
  <sheetFormatPr defaultColWidth="9.140625" defaultRowHeight="15"/>
  <cols>
    <col min="1" max="1" width="1.1484375" style="381" customWidth="1"/>
    <col min="2" max="2" width="19.28125" style="381" customWidth="1"/>
    <col min="3" max="3" width="1.1484375" style="381" customWidth="1"/>
    <col min="4" max="4" width="17.140625" style="381" customWidth="1"/>
    <col min="5" max="5" width="17.57421875" style="381" customWidth="1"/>
    <col min="6" max="6" width="9.7109375" style="381" customWidth="1"/>
    <col min="7" max="7" width="13.00390625" style="381" customWidth="1"/>
    <col min="8" max="8" width="4.28125" style="381" customWidth="1"/>
    <col min="9" max="9" width="15.8515625" style="381" customWidth="1"/>
    <col min="10" max="10" width="3.57421875" style="381" customWidth="1"/>
    <col min="11" max="11" width="7.57421875" style="382" customWidth="1"/>
    <col min="12" max="12" width="22.00390625" style="381" customWidth="1"/>
    <col min="13" max="13" width="12.00390625" style="381" customWidth="1"/>
    <col min="14" max="14" width="5.421875" style="381" customWidth="1"/>
    <col min="15" max="15" width="2.57421875" style="381" customWidth="1"/>
    <col min="16" max="16384" width="9.140625" style="381" customWidth="1"/>
  </cols>
  <sheetData>
    <row r="1" spans="1:14" ht="38.25" customHeight="1">
      <c r="A1" s="383"/>
      <c r="B1" s="383"/>
      <c r="C1" s="383"/>
      <c r="D1" s="383"/>
      <c r="E1" s="383"/>
      <c r="F1" s="383"/>
      <c r="G1" s="383"/>
      <c r="H1" s="383"/>
      <c r="I1" s="383"/>
      <c r="J1" s="383"/>
      <c r="K1" s="384"/>
      <c r="L1" s="383"/>
      <c r="M1" s="383"/>
      <c r="N1" s="383"/>
    </row>
    <row r="2" spans="1:256" ht="27.75" customHeight="1">
      <c r="A2" s="6"/>
      <c r="B2" s="571" t="str">
        <f>+"Cuadro de mando:  "&amp;"  "&amp;+'Introducción de datos'!C4&amp;" - "&amp;'Introducción de datos'!G6</f>
        <v>Cuadro de mando:    El Salvador - VIH / SIDA</v>
      </c>
      <c r="C2" s="571"/>
      <c r="D2" s="571"/>
      <c r="E2" s="571"/>
      <c r="F2" s="571"/>
      <c r="G2" s="571"/>
      <c r="H2" s="571"/>
      <c r="I2" s="571"/>
      <c r="J2" s="571"/>
      <c r="K2" s="571"/>
      <c r="L2" s="571"/>
      <c r="M2" s="571"/>
      <c r="N2" s="571"/>
      <c r="O2" s="38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99" t="str">
        <f>+'Introducción de datos'!G8</f>
        <v>SSF/NMF</v>
      </c>
      <c r="C3" s="550" t="str">
        <f>+'Introducción de datos'!I8</f>
        <v>Fase 1</v>
      </c>
      <c r="D3" s="550"/>
      <c r="E3" s="594"/>
      <c r="F3" s="594"/>
      <c r="G3" s="594"/>
      <c r="H3" s="594"/>
      <c r="I3" s="594"/>
      <c r="J3" s="594"/>
      <c r="K3" s="594"/>
      <c r="L3" s="299" t="str">
        <f>+'Introducción de datos'!B16</f>
        <v>Periodo:</v>
      </c>
      <c r="M3" s="356" t="str">
        <f>+'Introducción de datos'!C16</f>
        <v>P5</v>
      </c>
      <c r="N3" s="35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99" t="str">
        <f>+'Introducción de datos'!B12</f>
        <v>Ultima calificación:</v>
      </c>
      <c r="C4" s="572" t="str">
        <f>+'Introducción de datos'!C12</f>
        <v>B2</v>
      </c>
      <c r="D4" s="572"/>
      <c r="E4" s="551" t="str">
        <f>+'Introducción de datos'!C8</f>
        <v>Ministerio de Salud </v>
      </c>
      <c r="F4" s="551"/>
      <c r="G4" s="551"/>
      <c r="H4" s="551"/>
      <c r="I4" s="551"/>
      <c r="J4" s="551"/>
      <c r="K4" s="551"/>
      <c r="L4" s="299" t="str">
        <f>+'Introducción de datos'!D16</f>
        <v>Desde:</v>
      </c>
      <c r="M4" s="303">
        <f>+'Introducción de datos'!E16</f>
        <v>42370</v>
      </c>
      <c r="N4" s="30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99"/>
      <c r="C5" s="299"/>
      <c r="D5" s="305"/>
      <c r="E5" s="551" t="str">
        <f>+'Introducción de datos'!G4</f>
        <v>INNOVANDO SERVICIOS, REDUCIENDO RIESGOS, RENOVANDO VIDAS EN EL SALVADOR</v>
      </c>
      <c r="F5" s="551"/>
      <c r="G5" s="551"/>
      <c r="H5" s="551"/>
      <c r="I5" s="551"/>
      <c r="J5" s="551"/>
      <c r="K5" s="551"/>
      <c r="L5" s="299" t="str">
        <f>+'Introducción de datos'!F16</f>
        <v>Hasta:</v>
      </c>
      <c r="M5" s="303">
        <f>+'Introducción de datos'!G16</f>
        <v>42551</v>
      </c>
      <c r="N5" s="30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306"/>
      <c r="C6" s="300"/>
      <c r="D6" s="305"/>
      <c r="E6" s="595" t="s">
        <v>259</v>
      </c>
      <c r="F6" s="595"/>
      <c r="G6" s="595"/>
      <c r="H6" s="595"/>
      <c r="I6" s="595"/>
      <c r="J6" s="595"/>
      <c r="K6" s="595"/>
      <c r="L6" s="159"/>
      <c r="M6" s="159"/>
      <c r="N6" s="159"/>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90" customFormat="1" ht="4.5" customHeight="1">
      <c r="A7" s="386"/>
      <c r="B7" s="387"/>
      <c r="C7" s="387"/>
      <c r="D7" s="387"/>
      <c r="E7" s="387"/>
      <c r="F7" s="387"/>
      <c r="G7" s="387"/>
      <c r="H7" s="387"/>
      <c r="I7" s="387"/>
      <c r="J7" s="387"/>
      <c r="K7" s="387"/>
      <c r="L7" s="388"/>
      <c r="M7" s="388"/>
      <c r="N7" s="389"/>
    </row>
    <row r="8" spans="1:14" s="390" customFormat="1" ht="21" customHeight="1">
      <c r="A8" s="386"/>
      <c r="B8" s="596" t="s">
        <v>271</v>
      </c>
      <c r="C8" s="596"/>
      <c r="D8" s="596"/>
      <c r="E8" s="596"/>
      <c r="F8" s="596"/>
      <c r="G8" s="596"/>
      <c r="H8" s="596"/>
      <c r="I8" s="596"/>
      <c r="J8" s="596"/>
      <c r="K8" s="596"/>
      <c r="L8" s="596"/>
      <c r="M8" s="596"/>
      <c r="N8" s="596"/>
    </row>
    <row r="9" spans="1:14" s="390" customFormat="1" ht="3.75" customHeight="1">
      <c r="A9" s="386"/>
      <c r="B9" s="387"/>
      <c r="C9" s="387"/>
      <c r="D9" s="387"/>
      <c r="E9" s="387"/>
      <c r="F9" s="387"/>
      <c r="G9" s="387"/>
      <c r="H9" s="387"/>
      <c r="I9" s="387"/>
      <c r="J9" s="387"/>
      <c r="K9" s="387"/>
      <c r="L9" s="388"/>
      <c r="M9" s="388"/>
      <c r="N9" s="389"/>
    </row>
    <row r="10" spans="1:14" s="393" customFormat="1" ht="25.5" customHeight="1">
      <c r="A10" s="391"/>
      <c r="B10" s="597" t="s">
        <v>272</v>
      </c>
      <c r="C10" s="597"/>
      <c r="D10" s="598" t="s">
        <v>258</v>
      </c>
      <c r="E10" s="598"/>
      <c r="F10" s="598"/>
      <c r="G10" s="598"/>
      <c r="H10" s="392"/>
      <c r="I10" s="598" t="s">
        <v>259</v>
      </c>
      <c r="J10" s="598"/>
      <c r="K10" s="598"/>
      <c r="L10" s="598"/>
      <c r="M10" s="598"/>
      <c r="N10" s="598"/>
    </row>
    <row r="11" spans="1:14" s="393" customFormat="1" ht="28.5" customHeight="1">
      <c r="A11" s="391"/>
      <c r="B11" s="394" t="s">
        <v>273</v>
      </c>
      <c r="C11" s="395"/>
      <c r="D11" s="599" t="str">
        <f>IF(ISBLANK(Financiamiento!C9),"",(Financiamiento!C9))</f>
        <v>El presupuesto es Mayor a los desembolso debido a que en el primer semestre no se recibio desembolso en el proyecto.</v>
      </c>
      <c r="E11" s="599"/>
      <c r="F11" s="599"/>
      <c r="G11" s="599"/>
      <c r="H11" s="396"/>
      <c r="I11" s="600"/>
      <c r="J11" s="600"/>
      <c r="K11" s="600"/>
      <c r="L11" s="600"/>
      <c r="M11" s="600"/>
      <c r="N11" s="600"/>
    </row>
    <row r="12" spans="1:14" s="393" customFormat="1" ht="27.75" customHeight="1">
      <c r="A12" s="391"/>
      <c r="B12" s="397" t="s">
        <v>274</v>
      </c>
      <c r="C12" s="398"/>
      <c r="D12" s="599" t="str">
        <f>IF(ISBLANK(Financiamiento!C23),"",(Financiamiento!C23))</f>
        <v>La diferencias entre el presupuesto y gastos de debe a que se tienen compromisos con proveedores y que seran pagados en el siguiente semestre y economias generadas.</v>
      </c>
      <c r="E12" s="599"/>
      <c r="F12" s="599"/>
      <c r="G12" s="599"/>
      <c r="H12" s="396"/>
      <c r="I12" s="601"/>
      <c r="J12" s="601"/>
      <c r="K12" s="601"/>
      <c r="L12" s="601"/>
      <c r="M12" s="601"/>
      <c r="N12" s="601"/>
    </row>
    <row r="13" spans="1:14" s="393" customFormat="1" ht="26.25" customHeight="1">
      <c r="A13" s="391"/>
      <c r="B13" s="397" t="s">
        <v>275</v>
      </c>
      <c r="C13" s="398"/>
      <c r="D13" s="599" t="str">
        <f>IF(ISBLANK(Financiamiento!I9),"",(Financiamiento!I9))</f>
        <v>Los gastos del periodo reportado han sido pagos realizados de compromisos del periodo anterior y de este periodo se han cancelado  salarios y manternimiento. </v>
      </c>
      <c r="E13" s="599"/>
      <c r="F13" s="599"/>
      <c r="G13" s="599"/>
      <c r="H13" s="396"/>
      <c r="I13" s="602"/>
      <c r="J13" s="602"/>
      <c r="K13" s="602"/>
      <c r="L13" s="602"/>
      <c r="M13" s="602"/>
      <c r="N13" s="602"/>
    </row>
    <row r="14" spans="1:14" s="393" customFormat="1" ht="28.5" customHeight="1">
      <c r="A14" s="391"/>
      <c r="B14" s="399" t="s">
        <v>276</v>
      </c>
      <c r="C14" s="400"/>
      <c r="D14" s="603" t="str">
        <f>IF(ISBLANK(Financiamiento!I23),"",(Financiamiento!I23))</f>
        <v>El desembolso no se ha recibido al cierre del semestre</v>
      </c>
      <c r="E14" s="603"/>
      <c r="F14" s="603"/>
      <c r="G14" s="603"/>
      <c r="H14" s="396"/>
      <c r="I14" s="604"/>
      <c r="J14" s="604"/>
      <c r="K14" s="604"/>
      <c r="L14" s="604"/>
      <c r="M14" s="604"/>
      <c r="N14" s="604"/>
    </row>
    <row r="15" spans="1:15" s="393" customFormat="1" ht="4.5" customHeight="1">
      <c r="A15" s="391"/>
      <c r="B15" s="401"/>
      <c r="C15" s="402"/>
      <c r="D15" s="403"/>
      <c r="E15" s="403"/>
      <c r="F15" s="403"/>
      <c r="G15" s="403"/>
      <c r="H15" s="396"/>
      <c r="I15" s="404"/>
      <c r="J15" s="404"/>
      <c r="K15" s="404"/>
      <c r="L15" s="404"/>
      <c r="M15" s="404"/>
      <c r="N15" s="404"/>
      <c r="O15" s="405"/>
    </row>
    <row r="16" spans="1:14" s="390" customFormat="1" ht="21" customHeight="1">
      <c r="A16" s="386"/>
      <c r="B16" s="596" t="s">
        <v>277</v>
      </c>
      <c r="C16" s="596"/>
      <c r="D16" s="596"/>
      <c r="E16" s="596"/>
      <c r="F16" s="596"/>
      <c r="G16" s="596"/>
      <c r="H16" s="596"/>
      <c r="I16" s="596"/>
      <c r="J16" s="596"/>
      <c r="K16" s="596"/>
      <c r="L16" s="596"/>
      <c r="M16" s="596"/>
      <c r="N16" s="596"/>
    </row>
    <row r="17" spans="1:14" s="393" customFormat="1" ht="3.75" customHeight="1">
      <c r="A17" s="391"/>
      <c r="B17" s="406"/>
      <c r="C17" s="407"/>
      <c r="D17" s="408"/>
      <c r="E17" s="409"/>
      <c r="F17" s="410"/>
      <c r="G17" s="410"/>
      <c r="H17" s="411"/>
      <c r="I17" s="412"/>
      <c r="J17" s="413"/>
      <c r="K17" s="414"/>
      <c r="L17" s="415"/>
      <c r="M17" s="416"/>
      <c r="N17" s="417"/>
    </row>
    <row r="18" spans="1:14" s="393" customFormat="1" ht="22.5" customHeight="1">
      <c r="A18" s="391"/>
      <c r="B18" s="605" t="s">
        <v>256</v>
      </c>
      <c r="C18" s="605"/>
      <c r="D18" s="606" t="s">
        <v>258</v>
      </c>
      <c r="E18" s="606"/>
      <c r="F18" s="606"/>
      <c r="G18" s="606"/>
      <c r="H18" s="392"/>
      <c r="I18" s="607" t="s">
        <v>259</v>
      </c>
      <c r="J18" s="607"/>
      <c r="K18" s="607"/>
      <c r="L18" s="607"/>
      <c r="M18" s="607"/>
      <c r="N18" s="607"/>
    </row>
    <row r="19" spans="1:14" s="393" customFormat="1" ht="51.75" customHeight="1">
      <c r="A19" s="391"/>
      <c r="B19" s="418" t="s">
        <v>261</v>
      </c>
      <c r="C19" s="419"/>
      <c r="D19" s="608" t="str">
        <f>IF(ISBLANK(Gestión!C8),"",(Gestión!C8))</f>
        <v>Las acciones precedentes no cumpĺidas se encuentran en proceso y deben ser presentadas en febrero 2016, algunas de ellas ya fueron enviadas a Fondo Mundial y se esta en espera de retroalimentación.</v>
      </c>
      <c r="E19" s="608"/>
      <c r="F19" s="608"/>
      <c r="G19" s="608"/>
      <c r="H19" s="420"/>
      <c r="I19" s="609"/>
      <c r="J19" s="609"/>
      <c r="K19" s="609"/>
      <c r="L19" s="609"/>
      <c r="M19" s="609"/>
      <c r="N19" s="609"/>
    </row>
    <row r="20" spans="1:15" ht="24.75" customHeight="1">
      <c r="A20" s="383"/>
      <c r="B20" s="421" t="s">
        <v>262</v>
      </c>
      <c r="C20" s="422"/>
      <c r="D20" s="610" t="str">
        <f>IF(ISBLANK(Gestión!I8),"",(Gestión!I8))</f>
        <v>Actualmente el RP MINSAL cuenta con los principales puestos directivos, no hay puestos vacantes.</v>
      </c>
      <c r="E20" s="610" t="e">
        <f>+'Introducción de datos'!D73/'Introducción de datos'!G73</f>
        <v>#DIV/0!</v>
      </c>
      <c r="F20" s="610" t="e">
        <f>+('Introducción de datos'!E73+'Introducción de datos'!F73)/'Introducción de datos'!G73</f>
        <v>#DIV/0!</v>
      </c>
      <c r="G20" s="610"/>
      <c r="H20" s="420"/>
      <c r="I20" s="611"/>
      <c r="J20" s="611"/>
      <c r="K20" s="611"/>
      <c r="L20" s="611"/>
      <c r="M20" s="611"/>
      <c r="N20" s="611"/>
      <c r="O20" s="423"/>
    </row>
    <row r="21" spans="1:15" ht="29.25" customHeight="1">
      <c r="A21" s="383"/>
      <c r="B21" s="424" t="s">
        <v>278</v>
      </c>
      <c r="C21" s="422"/>
      <c r="D21" s="610" t="str">
        <f>IF(ISBLANK(Gestión!C17),"",(Gestión!C17))</f>
        <v>El RP MINSAL no cuenta con subreceptores</v>
      </c>
      <c r="E21" s="610"/>
      <c r="F21" s="610"/>
      <c r="G21" s="610"/>
      <c r="H21" s="420"/>
      <c r="I21" s="611"/>
      <c r="J21" s="611"/>
      <c r="K21" s="611"/>
      <c r="L21" s="611"/>
      <c r="M21" s="611"/>
      <c r="N21" s="611"/>
      <c r="O21" s="423"/>
    </row>
    <row r="22" spans="1:15" ht="26.25" customHeight="1">
      <c r="A22" s="383"/>
      <c r="B22" s="424" t="s">
        <v>279</v>
      </c>
      <c r="C22" s="422"/>
      <c r="D22" s="610" t="str">
        <f>IF(ISBLANK(Gestión!I19),"",(Gestión!I19))</f>
        <v>El RP MINSAL no cuenta con subreceptores</v>
      </c>
      <c r="E22" s="610"/>
      <c r="F22" s="610"/>
      <c r="G22" s="610"/>
      <c r="H22" s="420"/>
      <c r="I22" s="611"/>
      <c r="J22" s="611"/>
      <c r="K22" s="611"/>
      <c r="L22" s="611"/>
      <c r="M22" s="611"/>
      <c r="N22" s="611"/>
      <c r="O22" s="423"/>
    </row>
    <row r="23" spans="1:15" ht="72" customHeight="1">
      <c r="A23" s="383"/>
      <c r="B23" s="424" t="s">
        <v>280</v>
      </c>
      <c r="C23" s="422"/>
      <c r="D23" s="610" t="str">
        <f>IF(ISBLANK(Gestión!C28),"",(Gestión!C28))</f>
        <v>Todo el presupuesto de Productos salud estan en proceso de compras, los medicamentos se compraron a través de la OPS, los gastos reflejan la compra de reactivos recibida este año y el pago de los medicamentos para ITS.</v>
      </c>
      <c r="E23" s="610"/>
      <c r="F23" s="610"/>
      <c r="G23" s="610"/>
      <c r="H23" s="420"/>
      <c r="I23" s="611"/>
      <c r="J23" s="611"/>
      <c r="K23" s="611"/>
      <c r="L23" s="611"/>
      <c r="M23" s="611"/>
      <c r="N23" s="611"/>
      <c r="O23" s="423"/>
    </row>
    <row r="24" spans="1:15" ht="27" customHeight="1">
      <c r="A24" s="383"/>
      <c r="B24" s="425" t="s">
        <v>281</v>
      </c>
      <c r="C24" s="426"/>
      <c r="D24" s="612" t="str">
        <f>IF(ISBLANK(Gestión!I30),"",(Gestión!I30))</f>
        <v>Actualmente el Fondo Mundial apoya con la compra del 100% de las necesidades de efavirenz/emtricitabina/tenofovir, actualmente contamos con 4 meses más de los 6 meses de  seguridad, lo que permite mantener el stock hasta realizar la siguiente compra</v>
      </c>
      <c r="E24" s="612"/>
      <c r="F24" s="612"/>
      <c r="G24" s="612"/>
      <c r="H24" s="420"/>
      <c r="I24" s="613"/>
      <c r="J24" s="613"/>
      <c r="K24" s="613"/>
      <c r="L24" s="613"/>
      <c r="M24" s="613"/>
      <c r="N24" s="613"/>
      <c r="O24" s="423"/>
    </row>
    <row r="25" spans="1:15" ht="4.5" customHeight="1">
      <c r="A25" s="386"/>
      <c r="B25" s="427"/>
      <c r="C25" s="428"/>
      <c r="D25" s="429"/>
      <c r="E25" s="430"/>
      <c r="F25" s="431"/>
      <c r="G25" s="431"/>
      <c r="H25" s="392"/>
      <c r="I25" s="430"/>
      <c r="J25" s="432"/>
      <c r="K25" s="414"/>
      <c r="L25" s="415"/>
      <c r="M25" s="416"/>
      <c r="N25" s="417"/>
      <c r="O25" s="423"/>
    </row>
    <row r="26" spans="1:14" s="390" customFormat="1" ht="21" customHeight="1">
      <c r="A26" s="386"/>
      <c r="B26" s="596" t="s">
        <v>282</v>
      </c>
      <c r="C26" s="596"/>
      <c r="D26" s="596"/>
      <c r="E26" s="596"/>
      <c r="F26" s="596"/>
      <c r="G26" s="596"/>
      <c r="H26" s="596"/>
      <c r="I26" s="596"/>
      <c r="J26" s="596"/>
      <c r="K26" s="596"/>
      <c r="L26" s="596"/>
      <c r="M26" s="596"/>
      <c r="N26" s="596"/>
    </row>
    <row r="27" spans="1:15" ht="3.75" customHeight="1">
      <c r="A27" s="386"/>
      <c r="B27" s="427"/>
      <c r="C27" s="428"/>
      <c r="D27" s="429"/>
      <c r="E27" s="430"/>
      <c r="F27" s="431"/>
      <c r="G27" s="431"/>
      <c r="H27" s="392"/>
      <c r="I27" s="430"/>
      <c r="J27" s="432"/>
      <c r="K27" s="414"/>
      <c r="L27" s="415"/>
      <c r="M27" s="416"/>
      <c r="N27" s="417"/>
      <c r="O27" s="423"/>
    </row>
    <row r="28" spans="1:15" ht="21.75" customHeight="1">
      <c r="A28" s="383"/>
      <c r="B28" s="614" t="s">
        <v>283</v>
      </c>
      <c r="C28" s="614"/>
      <c r="D28" s="615" t="s">
        <v>258</v>
      </c>
      <c r="E28" s="615"/>
      <c r="F28" s="615"/>
      <c r="G28" s="615"/>
      <c r="H28" s="392"/>
      <c r="I28" s="615" t="s">
        <v>259</v>
      </c>
      <c r="J28" s="615"/>
      <c r="K28" s="615"/>
      <c r="L28" s="615"/>
      <c r="M28" s="615"/>
      <c r="N28" s="615"/>
      <c r="O28" s="423"/>
    </row>
    <row r="29" spans="1:15" ht="67.5" customHeight="1">
      <c r="A29" s="383"/>
      <c r="B29" s="433" t="s">
        <v>284</v>
      </c>
      <c r="C29" s="434"/>
      <c r="D29" s="616" t="str">
        <f>IF(ISBLANK(Programatico!C9),"",(Programatico!C9))</f>
        <v>Actualmente el 100% de los usuarios que consultan a los Hospitales con TAR y que cumplen criterios para iniciar la misma se encuentran recibiendo tratamiento. </v>
      </c>
      <c r="E29" s="616"/>
      <c r="F29" s="616"/>
      <c r="G29" s="616"/>
      <c r="H29" s="420"/>
      <c r="I29" s="617"/>
      <c r="J29" s="617"/>
      <c r="K29" s="617"/>
      <c r="L29" s="617"/>
      <c r="M29" s="617"/>
      <c r="N29" s="617"/>
      <c r="O29" s="423"/>
    </row>
    <row r="30" spans="1:15" ht="47.25" customHeight="1">
      <c r="A30" s="383"/>
      <c r="B30" s="435" t="s">
        <v>285</v>
      </c>
      <c r="C30" s="436"/>
      <c r="D30" s="618" t="str">
        <f>IF(ISBLANK(Programatico!G9),"",(Programatico!G9))</f>
        <v>De las 87 embarazadas dx durante este año 86 recibieron TAR, una fue diagnósticada en el momento del parto, ya que no llevo controles prenatales, por lo que no recibio TAR.</v>
      </c>
      <c r="E30" s="618"/>
      <c r="F30" s="618"/>
      <c r="G30" s="618"/>
      <c r="H30" s="420"/>
      <c r="I30" s="619"/>
      <c r="J30" s="619"/>
      <c r="K30" s="619"/>
      <c r="L30" s="619"/>
      <c r="M30" s="619"/>
      <c r="N30" s="619"/>
      <c r="O30" s="423"/>
    </row>
    <row r="31" spans="1:15" ht="127.5" customHeight="1">
      <c r="A31" s="383"/>
      <c r="B31" s="435" t="s">
        <v>286</v>
      </c>
      <c r="C31" s="436"/>
      <c r="D31" s="618" t="str">
        <f>IF(ISBLANK(Programatico!M9),"",(Programatico!M9))</f>
        <v>El resultado de este indicador proviene de todas  las post consejerías de las UCSF  a nivel nacional no solamente de las clínicas VICITS, además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y contrareferencia, el subregistro y la ampliación de la cobertura para la toma de la prueba de VIH</v>
      </c>
      <c r="E31" s="618"/>
      <c r="F31" s="618"/>
      <c r="G31" s="618"/>
      <c r="H31" s="420"/>
      <c r="I31" s="619"/>
      <c r="J31" s="619"/>
      <c r="K31" s="619"/>
      <c r="L31" s="619"/>
      <c r="M31" s="619"/>
      <c r="N31" s="619"/>
      <c r="O31" s="423"/>
    </row>
    <row r="32" spans="1:15" ht="207" customHeight="1">
      <c r="A32" s="383"/>
      <c r="B32" s="437" t="s">
        <v>89</v>
      </c>
      <c r="C32" s="436"/>
      <c r="D32" s="620" t="str">
        <f>IF(ISBLANK(Programatico!L20),"",(Programatico!L20))</f>
        <v>Actualmente el 100% de los usuarios que consultan a los Hospitales con TAR y que cumplen criterios para iniciar la misma se encuentran recibiendo tratamiento. No existen listas de espera.</v>
      </c>
      <c r="E32" s="620"/>
      <c r="F32" s="620"/>
      <c r="G32" s="620"/>
      <c r="H32" s="420"/>
      <c r="I32" s="619"/>
      <c r="J32" s="619"/>
      <c r="K32" s="619"/>
      <c r="L32" s="619"/>
      <c r="M32" s="619"/>
      <c r="N32" s="619"/>
      <c r="O32" s="423"/>
    </row>
    <row r="33" spans="1:15" ht="150" customHeight="1">
      <c r="A33" s="383"/>
      <c r="B33" s="437" t="s">
        <v>90</v>
      </c>
      <c r="C33" s="436"/>
      <c r="D33" s="620" t="str">
        <f>IF(ISBLANK(Programatico!L21),"",(Programatico!L21))</f>
        <v>El 99% (86) de las embarazadas diagnosticadas durante el período de enero a junio 2,016 recibieron TAR. La única embarazada que no recibió TAR fue dx post parto, ya que no llevo controles.</v>
      </c>
      <c r="E33" s="620"/>
      <c r="F33" s="620"/>
      <c r="G33" s="620"/>
      <c r="H33" s="420"/>
      <c r="I33" s="619"/>
      <c r="J33" s="619"/>
      <c r="K33" s="619"/>
      <c r="L33" s="619"/>
      <c r="M33" s="619"/>
      <c r="N33" s="619"/>
      <c r="O33" s="423"/>
    </row>
    <row r="34" spans="1:15" ht="186" customHeight="1">
      <c r="A34" s="383"/>
      <c r="B34" s="437" t="s">
        <v>91</v>
      </c>
      <c r="C34" s="436"/>
      <c r="D34" s="620" t="str">
        <f>IF(ISBLANK(Programatico!L22),"",(Programatico!L22))</f>
        <v>El resultado de este indicador proviene de todas las post consejerías de las UCSF  a nivel nacional no solamente de las clínicas VICITS, ademas sumadas a estas se encuentran las post consejerías que se han brindado en las tomas de pruebas de VIH a través de las Unidades Móviles de PLAN Internacional. A pesar del esfuerzo realizado si bien es cierto el resultado ha mejorado, aun no se alcanza ni el 60% de la meta programada, por lo que se realizaran nuevas estrategias guiadas a mejorar el sistema de referencia efectiva y contrareferencia, el subregistro y la ampliación de la cobertura para la toma de la prueba de VIH. No obstante los resultados del año 2015 fueron 16%, 30%, 32%, recordando que estos fueron los resultados a 12 meses, observando una mejoría en las poblaciones de HSH y TS, no así en el de la población trans, la cual ha ido disminuyendo y la cual el año pasado se alcanzo con la ayuda de los resultados del estudio de tamaño poblacional realizado por Plan.</v>
      </c>
      <c r="E34" s="620"/>
      <c r="F34" s="620"/>
      <c r="G34" s="620"/>
      <c r="H34" s="420"/>
      <c r="I34" s="619"/>
      <c r="J34" s="619"/>
      <c r="K34" s="619"/>
      <c r="L34" s="619"/>
      <c r="M34" s="619"/>
      <c r="N34" s="619"/>
      <c r="O34" s="423"/>
    </row>
    <row r="35" spans="1:15" ht="217.5" customHeight="1">
      <c r="A35" s="383"/>
      <c r="B35" s="437" t="s">
        <v>92</v>
      </c>
      <c r="C35" s="438"/>
      <c r="D35" s="620">
        <f>IF(ISBLANK(Programatico!L23),"",(Programatico!L23))</f>
      </c>
      <c r="E35" s="620"/>
      <c r="F35" s="620"/>
      <c r="G35" s="620"/>
      <c r="H35" s="420"/>
      <c r="I35" s="619"/>
      <c r="J35" s="619"/>
      <c r="K35" s="619"/>
      <c r="L35" s="619"/>
      <c r="M35" s="619"/>
      <c r="N35" s="619"/>
      <c r="O35" s="423"/>
    </row>
    <row r="36" spans="1:15" ht="94.5" customHeight="1">
      <c r="A36" s="383"/>
      <c r="B36" s="437" t="s">
        <v>72</v>
      </c>
      <c r="C36" s="438"/>
      <c r="D36" s="620">
        <f>IF(ISBLANK(Programatico!L24),"",(Programatico!L24))</f>
      </c>
      <c r="E36" s="620"/>
      <c r="F36" s="620"/>
      <c r="G36" s="620"/>
      <c r="H36" s="420"/>
      <c r="I36" s="619"/>
      <c r="J36" s="619"/>
      <c r="K36" s="619"/>
      <c r="L36" s="619"/>
      <c r="M36" s="619"/>
      <c r="N36" s="619"/>
      <c r="O36" s="423"/>
    </row>
    <row r="37" spans="1:15" ht="129.75" customHeight="1">
      <c r="A37" s="383"/>
      <c r="B37" s="437" t="s">
        <v>93</v>
      </c>
      <c r="C37" s="438"/>
      <c r="D37" s="620" t="str">
        <f>IF(ISBLANK(Programatico!L25),"",(Programatico!L25))</f>
        <v>De 11072 usuarios con VIH que consultaron a las clínicas TAR se le realizo descarte de TB a 7062</v>
      </c>
      <c r="E37" s="620"/>
      <c r="F37" s="620"/>
      <c r="G37" s="620"/>
      <c r="H37" s="420"/>
      <c r="I37" s="619"/>
      <c r="J37" s="619"/>
      <c r="K37" s="619"/>
      <c r="L37" s="619"/>
      <c r="M37" s="619"/>
      <c r="N37" s="619"/>
      <c r="O37" s="423"/>
    </row>
    <row r="38" spans="1:15" ht="254.25" customHeight="1">
      <c r="A38" s="383"/>
      <c r="B38" s="437" t="s">
        <v>94</v>
      </c>
      <c r="C38" s="438"/>
      <c r="D38" s="620" t="str">
        <f>IF(ISBLANK(Programatico!L29),"",(Programatico!L29))</f>
        <v>El trabajo con Centros Penales durante el año 2016 ha sido complicado debido a las medidas extraordinarias implementadas este año en los Centros penales y al cierre de dos de estos, las dificultades las actividades se continuaron realizando y se ha logrado tamizar a las PPL. El resultado de este indicador se esta reportando en base al número de personas, no al de número de pruebas.</v>
      </c>
      <c r="E38" s="620"/>
      <c r="F38" s="620"/>
      <c r="G38" s="620"/>
      <c r="H38" s="420"/>
      <c r="I38" s="619"/>
      <c r="J38" s="619"/>
      <c r="K38" s="619"/>
      <c r="L38" s="619"/>
      <c r="M38" s="619"/>
      <c r="N38" s="619"/>
      <c r="O38" s="423"/>
    </row>
    <row r="39" spans="1:15" ht="87.75" customHeight="1">
      <c r="A39" s="383"/>
      <c r="B39" s="437" t="s">
        <v>95</v>
      </c>
      <c r="C39" s="438"/>
      <c r="D39" s="620" t="str">
        <f>IF(ISBLANK(Programatico!L32),"",(Programatico!L32))</f>
        <v>Este indicador se encuentra en construcción debido a las nuevas actualizaciones que se le han realizado al SIAPS.</v>
      </c>
      <c r="E39" s="620"/>
      <c r="F39" s="620"/>
      <c r="G39" s="620"/>
      <c r="H39" s="420"/>
      <c r="I39" s="619"/>
      <c r="J39" s="619"/>
      <c r="K39" s="619"/>
      <c r="L39" s="619"/>
      <c r="M39" s="619"/>
      <c r="N39" s="619"/>
      <c r="O39" s="423"/>
    </row>
    <row r="40" spans="1:15" ht="54" customHeight="1">
      <c r="A40" s="383"/>
      <c r="B40" s="437" t="s">
        <v>96</v>
      </c>
      <c r="C40" s="438"/>
      <c r="D40" s="620" t="str">
        <f>IF(ISBLANK(Programatico!L33),"",(Programatico!L33))</f>
        <v>Este indicador se encuentra en construcción debido a las nuevas actualizaciones que se le han realizado al SIAPS.</v>
      </c>
      <c r="E40" s="620"/>
      <c r="F40" s="620"/>
      <c r="G40" s="620"/>
      <c r="H40" s="420"/>
      <c r="I40" s="619"/>
      <c r="J40" s="619"/>
      <c r="K40" s="619"/>
      <c r="L40" s="619"/>
      <c r="M40" s="619"/>
      <c r="N40" s="619"/>
      <c r="O40" s="423"/>
    </row>
    <row r="41" spans="1:15" ht="81" customHeight="1">
      <c r="A41" s="383"/>
      <c r="B41" s="437" t="s">
        <v>97</v>
      </c>
      <c r="C41" s="439"/>
      <c r="D41" s="620" t="e">
        <f>IF(ISBLANK(Programatico!#REF!),"",(Programatico!#REF!))</f>
        <v>#REF!</v>
      </c>
      <c r="E41" s="620"/>
      <c r="F41" s="620"/>
      <c r="G41" s="620"/>
      <c r="H41" s="420"/>
      <c r="I41" s="621"/>
      <c r="J41" s="621"/>
      <c r="K41" s="621"/>
      <c r="L41" s="621"/>
      <c r="M41" s="621"/>
      <c r="N41" s="621"/>
      <c r="O41" s="423"/>
    </row>
  </sheetData>
  <sheetProtection selectLockedCells="1" selectUnlockedCells="1"/>
  <mergeCells count="65">
    <mergeCell ref="D41:G41"/>
    <mergeCell ref="I41:N41"/>
    <mergeCell ref="D38:G38"/>
    <mergeCell ref="I38:N38"/>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D23:G23"/>
    <mergeCell ref="I23:N23"/>
    <mergeCell ref="D24:G24"/>
    <mergeCell ref="I24:N24"/>
    <mergeCell ref="B26:N26"/>
    <mergeCell ref="B28:C28"/>
    <mergeCell ref="D28:G28"/>
    <mergeCell ref="I28:N28"/>
    <mergeCell ref="D20:G20"/>
    <mergeCell ref="I20:N20"/>
    <mergeCell ref="D21:G21"/>
    <mergeCell ref="I21:N21"/>
    <mergeCell ref="D22:G22"/>
    <mergeCell ref="I22:N22"/>
    <mergeCell ref="B16:N16"/>
    <mergeCell ref="B18:C18"/>
    <mergeCell ref="D18:G18"/>
    <mergeCell ref="I18:N18"/>
    <mergeCell ref="D19:G19"/>
    <mergeCell ref="I19:N19"/>
    <mergeCell ref="D12:G12"/>
    <mergeCell ref="I12:N12"/>
    <mergeCell ref="D13:G13"/>
    <mergeCell ref="I13:N13"/>
    <mergeCell ref="D14:G14"/>
    <mergeCell ref="I14:N14"/>
    <mergeCell ref="E6:K6"/>
    <mergeCell ref="B8:N8"/>
    <mergeCell ref="B10:C10"/>
    <mergeCell ref="D10:G10"/>
    <mergeCell ref="I10:N10"/>
    <mergeCell ref="D11:G11"/>
    <mergeCell ref="I11:N11"/>
    <mergeCell ref="B2:N2"/>
    <mergeCell ref="C3:D3"/>
    <mergeCell ref="E3:K3"/>
    <mergeCell ref="C4:D4"/>
    <mergeCell ref="E4:K4"/>
    <mergeCell ref="E5:K5"/>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tabSelected="1" zoomScale="70" zoomScaleNormal="70" zoomScaleSheetLayoutView="100" zoomScalePageLayoutView="0" workbookViewId="0" topLeftCell="A1">
      <selection activeCell="B18" sqref="B18:E19"/>
    </sheetView>
  </sheetViews>
  <sheetFormatPr defaultColWidth="9.140625" defaultRowHeight="15"/>
  <cols>
    <col min="1" max="1" width="23.8515625" style="0" customWidth="1"/>
    <col min="2" max="2" width="46.00390625" style="0" customWidth="1"/>
    <col min="3" max="4" width="8.8515625" style="0" customWidth="1"/>
    <col min="5" max="5" width="19.00390625" style="0" customWidth="1"/>
    <col min="6" max="6" width="1.421875" style="0" customWidth="1"/>
    <col min="7" max="7" width="11.421875" style="0" customWidth="1"/>
    <col min="8" max="8" width="9.57421875" style="0" customWidth="1"/>
    <col min="9" max="9" width="8.8515625" style="0" customWidth="1"/>
    <col min="10" max="10" width="98.28125" style="0" customWidth="1"/>
    <col min="11" max="11" width="44.421875" style="0" customWidth="1"/>
    <col min="12" max="12" width="59.7109375" style="0" customWidth="1"/>
  </cols>
  <sheetData>
    <row r="1" ht="30.75" customHeight="1"/>
    <row r="2" spans="2:12" ht="27.75" customHeight="1">
      <c r="B2" s="561" t="str">
        <f>+"Cuadro de mando:  "&amp;"  "&amp;+'Introducción de datos'!C4&amp;" - "&amp;'Introducción de datos'!G6</f>
        <v>Cuadro de mando:    El Salvador - VIH / SIDA</v>
      </c>
      <c r="C2" s="561"/>
      <c r="D2" s="561"/>
      <c r="E2" s="561"/>
      <c r="F2" s="561"/>
      <c r="G2" s="561"/>
      <c r="H2" s="561"/>
      <c r="I2" s="561"/>
      <c r="J2" s="561"/>
      <c r="K2" s="561"/>
      <c r="L2" s="561"/>
    </row>
    <row r="3" spans="2:13" ht="15">
      <c r="B3" s="331" t="str">
        <f>+'Introducción de datos'!G8</f>
        <v>SSF/NMF</v>
      </c>
      <c r="C3" s="562" t="str">
        <f>+'Introducción de datos'!I8</f>
        <v>Fase 1</v>
      </c>
      <c r="D3" s="562"/>
      <c r="E3" s="563"/>
      <c r="F3" s="563"/>
      <c r="G3" s="563"/>
      <c r="H3" s="563"/>
      <c r="I3" s="563"/>
      <c r="J3" s="564" t="str">
        <f>+'Introducción de datos'!B16</f>
        <v>Periodo:</v>
      </c>
      <c r="K3" s="564"/>
      <c r="L3" s="356" t="str">
        <f>+'Introducción de datos'!C16</f>
        <v>P5</v>
      </c>
      <c r="M3" s="440"/>
    </row>
    <row r="4" spans="2:12" ht="15">
      <c r="B4" s="331" t="str">
        <f>+'Introducción de datos'!B12</f>
        <v>Ultima calificación:</v>
      </c>
      <c r="C4" s="622" t="str">
        <f>+'Introducción de datos'!C12</f>
        <v>B2</v>
      </c>
      <c r="D4" s="622"/>
      <c r="E4" s="563" t="str">
        <f>+'Introducción de datos'!C8</f>
        <v>Ministerio de Salud </v>
      </c>
      <c r="F4" s="563"/>
      <c r="G4" s="563"/>
      <c r="H4" s="563"/>
      <c r="I4" s="563"/>
      <c r="J4" s="564" t="str">
        <f>+'Introducción de datos'!D16</f>
        <v>Desde:</v>
      </c>
      <c r="K4" s="564"/>
      <c r="L4" s="303">
        <f>+'Introducción de datos'!E16</f>
        <v>42370</v>
      </c>
    </row>
    <row r="5" spans="2:12" ht="18.75" customHeight="1">
      <c r="B5" s="331"/>
      <c r="C5" s="331"/>
      <c r="D5" s="563" t="str">
        <f>+'Introducción de datos'!G4</f>
        <v>INNOVANDO SERVICIOS, REDUCIENDO RIESGOS, RENOVANDO VIDAS EN EL SALVADOR</v>
      </c>
      <c r="E5" s="563"/>
      <c r="F5" s="563"/>
      <c r="G5" s="563"/>
      <c r="H5" s="563"/>
      <c r="I5" s="563"/>
      <c r="J5" s="563"/>
      <c r="K5" s="331" t="str">
        <f>+'Introducción de datos'!F16</f>
        <v>Hasta:</v>
      </c>
      <c r="L5" s="303">
        <f>+'Introducción de datos'!G16</f>
        <v>42551</v>
      </c>
    </row>
    <row r="6" spans="2:9" ht="18.75">
      <c r="B6" s="332"/>
      <c r="C6" s="331"/>
      <c r="D6" s="305"/>
      <c r="E6" s="569" t="s">
        <v>287</v>
      </c>
      <c r="F6" s="569"/>
      <c r="G6" s="569"/>
      <c r="H6" s="569"/>
      <c r="I6" s="569"/>
    </row>
    <row r="7" spans="5:9" ht="18.75">
      <c r="E7" s="441"/>
      <c r="F7" s="441"/>
      <c r="G7" s="441"/>
      <c r="H7" s="441"/>
      <c r="I7" s="441"/>
    </row>
    <row r="8" spans="2:12" s="390" customFormat="1" ht="21" customHeight="1">
      <c r="B8" s="442" t="s">
        <v>288</v>
      </c>
      <c r="C8" s="443"/>
      <c r="D8" s="443"/>
      <c r="E8" s="443"/>
      <c r="F8" s="443"/>
      <c r="G8" s="443"/>
      <c r="H8" s="443"/>
      <c r="I8" s="443"/>
      <c r="J8" s="443"/>
      <c r="K8" s="443"/>
      <c r="L8" s="443"/>
    </row>
    <row r="9" ht="6" customHeight="1">
      <c r="B9" s="444"/>
    </row>
    <row r="10" spans="2:12" ht="15">
      <c r="B10" s="623"/>
      <c r="C10" s="623"/>
      <c r="D10" s="623"/>
      <c r="E10" s="623"/>
      <c r="F10" s="623"/>
      <c r="G10" s="623"/>
      <c r="H10" s="623"/>
      <c r="I10" s="623"/>
      <c r="J10" s="623"/>
      <c r="K10" s="623"/>
      <c r="L10" s="623"/>
    </row>
    <row r="11" spans="2:12" ht="15">
      <c r="B11" s="623"/>
      <c r="C11" s="623"/>
      <c r="D11" s="623"/>
      <c r="E11" s="623"/>
      <c r="F11" s="623"/>
      <c r="G11" s="623"/>
      <c r="H11" s="623"/>
      <c r="I11" s="623"/>
      <c r="J11" s="623"/>
      <c r="K11" s="623"/>
      <c r="L11" s="623"/>
    </row>
    <row r="13" spans="1:12" ht="42" customHeight="1">
      <c r="A13" s="445"/>
      <c r="B13" s="624" t="s">
        <v>398</v>
      </c>
      <c r="C13" s="624"/>
      <c r="D13" s="624"/>
      <c r="E13" s="624"/>
      <c r="F13" s="446"/>
      <c r="G13" s="625" t="s">
        <v>289</v>
      </c>
      <c r="H13" s="625"/>
      <c r="I13" s="625"/>
      <c r="J13" s="447" t="s">
        <v>290</v>
      </c>
      <c r="K13" s="626" t="s">
        <v>291</v>
      </c>
      <c r="L13" s="626"/>
    </row>
    <row r="14" spans="1:12" ht="33.75" customHeight="1">
      <c r="A14" s="627" t="s">
        <v>111</v>
      </c>
      <c r="B14" s="628" t="s">
        <v>396</v>
      </c>
      <c r="C14" s="628"/>
      <c r="D14" s="628"/>
      <c r="E14" s="628"/>
      <c r="F14" s="97"/>
      <c r="G14" s="629"/>
      <c r="H14" s="629"/>
      <c r="I14" s="629"/>
      <c r="J14" s="630"/>
      <c r="K14" s="631"/>
      <c r="L14" s="631"/>
    </row>
    <row r="15" spans="1:12" ht="22.5" customHeight="1">
      <c r="A15" s="627"/>
      <c r="B15" s="628"/>
      <c r="C15" s="628"/>
      <c r="D15" s="628"/>
      <c r="E15" s="628"/>
      <c r="F15" s="97"/>
      <c r="G15" s="629"/>
      <c r="H15" s="629"/>
      <c r="I15" s="629"/>
      <c r="J15" s="630"/>
      <c r="K15" s="631"/>
      <c r="L15" s="631"/>
    </row>
    <row r="16" spans="1:12" ht="25.5" customHeight="1">
      <c r="A16" s="627"/>
      <c r="B16" s="628" t="s">
        <v>399</v>
      </c>
      <c r="C16" s="628"/>
      <c r="D16" s="628"/>
      <c r="E16" s="628"/>
      <c r="F16" s="97"/>
      <c r="G16" s="632"/>
      <c r="H16" s="632"/>
      <c r="I16" s="632"/>
      <c r="J16" s="633"/>
      <c r="K16" s="634"/>
      <c r="L16" s="634"/>
    </row>
    <row r="17" spans="1:12" ht="38.25" customHeight="1">
      <c r="A17" s="627"/>
      <c r="B17" s="628"/>
      <c r="C17" s="628"/>
      <c r="D17" s="628"/>
      <c r="E17" s="628"/>
      <c r="F17" s="97"/>
      <c r="G17" s="632"/>
      <c r="H17" s="632"/>
      <c r="I17" s="632"/>
      <c r="J17" s="633"/>
      <c r="K17" s="634"/>
      <c r="L17" s="634"/>
    </row>
    <row r="18" spans="1:12" ht="15">
      <c r="A18" s="627"/>
      <c r="B18" s="628" t="s">
        <v>400</v>
      </c>
      <c r="C18" s="628"/>
      <c r="D18" s="628"/>
      <c r="E18" s="628"/>
      <c r="F18" s="97"/>
      <c r="G18" s="635"/>
      <c r="H18" s="635"/>
      <c r="I18" s="635"/>
      <c r="J18" s="636"/>
      <c r="K18" s="634"/>
      <c r="L18" s="634"/>
    </row>
    <row r="19" spans="1:12" ht="30.75" customHeight="1">
      <c r="A19" s="627"/>
      <c r="B19" s="628"/>
      <c r="C19" s="628"/>
      <c r="D19" s="628"/>
      <c r="E19" s="628"/>
      <c r="F19" s="97"/>
      <c r="G19" s="635"/>
      <c r="H19" s="635"/>
      <c r="I19" s="635"/>
      <c r="J19" s="636"/>
      <c r="K19" s="636"/>
      <c r="L19" s="634"/>
    </row>
    <row r="20" spans="1:12" ht="15">
      <c r="A20" s="627"/>
      <c r="B20" s="628" t="s">
        <v>401</v>
      </c>
      <c r="C20" s="628"/>
      <c r="D20" s="628"/>
      <c r="E20" s="628"/>
      <c r="F20" s="97"/>
      <c r="G20" s="637"/>
      <c r="H20" s="637"/>
      <c r="I20" s="637"/>
      <c r="J20" s="636"/>
      <c r="K20" s="634"/>
      <c r="L20" s="634"/>
    </row>
    <row r="21" spans="1:12" ht="15">
      <c r="A21" s="627"/>
      <c r="B21" s="628"/>
      <c r="C21" s="628"/>
      <c r="D21" s="628"/>
      <c r="E21" s="628"/>
      <c r="F21" s="97"/>
      <c r="G21" s="637"/>
      <c r="H21" s="637"/>
      <c r="I21" s="637"/>
      <c r="J21" s="636"/>
      <c r="K21" s="636"/>
      <c r="L21" s="634"/>
    </row>
    <row r="22" spans="1:12" ht="15">
      <c r="A22" s="627"/>
      <c r="B22" s="628" t="s">
        <v>402</v>
      </c>
      <c r="C22" s="628"/>
      <c r="D22" s="628"/>
      <c r="E22" s="628"/>
      <c r="F22" s="97"/>
      <c r="G22" s="637"/>
      <c r="H22" s="637"/>
      <c r="I22" s="637"/>
      <c r="J22" s="636"/>
      <c r="K22" s="634"/>
      <c r="L22" s="634"/>
    </row>
    <row r="23" spans="1:12" ht="15">
      <c r="A23" s="627"/>
      <c r="B23" s="628"/>
      <c r="C23" s="628"/>
      <c r="D23" s="628"/>
      <c r="E23" s="628"/>
      <c r="F23" s="97"/>
      <c r="G23" s="637"/>
      <c r="H23" s="637"/>
      <c r="I23" s="637"/>
      <c r="J23" s="636"/>
      <c r="K23" s="636"/>
      <c r="L23" s="634"/>
    </row>
    <row r="24" spans="1:12" ht="15">
      <c r="A24" s="627"/>
      <c r="B24" s="638"/>
      <c r="C24" s="638"/>
      <c r="D24" s="638"/>
      <c r="E24" s="638"/>
      <c r="F24" s="97"/>
      <c r="G24" s="639"/>
      <c r="H24" s="639"/>
      <c r="I24" s="639"/>
      <c r="J24" s="640"/>
      <c r="K24" s="641"/>
      <c r="L24" s="641"/>
    </row>
    <row r="25" spans="1:12" ht="15">
      <c r="A25" s="627"/>
      <c r="B25" s="638"/>
      <c r="C25" s="638"/>
      <c r="D25" s="638"/>
      <c r="E25" s="638"/>
      <c r="F25" s="97"/>
      <c r="G25" s="639"/>
      <c r="H25" s="639"/>
      <c r="I25" s="639"/>
      <c r="J25" s="640"/>
      <c r="K25" s="640"/>
      <c r="L25" s="641"/>
    </row>
    <row r="26" spans="1:12" ht="15">
      <c r="A26" s="445"/>
      <c r="B26" s="445"/>
      <c r="C26" s="445"/>
      <c r="D26" s="445"/>
      <c r="E26" s="445"/>
      <c r="F26" s="445"/>
      <c r="G26" s="445"/>
      <c r="H26" s="445"/>
      <c r="I26" s="445"/>
      <c r="J26" s="445"/>
      <c r="K26" s="445"/>
      <c r="L26" s="445"/>
    </row>
    <row r="27" spans="1:12" ht="18.75">
      <c r="A27" s="445"/>
      <c r="B27" s="445"/>
      <c r="C27" s="445"/>
      <c r="D27" s="445"/>
      <c r="E27" s="448" t="s">
        <v>292</v>
      </c>
      <c r="F27" s="449"/>
      <c r="G27" s="449"/>
      <c r="H27" s="449"/>
      <c r="I27" s="449"/>
      <c r="J27" s="445"/>
      <c r="K27" s="445"/>
      <c r="L27" s="445"/>
    </row>
    <row r="28" spans="1:12" ht="6" customHeight="1">
      <c r="A28" s="445"/>
      <c r="B28" s="445"/>
      <c r="C28" s="445"/>
      <c r="D28" s="445"/>
      <c r="E28" s="450"/>
      <c r="F28" s="450"/>
      <c r="G28" s="450"/>
      <c r="H28" s="450"/>
      <c r="I28" s="450"/>
      <c r="J28" s="445"/>
      <c r="K28" s="445"/>
      <c r="L28" s="445"/>
    </row>
    <row r="29" spans="1:12" s="390" customFormat="1" ht="21" customHeight="1">
      <c r="A29" s="451"/>
      <c r="B29" s="442" t="s">
        <v>293</v>
      </c>
      <c r="C29" s="452"/>
      <c r="D29" s="452"/>
      <c r="E29" s="452"/>
      <c r="F29" s="452"/>
      <c r="G29" s="452"/>
      <c r="H29" s="452"/>
      <c r="I29" s="452"/>
      <c r="J29" s="452"/>
      <c r="K29" s="452"/>
      <c r="L29" s="452"/>
    </row>
    <row r="30" spans="1:12" ht="6" customHeight="1">
      <c r="A30" s="445"/>
      <c r="B30" s="453"/>
      <c r="C30" s="445"/>
      <c r="D30" s="445"/>
      <c r="E30" s="445"/>
      <c r="F30" s="445"/>
      <c r="G30" s="445"/>
      <c r="H30" s="445"/>
      <c r="I30" s="445"/>
      <c r="J30" s="445"/>
      <c r="K30" s="445"/>
      <c r="L30" s="445"/>
    </row>
    <row r="31" spans="1:12" ht="45" customHeight="1">
      <c r="A31" s="445"/>
      <c r="B31" s="624" t="s">
        <v>289</v>
      </c>
      <c r="C31" s="624"/>
      <c r="D31" s="624"/>
      <c r="E31" s="624"/>
      <c r="F31" s="446"/>
      <c r="G31" s="625" t="s">
        <v>294</v>
      </c>
      <c r="H31" s="625"/>
      <c r="I31" s="625"/>
      <c r="J31" s="447" t="s">
        <v>290</v>
      </c>
      <c r="K31" s="626" t="s">
        <v>291</v>
      </c>
      <c r="L31" s="626"/>
    </row>
    <row r="32" spans="1:12" ht="18.75" customHeight="1">
      <c r="A32" s="627" t="s">
        <v>295</v>
      </c>
      <c r="B32" s="642"/>
      <c r="C32" s="642"/>
      <c r="D32" s="642"/>
      <c r="E32" s="642"/>
      <c r="F32" s="97"/>
      <c r="G32" s="643"/>
      <c r="H32" s="643"/>
      <c r="I32" s="643"/>
      <c r="J32" s="644"/>
      <c r="K32" s="645"/>
      <c r="L32" s="645"/>
    </row>
    <row r="33" spans="1:12" ht="18.75" customHeight="1">
      <c r="A33" s="627"/>
      <c r="B33" s="642"/>
      <c r="C33" s="642"/>
      <c r="D33" s="642"/>
      <c r="E33" s="642"/>
      <c r="F33" s="97"/>
      <c r="G33" s="643"/>
      <c r="H33" s="643"/>
      <c r="I33" s="643"/>
      <c r="J33" s="644"/>
      <c r="K33" s="644"/>
      <c r="L33" s="645"/>
    </row>
    <row r="34" spans="1:12" ht="18.75" customHeight="1">
      <c r="A34" s="627"/>
      <c r="B34" s="646">
        <f>IF(Recomendaciones!I43="","",Recomendaciones!I43)</f>
      </c>
      <c r="C34" s="646"/>
      <c r="D34" s="646"/>
      <c r="E34" s="646"/>
      <c r="F34" s="97"/>
      <c r="G34" s="647"/>
      <c r="H34" s="647"/>
      <c r="I34" s="647"/>
      <c r="J34" s="648"/>
      <c r="K34" s="649"/>
      <c r="L34" s="649"/>
    </row>
    <row r="35" spans="1:12" ht="18.75" customHeight="1">
      <c r="A35" s="627"/>
      <c r="B35" s="646"/>
      <c r="C35" s="646"/>
      <c r="D35" s="646"/>
      <c r="E35" s="646"/>
      <c r="F35" s="97"/>
      <c r="G35" s="647"/>
      <c r="H35" s="647"/>
      <c r="I35" s="647"/>
      <c r="J35" s="648"/>
      <c r="K35" s="648"/>
      <c r="L35" s="649"/>
    </row>
    <row r="36" spans="1:12" ht="18.75" customHeight="1">
      <c r="A36" s="627"/>
      <c r="B36" s="646">
        <f>+IF(Recomendaciones!I53="","",Recomendaciones!I53)</f>
      </c>
      <c r="C36" s="646"/>
      <c r="D36" s="646"/>
      <c r="E36" s="646"/>
      <c r="F36" s="97"/>
      <c r="G36" s="647"/>
      <c r="H36" s="647"/>
      <c r="I36" s="647"/>
      <c r="J36" s="648"/>
      <c r="K36" s="649"/>
      <c r="L36" s="649"/>
    </row>
    <row r="37" spans="1:12" ht="18.75" customHeight="1">
      <c r="A37" s="627"/>
      <c r="B37" s="646"/>
      <c r="C37" s="646"/>
      <c r="D37" s="646"/>
      <c r="E37" s="646"/>
      <c r="F37" s="97"/>
      <c r="G37" s="647"/>
      <c r="H37" s="647"/>
      <c r="I37" s="647"/>
      <c r="J37" s="648"/>
      <c r="K37" s="648"/>
      <c r="L37" s="649"/>
    </row>
    <row r="38" spans="1:12" ht="18.75" customHeight="1">
      <c r="A38" s="627"/>
      <c r="B38" s="646"/>
      <c r="C38" s="646"/>
      <c r="D38" s="646"/>
      <c r="E38" s="646"/>
      <c r="F38" s="97"/>
      <c r="G38" s="647"/>
      <c r="H38" s="647"/>
      <c r="I38" s="647"/>
      <c r="J38" s="648"/>
      <c r="K38" s="649"/>
      <c r="L38" s="649"/>
    </row>
    <row r="39" spans="1:12" ht="18.75" customHeight="1">
      <c r="A39" s="627"/>
      <c r="B39" s="646"/>
      <c r="C39" s="646"/>
      <c r="D39" s="646"/>
      <c r="E39" s="646"/>
      <c r="F39" s="97"/>
      <c r="G39" s="647"/>
      <c r="H39" s="647"/>
      <c r="I39" s="647"/>
      <c r="J39" s="648"/>
      <c r="K39" s="648"/>
      <c r="L39" s="649"/>
    </row>
    <row r="40" spans="1:12" ht="18.75" customHeight="1">
      <c r="A40" s="627"/>
      <c r="B40" s="646"/>
      <c r="C40" s="646"/>
      <c r="D40" s="646"/>
      <c r="E40" s="646"/>
      <c r="F40" s="97"/>
      <c r="G40" s="647"/>
      <c r="H40" s="647"/>
      <c r="I40" s="647"/>
      <c r="J40" s="648"/>
      <c r="K40" s="649"/>
      <c r="L40" s="649"/>
    </row>
    <row r="41" spans="1:12" ht="18.75" customHeight="1">
      <c r="A41" s="627"/>
      <c r="B41" s="646"/>
      <c r="C41" s="646"/>
      <c r="D41" s="646"/>
      <c r="E41" s="646"/>
      <c r="F41" s="97"/>
      <c r="G41" s="647"/>
      <c r="H41" s="647"/>
      <c r="I41" s="647"/>
      <c r="J41" s="648"/>
      <c r="K41" s="648"/>
      <c r="L41" s="649"/>
    </row>
    <row r="42" spans="1:12" ht="18.75" customHeight="1">
      <c r="A42" s="627"/>
      <c r="B42" s="650"/>
      <c r="C42" s="650"/>
      <c r="D42" s="650"/>
      <c r="E42" s="650"/>
      <c r="F42" s="97"/>
      <c r="G42" s="651"/>
      <c r="H42" s="651"/>
      <c r="I42" s="651"/>
      <c r="J42" s="652"/>
      <c r="K42" s="653"/>
      <c r="L42" s="653"/>
    </row>
    <row r="43" spans="1:12" ht="18.75" customHeight="1">
      <c r="A43" s="627"/>
      <c r="B43" s="650"/>
      <c r="C43" s="650"/>
      <c r="D43" s="650"/>
      <c r="E43" s="650"/>
      <c r="F43" s="97"/>
      <c r="G43" s="651"/>
      <c r="H43" s="651"/>
      <c r="I43" s="651"/>
      <c r="J43" s="652"/>
      <c r="K43" s="652"/>
      <c r="L43" s="653"/>
    </row>
  </sheetData>
  <sheetProtection selectLockedCells="1" selectUnlockedCells="1"/>
  <mergeCells count="66">
    <mergeCell ref="B42:E43"/>
    <mergeCell ref="G42:I43"/>
    <mergeCell ref="J42:J43"/>
    <mergeCell ref="K42:L43"/>
    <mergeCell ref="B38:E39"/>
    <mergeCell ref="G38:I39"/>
    <mergeCell ref="J38:J39"/>
    <mergeCell ref="K38:L39"/>
    <mergeCell ref="B40:E41"/>
    <mergeCell ref="G40:I41"/>
    <mergeCell ref="J40:J41"/>
    <mergeCell ref="K40:L41"/>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B22:E23"/>
    <mergeCell ref="G22:I23"/>
    <mergeCell ref="J22:J23"/>
    <mergeCell ref="K22:L23"/>
    <mergeCell ref="B24:E25"/>
    <mergeCell ref="G24:I25"/>
    <mergeCell ref="J24:J25"/>
    <mergeCell ref="K24:L25"/>
    <mergeCell ref="G18:I19"/>
    <mergeCell ref="J18:J19"/>
    <mergeCell ref="K18:L19"/>
    <mergeCell ref="B20:E21"/>
    <mergeCell ref="G20:I21"/>
    <mergeCell ref="J20:J21"/>
    <mergeCell ref="K20:L21"/>
    <mergeCell ref="A14:A25"/>
    <mergeCell ref="B14:E15"/>
    <mergeCell ref="G14:I15"/>
    <mergeCell ref="J14:J15"/>
    <mergeCell ref="K14:L15"/>
    <mergeCell ref="B16:E17"/>
    <mergeCell ref="G16:I17"/>
    <mergeCell ref="J16:J17"/>
    <mergeCell ref="K16:L17"/>
    <mergeCell ref="B18:E19"/>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16762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Maria Leydies Portillo</cp:lastModifiedBy>
  <cp:lastPrinted>2016-02-23T13:43:37Z</cp:lastPrinted>
  <dcterms:created xsi:type="dcterms:W3CDTF">2008-11-20T16:06:13Z</dcterms:created>
  <dcterms:modified xsi:type="dcterms:W3CDTF">2016-10-12T23:06:58Z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