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75" tabRatio="820" firstSheet="2" activeTab="5"/>
  </bookViews>
  <sheets>
    <sheet name="Menú" sheetId="1" r:id="rId1"/>
    <sheet name="Lista de indicadores" sheetId="2" r:id="rId2"/>
    <sheet name="Información de la subvención" sheetId="3" r:id="rId3"/>
    <sheet name="Introducción de datos" sheetId="4" r:id="rId4"/>
    <sheet name="Financiamiento" sheetId="5" r:id="rId5"/>
    <sheet name="Gestión" sheetId="6" r:id="rId6"/>
    <sheet name="Programatico" sheetId="7" r:id="rId7"/>
    <sheet name="Recomendaciones" sheetId="8" r:id="rId8"/>
    <sheet name="Acciones" sheetId="9" r:id="rId9"/>
    <sheet name="Setup" sheetId="10" state="hidden" r:id="rId10"/>
    <sheet name="Hojas de trabajo" sheetId="11" r:id="rId11"/>
  </sheets>
  <externalReferences>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'Gestión'!$A$1:$L$36</definedName>
    <definedName name="_xlnm.Print_Area" localSheetId="2">'Información de la subvención'!$A$1:$K$15</definedName>
    <definedName name="_xlnm.Print_Area" localSheetId="3">'Introducción de datos'!$A$1:$Q$175</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datos'!$B$25:$J$68</definedName>
    <definedName name="PrintDataM">'Introducción de datos'!$B$70:$H$123</definedName>
    <definedName name="PrintF">'Financiamiento'!$A$2:$K$32</definedName>
    <definedName name="PrintGD">'Información de la subvención'!$A$2:$J$13</definedName>
    <definedName name="PrintM" localSheetId="8">'Acciones'!$A$2:$L$6</definedName>
    <definedName name="PrintM">'Gestión'!$A$2:$L$38</definedName>
    <definedName name="PrintP">'Programatico'!$A$2:$P$26</definedName>
    <definedName name="PrintR">'Recomendaciones'!$A$2:$N$41</definedName>
    <definedName name="Rating">'Setup'!$G$9:$G$14</definedName>
    <definedName name="Round">'Setup'!$D$9:$D$21</definedName>
  </definedNames>
  <calcPr fullCalcOnLoad="1"/>
</workbook>
</file>

<file path=xl/comments4.xml><?xml version="1.0" encoding="utf-8"?>
<comments xmlns="http://schemas.openxmlformats.org/spreadsheetml/2006/main">
  <authors>
    <author/>
    <author>Francisco Jos? Lemus</author>
  </authors>
  <commentList>
    <comment ref="B75" authorId="0">
      <text>
        <r>
          <rPr>
            <b/>
            <sz val="8"/>
            <color indexed="32"/>
            <rFont val="Tahoma"/>
            <family val="2"/>
          </rPr>
          <t xml:space="preserve">Si los datos no están disponibles, no introduzca ceros; deje las celdas de la tabla en blanco. </t>
        </r>
      </text>
    </comment>
    <comment ref="B76" authorId="0">
      <text>
        <r>
          <rPr>
            <b/>
            <sz val="8"/>
            <color indexed="32"/>
            <rFont val="Tahoma"/>
            <family val="2"/>
          </rPr>
          <t>Si los datos no están disponibles, no introduzca ceros; deje las celdas de esta tabla en blanco.</t>
        </r>
      </text>
    </comment>
    <comment ref="E100" authorId="1">
      <text>
        <r>
          <rPr>
            <b/>
            <sz val="9"/>
            <rFont val="Tahoma"/>
            <family val="2"/>
          </rPr>
          <t>Francisco José Lemus:</t>
        </r>
        <r>
          <rPr>
            <sz val="9"/>
            <rFont val="Tahoma"/>
            <family val="2"/>
          </rPr>
          <t xml:space="preserve">
compromiso que se pagara en este período + compromisos de PNUD
</t>
        </r>
      </text>
    </comment>
    <comment ref="E104" authorId="1">
      <text>
        <r>
          <rPr>
            <b/>
            <sz val="9"/>
            <rFont val="Tahoma"/>
            <family val="2"/>
          </rPr>
          <t>Francisco José Lemus:</t>
        </r>
        <r>
          <rPr>
            <sz val="9"/>
            <rFont val="Tahoma"/>
            <family val="2"/>
          </rPr>
          <t xml:space="preserve">
</t>
        </r>
      </text>
    </comment>
    <comment ref="E101" authorId="1">
      <text>
        <r>
          <rPr>
            <b/>
            <sz val="9"/>
            <rFont val="Tahoma"/>
            <family val="2"/>
          </rPr>
          <t>Francisco José Lemus:</t>
        </r>
        <r>
          <rPr>
            <sz val="9"/>
            <rFont val="Tahoma"/>
            <family val="2"/>
          </rPr>
          <t xml:space="preserve">
gastos de RP y gastos de PNUD</t>
        </r>
      </text>
    </comment>
  </commentList>
</comments>
</file>

<file path=xl/sharedStrings.xml><?xml version="1.0" encoding="utf-8"?>
<sst xmlns="http://schemas.openxmlformats.org/spreadsheetml/2006/main" count="592" uniqueCount="404">
  <si>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</si>
  <si>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</si>
  <si>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</si>
  <si>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</si>
  <si>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</si>
  <si>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</si>
  <si>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</si>
  <si>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</si>
  <si>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</si>
  <si>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</si>
  <si>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</si>
  <si>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</si>
  <si>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</si>
  <si>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</si>
  <si>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</si>
  <si>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</si>
  <si>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</si>
  <si>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</si>
  <si>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</si>
  <si>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</si>
  <si>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</si>
  <si>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</si>
  <si>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</si>
  <si>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</si>
  <si>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</si>
  <si>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</si>
  <si>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</si>
  <si>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</si>
  <si>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</si>
  <si>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</si>
  <si>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</si>
  <si>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</si>
  <si>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</si>
  <si>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</si>
  <si>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</si>
  <si>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</si>
  <si>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</si>
  <si>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</si>
  <si>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</si>
  <si>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</si>
  <si>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</si>
  <si>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</si>
  <si>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</si>
  <si>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</si>
  <si>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</si>
  <si>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</si>
  <si>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</si>
  <si>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</si>
  <si>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</si>
  <si>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</si>
  <si>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</si>
  <si>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</si>
  <si>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</si>
  <si>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</si>
  <si>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</si>
  <si>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</si>
  <si>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</si>
  <si>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</si>
  <si>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</si>
  <si>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</si>
  <si>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</si>
  <si>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</si>
  <si>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</si>
  <si>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</si>
  <si>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</si>
  <si>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</si>
  <si>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</si>
  <si>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</si>
  <si>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</si>
  <si>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</si>
  <si>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</si>
  <si>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</si>
  <si>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</si>
  <si>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</si>
  <si>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</si>
  <si>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</si>
  <si>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</si>
  <si>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</si>
  <si>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</si>
  <si>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</si>
  <si>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</si>
  <si>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</si>
  <si>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</si>
  <si>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</si>
  <si>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</si>
  <si>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</si>
  <si>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</si>
  <si>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</si>
  <si>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</si>
  <si>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</si>
  <si>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</si>
  <si>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</si>
  <si>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</si>
  <si>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</si>
  <si>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</si>
  <si>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</si>
  <si>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</si>
  <si>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</si>
  <si>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</si>
  <si>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</si>
  <si>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</si>
  <si>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</si>
  <si>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</si>
  <si>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</si>
  <si>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</si>
  <si>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</si>
  <si>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</si>
  <si>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</si>
  <si>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</si>
  <si>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</si>
  <si>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</si>
  <si>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</si>
  <si>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</si>
  <si>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</si>
  <si>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</si>
  <si>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</si>
  <si>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</si>
  <si>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</si>
  <si>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</si>
  <si>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</si>
  <si>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</si>
  <si>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</si>
  <si>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</si>
  <si>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</si>
  <si>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</si>
  <si>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</si>
  <si>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</si>
  <si>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</si>
  <si>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</si>
  <si>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</si>
  <si>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</si>
  <si>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</si>
  <si>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</si>
  <si>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</si>
  <si>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</si>
  <si>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</si>
  <si>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</si>
  <si>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</si>
  <si>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</si>
  <si>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</si>
  <si>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</si>
  <si>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</si>
  <si>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</si>
  <si>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</si>
  <si>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</si>
  <si>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</si>
  <si>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</si>
  <si>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</si>
  <si>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</si>
  <si>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</si>
  <si>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</si>
  <si>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</si>
  <si>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</si>
  <si>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</si>
  <si>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</si>
  <si>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</si>
  <si>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</si>
  <si>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</si>
  <si>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</si>
  <si>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</si>
  <si>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</si>
  <si>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</si>
  <si>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</si>
  <si>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</si>
  <si>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</si>
  <si>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</si>
  <si>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</si>
  <si>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</si>
  <si>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</si>
  <si>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</si>
  <si>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</si>
  <si>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</si>
  <si>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</si>
  <si>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</si>
  <si>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</si>
  <si>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</si>
  <si>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</si>
  <si>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</si>
  <si>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</si>
  <si>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</si>
  <si>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</si>
  <si>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</si>
  <si>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</si>
  <si>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</si>
  <si>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</si>
  <si>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</si>
  <si>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</si>
  <si>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</si>
  <si>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</si>
  <si>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</si>
  <si>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</si>
  <si>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</si>
  <si>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</si>
  <si>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</si>
  <si>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</si>
  <si>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</si>
  <si>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</si>
  <si>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</si>
  <si>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</si>
  <si>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</si>
  <si>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</si>
  <si>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</si>
  <si>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</si>
  <si>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</si>
  <si>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</si>
  <si>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</si>
  <si>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</si>
  <si>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</si>
  <si>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</si>
  <si>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</si>
  <si>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</si>
  <si>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</si>
  <si>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</si>
  <si>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</si>
  <si>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</si>
  <si>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</si>
  <si>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</si>
  <si>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</si>
  <si>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</si>
  <si>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</si>
  <si>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</si>
  <si>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</si>
  <si>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</si>
  <si>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</si>
  <si>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</si>
  <si>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</si>
  <si>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</si>
  <si>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</si>
  <si>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</si>
  <si>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</si>
  <si>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</si>
  <si>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</si>
  <si>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</si>
  <si>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</si>
  <si>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</si>
  <si>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</si>
  <si>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</si>
  <si>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</si>
  <si>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</si>
  <si>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</si>
  <si>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</si>
  <si>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</si>
  <si>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</si>
  <si>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</si>
  <si>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</si>
  <si>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</si>
  <si>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</si>
  <si>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</si>
  <si>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</si>
  <si>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</si>
  <si>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</si>
  <si>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</si>
  <si>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</si>
  <si>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</si>
  <si>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</si>
  <si>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</si>
  <si>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</si>
  <si>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</si>
  <si>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</si>
  <si>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</si>
  <si>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</si>
  <si>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</si>
  <si>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</si>
  <si>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</si>
  <si>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</si>
  <si>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</si>
  <si>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</si>
  <si>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</si>
  <si>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</si>
  <si>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</si>
  <si>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</si>
  <si>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</si>
  <si>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</si>
  <si>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</si>
  <si>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</si>
  <si>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</si>
  <si>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</si>
  <si>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</si>
  <si>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</si>
  <si>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</si>
  <si>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</si>
  <si>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</si>
  <si>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</si>
  <si>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</si>
  <si>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</si>
  <si>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</si>
  <si>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</si>
  <si>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</si>
  <si>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</si>
  <si>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</si>
  <si>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</si>
  <si>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</si>
  <si>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</si>
  <si>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</si>
  <si>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</si>
  <si>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</si>
  <si>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</si>
  <si>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</si>
  <si>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</si>
  <si>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</si>
  <si>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</si>
  <si>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</si>
  <si>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</si>
  <si>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</si>
  <si>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</si>
  <si>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</si>
  <si>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</si>
  <si>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</si>
  <si>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</si>
  <si>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</si>
  <si>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</si>
  <si>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</si>
  <si>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</si>
  <si>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</si>
  <si>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</si>
  <si>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COMENTARIOS CME -MCP</t>
  </si>
  <si>
    <t>SLV-H-PLAN</t>
  </si>
  <si>
    <t>PLAN  INTERNACIONAL</t>
  </si>
  <si>
    <t>INNOVANDO SERVICIOS, REDUCIENDO RIESGOS, RENOVANDO VIDAS EN EL SALVADOR</t>
  </si>
  <si>
    <t>GRUPO JACOBS</t>
  </si>
  <si>
    <t xml:space="preserve">UCP/PLAN </t>
  </si>
  <si>
    <t>SR al RP</t>
  </si>
  <si>
    <t>CONDONES FEMENINOS</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</si>
  <si>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</si>
  <si>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</si>
  <si>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</si>
  <si>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</si>
  <si>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</si>
  <si>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</si>
  <si>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</si>
  <si>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</si>
  <si>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</si>
  <si>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</si>
  <si>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</si>
  <si>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</si>
  <si>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</si>
  <si>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</si>
  <si>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</si>
  <si>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</si>
  <si>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</si>
  <si>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</si>
  <si>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</si>
  <si>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</si>
  <si>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</si>
  <si>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MANTAS DE LATEX</t>
  </si>
  <si>
    <t>No existieron condiciones precedentes</t>
  </si>
  <si>
    <t>CONDONES MASCULINOS (HSH)</t>
  </si>
  <si>
    <t>CONDONES MASCULINOS (TS)</t>
  </si>
  <si>
    <t>CONDONES MASCULINOS (TRANS)</t>
  </si>
  <si>
    <t>PRUEBAS RAPIDAS*</t>
  </si>
  <si>
    <t>LUBRICANTES/TUBOS HSH</t>
  </si>
  <si>
    <t>LUBRICANTES/TUBOS TS</t>
  </si>
  <si>
    <t>LUBRICANTES/TUBOS TRANS</t>
  </si>
  <si>
    <t>LUBRICANTES/SACHETS HSH</t>
  </si>
  <si>
    <t>LUBRICANTES/SACHETS TS</t>
  </si>
  <si>
    <t>LUBRICANTES/SACHETS TRANS</t>
  </si>
  <si>
    <t>12,931,489</t>
  </si>
  <si>
    <t>Días tardados en presentar el informe de progreso actualizado y solicitud de desembolso al ALF*</t>
  </si>
  <si>
    <t>Saldo en caja**</t>
  </si>
  <si>
    <t>Serena Buccini</t>
  </si>
  <si>
    <t>la compra de productos se hace toando como referencia el numeo maximo de condocnes por ciclo que se uepde etregar a cada usuario, sin embargo el 9 de diciembre se establecieron minimos y maximos para contar en ciclos cerrados a los usuarios. El promedio establece que no se han entregado maximos a las poblaciones durante el periodo, lo que nos da un un stop mayor a lo establecido por el RP.</t>
  </si>
  <si>
    <t xml:space="preserve">(3)
Número total de ususarios de productos de salud de las 3 poblaciones  atendidas </t>
  </si>
  <si>
    <t>Se esta en proceso de compra de pruebas</t>
  </si>
  <si>
    <t>(1)
Número minimo de productos por usuario  en promedio</t>
  </si>
  <si>
    <t>USANDO LOS PROMEDIOS</t>
  </si>
  <si>
    <t xml:space="preserve">
Número total de productos de salud cosumidos por la poblacion alcanzada en el semestre</t>
  </si>
  <si>
    <t xml:space="preserve">(2)
# de maximo de producto 
(por ciclo) </t>
  </si>
  <si>
    <t xml:space="preserve">(2)
Numero máximo de productos 
(por ciclo cerrado ) </t>
  </si>
  <si>
    <t xml:space="preserve">(3)
Número total de poblacion  atendidas </t>
  </si>
  <si>
    <t>(4)
Número total de productos de salud entregados en el semestre</t>
  </si>
  <si>
    <t>(6 = 5 / 4)
Nivel de existencias de productos, expresado en meses, según numero de población atendida</t>
  </si>
  <si>
    <t>*PRUEBA RAPIDA: se estima que se realizan 911 pruebas mensuales</t>
  </si>
  <si>
    <t xml:space="preserve">Los Productos de salud es un calculo tomando encuenta el maximo aprobado por producto de salud por poblacion clave, en algunos caso se han entregado menos, pero siempre por enciema de la cantidad minima aprobado por el FM.  </t>
  </si>
  <si>
    <t>promedios de entrega por persona atendida.</t>
  </si>
  <si>
    <t>Cada persona puede participar y cerrar 4 ciclos en el año. La existencia en bodega obedece a que no se logro llegar a las metas y hay producto que no fue entregado, serviran para inicio de la propuesta de extensión.</t>
  </si>
  <si>
    <t>Enero del 2016</t>
  </si>
  <si>
    <t>Junio del 2016</t>
  </si>
  <si>
    <t>** El saldo de caja reportado corresponde a la suma de los saldos en Plan y los SR al 31/12/2016</t>
  </si>
  <si>
    <t>RP Plan tiene compromisos pendientes de pago al 31/12/2016 por $361,683.47</t>
  </si>
  <si>
    <t>Se presento PUDR e informe mejorado el 28 de febrero.</t>
  </si>
  <si>
    <t>nota: a partir del mes de julio se tiene contratos vigentes con 8 SR</t>
  </si>
  <si>
    <t>Los SR entregan al RP informe financiero y tecnico, mensual, trimestral y semestral</t>
  </si>
  <si>
    <t xml:space="preserve">* Existen compromisos de pago de pruebas orales por $4600. Para el periodo no habian presupuesto para adquisicion, se solicitó reprogramacion de fondos al FM y fueron aprobados. </t>
  </si>
  <si>
    <t>* Fuente de Información : Datos de ejecucion al 31 de diciembre 2016 - SIGPRO</t>
  </si>
  <si>
    <t>Compromisos</t>
  </si>
  <si>
    <t>Los 8 SR presentaron sus informes de ejecucion técnica y financiera, correspondiente al segundo semestre.</t>
  </si>
  <si>
    <t xml:space="preserve">La adquisicion de producto de salud son realizadas por el RP, no se han tenido dificultades en las adquisiciones. </t>
  </si>
  <si>
    <t>El porcentaje reportado corresponde a las personas HSH alcanzadas con paquete basico durante el año 2016, de acuerdo con  el desarrollo de la metodologia de prevencion combinada.</t>
  </si>
  <si>
    <t xml:space="preserve">El porcentaje reportado corresponde a las personas TS alcanzadas con paquete basico durante el año 2016, de acuerdo con  el desarrollo de la metodologia de prevencion combinada. </t>
  </si>
  <si>
    <t>El porcentaje reportado corresponde a las personas TRANS alcanzadas con paquete basico durante el año 2016, de acuerdo con  el desarrollo de la metodologia de prevencion combinada.</t>
  </si>
  <si>
    <t>Los datos reportados en los indicadores son ciclos cerrados, el numero de personas alcanzadas es la dato reflejado M6: Diferencia entre existencias actuales y existencias de seguridad</t>
  </si>
  <si>
    <t xml:space="preserve">El progreso alcanzado durante el   año 2016 permitió lograr las metas programáticas previstas, las cuales incluyeron  el cierre de  ciclos de personas con CUIs que se registraron en el sistema SIGPRO. 
Las personas alcanzadas  en este paquete básico fueron intervenidas a través de un paquete  de prevención que incluye:
1- Tres Actividades de cambio de comportamiento.(abordajes cara a cara o la participación de actividades lúdicas  grupales sobre temas  específicos de la población HSH relacionados con la prevención del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rápida oral, se les refirió a clínica VICITS   para la toma de otras pruebas de  otras infecciones de transmisión sexual. 
-  Este porcentaje  alcanzado incluye la realización de  diversas estrategias para acercarse a las poblaciones claves,  como :  actividades de auto cuido y  talleres específicos, con temas claves en donde  se oferto prueba rápida oral  de VIH con pre y post consejería (En coordinación con las clínicas VICITS), promoviendo actividades que permitieron la concentración de la población HSH y así lograr un número mayor de intervenciones, estas acciones llamadas  jornadas extramuros fueron muy efectivas  para el acercamiento del sistema de salud nacional a la población HSH.
- Para este año  se dio seguimiento  con las actividades  de focalización en acciones dentro de  zonas geográficas  de concentración de  población  HSH que fueron identificadas por los diferentes SR´s desde el periodo anterior,  lo que permitió  alcanzar de manera efectiva el cumplimiento de la meta,  esto como resultado de las buenas prácticas  y la experiencia que se obtuvo en el semestre pasado. Estas experiencias se han sistematizado en un diario de campo que cada educador par maneja con la información de contacto y las zonas de agregación de estos HSH, estrategia que permitió los  porcentajes altos de  intervenciones  cumpliendo la meta establecida.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dentro los rangos mínimos y máximos de acuerdo al análisis solicitado y estipulado para el cumplimiento de la meta, y todas las entregas de estos insumos fueron dentro de actividades educativas. 
- La promoción de actividades del componente complementario contribuyo grandemente al cierre de ciclos del paquete básico, al servir de enlace para que la población HSH asistiese a las actividades.  
De acuerdo al indicador el cual está compuesto por personas nuevas alcanzadas y personas alcanzadas en categoría de seguimiento. La meta anual para este indicador es acumulada la cual es de 13,844 al final del año 2016  y se alcanzó un total de 14,715 representando un 106 % de cumplimiento de esta meta anual.
</t>
  </si>
  <si>
    <t xml:space="preserve">El progreso alcanzado durante el   año 2016 permitió lograr las metas programáticas previstas   de acuerdo a los planes Operativos implementados por los socios de prevención, los cuales incluyeron   el cierre de ciclos de las personas con CUIs que se registraron en el sistema SIGPRO durante el año 2016.
 Las actividades desarrolladas como parte de los planes operativos anuales se enfocaron en: 
1- Tres Actividades de cambio de comportamiento.(abordajes cara a cara o la participación de actividades lúdicas  grupales sobre temas  específicos de la población  trabajadoras sexuales femeninas ,  relacionados con la prevención del VIH.
2- La entrega de insumos exclusivamente en actividades educativas    y   en la cantidad requerida, de acuerdo al marco de desempeño, esta entrega de insumos implicaba   la demostración del uso correcto y consistente del condón, así como la negociación con las parejas sexuales.
3- Referencias a pruebas de VIH.  Todas las trabajadoras sexuales femeninas se les brindó la oportunidad de analizar la importancia de la toma de prueba de VIH, y   fueron referidas a las Unidades móviles de prevención y/o a las clínicas VICITS. Así también el 100% de las trabajadoras sexuales femeninas a las que se les tomó prueba rápida oral se refirieron a las clínicas VICITS para la toma de otras pruebas de otras infecciones de transmisión sexual.  Las mujeres trabajadoras sexuales son la población que más visita las clínicas de atención   VICITS  y demandan los servicios ofrecidos a ellas.
- Además dentro de estas acciones se realizaron  actividades de auto cuido, talleres específicos y barridos de zona de las areas de trabajo sexual,  donde  se oferto prueba rápida oral  de VIH con pre y post consejería (En coordinación con las clínicas VICITS), promoviendo actividades que permitieron la concentración de la población TSF y así lograr un número mayor de intervenciones. 
- Las actividades se dirigieron a las zonas de concentración de trabajo sexual identificadas a través de los diferentes mapeos de los SR`s, esto con la finalidad de acercar las atenciones de las usuarias a los centros de trabajo sexual y de esta forma obtener los beneficios del programa  e insumos como Condones masculinos, condones femeninos, mantas de látex, lubricantes en tubo y sachet, permitiendo alcanzar de manera efectiva el cumplimiento de la meta proyectada.
 La  coordinación efectiva  del RP Plan  con el nivel central ( Gerencia Programa, Clínicas VICITS , Sub-comisión nacional de Monitoreo y Evaluación,  Laboratorio Nacional de referencia, junta de vigilancia de la profesión  laboratorio clínico ) y con el nivel local ( Equipo multidisciplinario de clínicas VICITS)  permitió el fortalecimiento y  la promoción de los diferentes servicios de las clínicas VICITS, así como las referencia de las usuarias desde los CCPI a estas   Clínicas como parte de las actividades diarias de las educadoras en prevención combinada,  donde ofertan no solo la prueba de VIH, si no otros servicios de prevención, diagnóstico y tratamiento de ITS.
- Como parte del paquete básico, la entrega de insumos se realizó dentro los rangos mínimos y máximos de acuerdo al análisis solicitado y estipulado para el cumplimiento de la meta, y todas las entregas de estos insumos fueron dentro de actividades educativas. 
De acuerdo al indicador el cual está compuesto por personas nuevas alcanzadas y personas alcanzadas en categoría de seguimiento.
La meta anual para este indicador es acumulada la cual es de 10,644 al final del año 2016 y se alcanzó un total de 11,234 representando un 106% % de cumplimiento de esta meta anual.
</t>
  </si>
  <si>
    <t xml:space="preserve">El progreso alcanzado durante el   año 2016 permitió lograr las metas programáticas previstas   de acuerdo a los planes Operativos implementados por los socios de prevención, los cuales incluyeron   el cierre de  ciclos de las personas con CUIs que se registraron en el sistema SIGPRO durante el año 2016 . 
Las actividades desarrolladas como parte de los planes operativos anuales  se enfocaron en: 
1- Tres Actividades de cambio de comportamiento.(abordajes cara a cara o la participación de actividades lúdicas  grupales sobre temas  específicos de la población  de mujeres TRANS relacionados con la prevención del VIH.
2- La entrega de insumos exclusivamente en actividades educativas   y en la cantidad requerida, de acuerdo al marco de desempeño, esta entrega de insumos implicó  la demostración del uso correcto y  consistente, y  en algunos casos de la negociación con las parejas sexuales.
3- Referencias a pruebas de VIH.  Todas las mujeres TRANS se les brindó:  La oportunidad de analizar la importancia de la toma voluntaria voluntaria de prueba para VIH,  fueron referidas a las Unidades móviles  de prevención  y/o a las clínicas VICITS. Así también el 100% de las mujeres TRANS a las que se les tomo prueba rápida oral se refieren a clínica VICITS para la toma de otras pruebas de  otras infecciones de transmisión sexual. 
- Dentro de estas acciones se realizaron   días de formación comunitaria y barridos de zonas.
Este porcentaje  alcanzado incluye la realización de  diversas estrategias para acercarse a las mujeres TRANS,  dentro de las cuales se pueden mencionar :  actividades de auto cuido y  talleres específicos, con temas claves en donde  se oferto prueba rápida oral  de VIH con pre y post consejería (En coordinación con las clínicas VICITS), promoviendo actividades que permitieron la concentración de la población TRANS  y así lograr un número mayor de intervenciones, estas acciones llamadas  jornadas extramuros fueron muy efectivas  para el acercamiento del sistema de salud nacional a la población  de mujeres TRANS. 
- Además de estas actividades en coordinación con las Clínicas VICITS, se desarrollaron Ferias de la salud para promocionar los servicios VICITS y acercar a las usuarias, en las cuales se brindaron servicios como Odontología, diagnóstico y tratamiento de ITS, lo que permitió solventar la dificultad que las usuarias expresaron de no poder acercarse  a las Clínicas VICITS, debido a los Horarios de atención  y  ubicación de las VICITS, que son controladas por grupos  de pandillas  de diferentes denominaciones a las de su zona de domicilio; lo cual está generando que algunas usuarias sean victimas de amenaza y persecución por acercarse a estas zonas contrarias donde se ubican las VICITS. 
Por lo que para este periodo fue muy efectiva la coordinación de los CCPI con las clínicas VICITS para la realización de actividades extramurales.
La  coordinación efectiva  del RP Plan  con el nivel central ( Gerencia Programa, Clínicas VICITS , Sub-comisión nacional de Monitoreo y Evaluación,  Laboratorio Nacional de Referencia, Junta  vigilancia de la profesión  laboratorio clínico  ) y con el nivel local ( Equipo multidisciplinario de clínicas VICITS)  permitió fortalecer la promoción de los diferentes servicios de las clínicas VICITS, así como las referencia de las usuarias desde los CCPI a las  Clínicas.
- Como parte del paquete básico, la entrega de insumos se realizó dentro los rangos mínimos y máximos de acuerdo al análisis solicitado y estipulado para el cumplimiento de la meta, y todas las entregas de estos insumos fueron dentro de actividades educativas. 
De acuerdo al indicador el cual está compuesto por personas nuevas alcanzadas y personas alcanzadas en categoría de seguimiento, la meta anual para este indicador es acumulada la cual es de 1,555 al final del año 2016 y se alcanzó un total de 1,594 representando un 103% de cumplimiento de esta meta anual. 
Aun habiendo logrado cumplimiento de las metas, queremos hacer notar una constante dificultad en este periodo, para alcanzar a esta población: La violencia concentrada hacia las mujeres  TRANS y  la migración de las mismas,  lo que impacta de manera muy particular a la población  por este mismo tema de violencia  muchas mujeres Trans decidieron migrar  de manera ilegal  por miedo a ser victimas de crimines de odio debido a su identidad de género. En nuestro país persiste la impunidad de los asesinatos, entre otros hechos de violencia en contra de las mujeres TRANS.
</t>
  </si>
  <si>
    <t xml:space="preserve">
Para el año 2016 de ejecución,  los servicios  del componente complementario  por la población HSH, consistieron en la entrega de servicios  que  ayudaron a superar condiciones  específicas que hacen  que la población de HSH sean más vulnerables a la adquisición de infección por VIH.
Las áreas de mayores atenciones han sido  en los temas de Asesorías legales, derechos humanos y atenciones Psicológicas para usuarios HSH, desarrollando este tipo de acciones principalmente las Asociación entre Amigos, quienes  han fortalecido de manera continua  con  profesionales que brindan esos servicios a la población  HSH.
Debido a la coordinación con instancias que brindan servicios complementarios,  se ha podido observar una alta demanda de  estos por los usuarios.
Así mismo la organización PASMO brindo servicios complementarios orientados a brindar atenciones Psicológicas y detección de otras ITS.
La meta anual para este indicador es acumulada la cual es de 2,195 al final del año 2016 y se alcanzó un total de 1,989 representando un  91 % de cumplimiento de esta meta anual.  En el porcentaje de cumplimiento de este indicador influyo mucho el cierre de otros proyectos gestionados por las organizaciones socias que contribuían con  los servicios complementarios.
</t>
  </si>
  <si>
    <t xml:space="preserve">Para el 2016, los servicios complementarios demandados por la población de TSF, fueron los siguientes: Planificación familiar, Diagnóstico y tratamiento de ITS, Atenciones psicológicas y asesorías legales.
Para la ejecución de este proyecto la mayoría de actividades del componente complementario se da en los CCPI, aumentando la oferta de actividades y diversificando sus temas.
Estas actividades fueron realizadas en coordinación con organizaciones o instituciones (PDDH, MINSAL, Fiscalía General de la República, gobiernos locales, gobernación, CNR, Cuerpos de agentes metropolitanos, PNC, Ciudad Mujer) con quienes los SR mantienen alianzas estratégicas para el desarrollo de este componente.
Cada organización sub receptora implementó diferentes estrategias que generaron un aumento en la demanda y la oferta para el paquete complementario.  
Dentro del paquete complementario relacionado a derechos humanos, se brindó acompañamiento y asesoría legal a TSF sin identidad (Tramitación de Documento Único de identidad, Partidas de nacimiento) y en algunos casos asesoría migratoria en coordinación con el Ministerio de relaciones exteriores y la fiscalía general de la república, en el marco de garantizar el derecho de identidad y protección de derechos humanos, para las TSF extranjeras.
La meta anual para este indicador es acumulada la cual es de 3,072 al final del año 2016 y se alcanzó un total de 3,058 representando un 100% de cumplimiento de esta meta anual.
</t>
  </si>
  <si>
    <t xml:space="preserve">Para el  año 2016  se alcanzó la meta  de paquetes complementarios  para  las mujeres TRANS. Esto responde a  los servicios brindados a mujeres Trans  para disminuir aquellas condiciones que   las  hacen más vulnerables.
El incremento en la demanda de los paquetes complementarios responde a la necesidad de las usuarias TRANS, quienes durante  este periodo  han sido víctimas de la de inseguridad social, crímenes de odio, y/o persecución, situación que  ha generado que algunas de ellas  hayan demandado servicios de asesoría legal, atención psicológica y acompañamiento para asesoría migratoria.
A través de estrategias coordinadas en conjunto con socios, como las Clínicas VICITS, Procuraduría para la defensa de los derechos Humanos y gobernación, se logró llegar al cumplimento que se refleja para este periodo.
Entrega de paquetes complementarios:
Las áreas de mayores atenciones han sido en el tema de Asesorías legales, derechos humanos y atenciones Psicológicas.
En el caso de este proyecto la mayoría de actividades para el componente complementario se continúan dando  en los CCPI, debido a que muchas mujeres Trans tienen temor a trasladarse en horarios diurnos por distintas zonas del centro de San Salvador, debido al accionar de las maras (pandillas y grupos armados), este como un esfuerzo de las instituciones prestadoras de los servicios complementarios para hacer llegar sus servicios a esta población, que por la naturaleza socio demográfica es difícil acceder, aunado al temor que les impera de trasladarse a zonas de donde no son originarias debido al control  territorial de los grupos de pandillas.
Cada organización sub receptora implementó diferentes estrategias que tenían la intención de generar un aumento en la demanda y la oferta para los servicios complementarios, lo que ha implicado un esfuerzo  con las instituciones prestadoras para la visibilizarían de  las mujeres TRANS y  las coordinaciones para la prestación de estos servicios dentro de los CCPI.
La meta anual para este indicador es acumulada la cual es de 579 al final del año 2016 y se alcanzó un total de 590 representando un 102% de cumplimiento de esta meta anual.
</t>
  </si>
  <si>
    <t>En las existencias de Pruebas rapidas se cuenta con el desgloce de 641 pruebas Orales y 6,800 pruebas capilares para la realizacion de pruebas para VIH. Un total de 7,441 para Iniciar el años 2017.</t>
  </si>
  <si>
    <r>
      <rPr>
        <b/>
        <sz val="9"/>
        <color indexed="8"/>
        <rFont val="Calibri"/>
        <family val="2"/>
      </rPr>
      <t>La varianza por objetivos con relación al presupuesto esta compuesta por:</t>
    </r>
    <r>
      <rPr>
        <sz val="9"/>
        <color indexed="8"/>
        <rFont val="Calibri"/>
        <family val="2"/>
      </rPr>
      <t xml:space="preserve">
- Objetivo #1, 1.06% corresponde a compromisos pendientes de pago al 31/12/2016 y 11.4% corresponde a economía al cierre de la subvención.
- Objetivo #2, 0.60% corresponde a compromisos pendientes de pago al 31/12/2016 y 10.77% corresponde a economía al cierre de la subvención.
- Objetivo #3, 5.84% corresponde a compromisos pendientes de pago al 31/12/2016 y 8.64% corresponde a economía al cierre de la subvención.</t>
    </r>
  </si>
  <si>
    <t>- De acuerdo a las directrices del FM, el RP cuenta con un plazo de 60 dias cuando se presenta informe mejorado al FM (EFR), en este caso, el plazo vencia el 28/02/2017; fecha en la que el RP Plan, realizo el envio del informe PUDR y EFR. 
- No se presentarón inconvenientes ni con el envio de desembolsos por el FM al RP, ni en la entrega de desembolsos del RP a los SR.</t>
  </si>
  <si>
    <t>-En el P6, la variación entre los desembolsos efectuados por el FM y los gastos del RP + desembolsos a los SR, se debe principalmente a que al mes de agosto, el RP presento un saldo de caja al FM en el cual se ajustaron los montos que se preveeia podrian ser ejecutados tanto por el RP como por los SR, lo que finalmente representa una varianza de $ 15,616.22 entre ambos. 
-La variacion entre los desembolsos a SR y los gastos ejecutados por ellos, se debe principalmente a que la cierre del P5, las organizaciones SR, contaban con efectivo en sus cuentas bancarias, por actividades que no lograron ser ejecutadas en ese periodo y que fueron recalendarizadas y ejecutadas en el periodo 6.
- En relacion al saldo de caja presentado al 31/12/2016 este se compone por el saldo de caja del RP y de los SR al 31/12/2016; es importante destacar que tal como lo indica la gráfica, el RP tiene pendientes de pago a esa fecha compromisos por la suma de $  361,683.47 la diferencia que resulte ($261,737.94) de acuerdo a instrucciones de la extensión de la subvención SLV-H-PLAN, será devuelto al FM.</t>
  </si>
  <si>
    <t>Al cierre del P6, el FM desembolso $ 11,753,490.00, Para el P6,  la diferencia con relación al presupuesto asciende a: $ 1,177,999.00 lo que representa economías identificadas por el RP a nivel de SR y RP al cierre del P6 y que fueron reportadas al FM para que esos fondos formaran parte de la extensión de la subvencion SLV-H-PLAN para los años 2017 y 2018.</t>
  </si>
  <si>
    <t>Los recursos estan contratados desde el primer semestre de la subvención</t>
  </si>
  <si>
    <t>10 SR para el primer semestre 2016 y 8 SR contratados para el segundo semestre.</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</si>
</sst>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_);_(@_)"/>
    <numFmt numFmtId="181" formatCode="_(* #,##0.00_);_(* \(#,##0.00\);_(* \-??_);_(@_)"/>
    <numFmt numFmtId="182" formatCode="_(\$* #,##0.00_);_(\$* \(#,##0.00\);_(\$* \-??_);_(@_)"/>
    <numFmt numFmtId="183" formatCode="d&quot; de &quot;mmm&quot; de &quot;yy"/>
    <numFmt numFmtId="184" formatCode="\Q#,##0_);[Red]&quot;(Q&quot;#,##0\)"/>
    <numFmt numFmtId="185" formatCode="_(* #,##0_);_(* \(#,##0\);_(* \-??_);_(@_)"/>
    <numFmt numFmtId="186" formatCode="#,##0.00;[Red]#,##0.00"/>
    <numFmt numFmtId="187" formatCode="#.##0"/>
    <numFmt numFmtId="188" formatCode="#,##0.00\ _€;[Red]#,##0.00\ _€"/>
    <numFmt numFmtId="189" formatCode="#.##000"/>
    <numFmt numFmtId="190" formatCode="[$$-409]#,##0"/>
    <numFmt numFmtId="191" formatCode="_-* #,##0.00\ _€_-;\-* #,##0.00\ _€_-;_-* \-??\ _€_-;_-@_-"/>
    <numFmt numFmtId="192" formatCode="000%"/>
    <numFmt numFmtId="193" formatCode="#"/>
    <numFmt numFmtId="194" formatCode="0.0"/>
    <numFmt numFmtId="195" formatCode="#.00"/>
    <numFmt numFmtId="196" formatCode="#.##"/>
    <numFmt numFmtId="197" formatCode="dd/mm/yyyy"/>
    <numFmt numFmtId="198" formatCode="[$$-409]#,##0_);\([$$-409]#,##0\)"/>
    <numFmt numFmtId="199" formatCode="d/mmm/yyyy;@"/>
    <numFmt numFmtId="200" formatCode="dd/mm/yy\ hh:mm"/>
    <numFmt numFmtId="201" formatCode="000"/>
    <numFmt numFmtId="202" formatCode="_ * #,##0_ ;_ * \-#,##0_ ;_ * \-_ ;_ @_ "/>
    <numFmt numFmtId="203" formatCode=";;;"/>
    <numFmt numFmtId="204" formatCode=";;;&quot;Financial Variance in %&quot;"/>
    <numFmt numFmtId="205" formatCode="[$-440A]dddd\,\ dd&quot; de &quot;mmmm&quot; de &quot;yyyy"/>
    <numFmt numFmtId="206" formatCode="[$-440A]hh:mm:ss\ AM/PM"/>
    <numFmt numFmtId="207" formatCode="#.##00"/>
    <numFmt numFmtId="208" formatCode="#.#"/>
    <numFmt numFmtId="209" formatCode="_(* #,##0_);_(* \(#,##0\);_(* &quot;-&quot;??_);_(@_)"/>
    <numFmt numFmtId="210" formatCode="0.0%"/>
    <numFmt numFmtId="211" formatCode="0.000"/>
    <numFmt numFmtId="212" formatCode="#.0"/>
    <numFmt numFmtId="213" formatCode="&quot;$&quot;#,##0.000"/>
    <numFmt numFmtId="214" formatCode="&quot;$&quot;#,##0.00"/>
    <numFmt numFmtId="215" formatCode="_(* #,##0.00000_);_(* \(#,##0.00000\);_(* &quot;-&quot;?????_);_(@_)"/>
  </numFmts>
  <fonts count="135">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b/>
      <sz val="9"/>
      <name val="Tahoma"/>
      <family val="2"/>
    </font>
    <font>
      <sz val="6"/>
      <color indexed="8"/>
      <name val="Arial"/>
      <family val="0"/>
    </font>
    <font>
      <sz val="3.05"/>
      <color indexed="8"/>
      <name val="Arial"/>
      <family val="0"/>
    </font>
    <font>
      <sz val="5"/>
      <color indexed="8"/>
      <name val="Arial"/>
      <family val="0"/>
    </font>
    <font>
      <b/>
      <sz val="10.5"/>
      <color indexed="8"/>
      <name val="Calibri"/>
      <family val="0"/>
    </font>
    <font>
      <sz val="6.5"/>
      <color indexed="8"/>
      <name val="Calibri"/>
      <family val="0"/>
    </font>
    <font>
      <b/>
      <sz val="9"/>
      <color indexed="8"/>
      <name val="Arial"/>
      <family val="0"/>
    </font>
    <font>
      <b/>
      <sz val="8"/>
      <color indexed="8"/>
      <name val="Arial"/>
      <family val="0"/>
    </font>
    <font>
      <sz val="8"/>
      <color indexed="8"/>
      <name val="Arial"/>
      <family val="0"/>
    </font>
    <font>
      <sz val="4.35"/>
      <color indexed="8"/>
      <name val="Arial"/>
      <family val="0"/>
    </font>
    <font>
      <sz val="6.75"/>
      <color indexed="8"/>
      <name val="Arial"/>
      <family val="0"/>
    </font>
    <font>
      <sz val="4.25"/>
      <color indexed="8"/>
      <name val="Arial"/>
      <family val="0"/>
    </font>
    <font>
      <sz val="4.5"/>
      <color indexed="8"/>
      <name val="Arial"/>
      <family val="0"/>
    </font>
    <font>
      <b/>
      <sz val="5.5"/>
      <color indexed="8"/>
      <name val="Arial"/>
      <family val="0"/>
    </font>
    <font>
      <sz val="4.75"/>
      <color indexed="8"/>
      <name val="Arial"/>
      <family val="0"/>
    </font>
    <font>
      <b/>
      <i/>
      <sz val="8"/>
      <color indexed="8"/>
      <name val="Calibri"/>
      <family val="2"/>
    </font>
    <font>
      <sz val="12"/>
      <color indexed="8"/>
      <name val="Arial"/>
      <family val="0"/>
    </font>
    <font>
      <b/>
      <sz val="5.75"/>
      <color indexed="8"/>
      <name val="Arial"/>
      <family val="0"/>
    </font>
    <font>
      <sz val="11"/>
      <color rgb="FFFF0000"/>
      <name val="Calibri"/>
      <family val="2"/>
    </font>
    <font>
      <sz val="9"/>
      <color theme="1"/>
      <name val="Calibri"/>
      <family val="2"/>
    </font>
    <font>
      <b/>
      <i/>
      <sz val="8"/>
      <color theme="1"/>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25"/>
        <bgColor indexed="64"/>
      </patternFill>
    </fill>
    <fill>
      <patternFill patternType="solid">
        <fgColor theme="8" tint="0.39998000860214233"/>
        <bgColor indexed="64"/>
      </patternFill>
    </fill>
    <fill>
      <patternFill patternType="solid">
        <fgColor indexed="18"/>
        <bgColor indexed="64"/>
      </patternFill>
    </fill>
    <fill>
      <patternFill patternType="gray0625">
        <fgColor indexed="52"/>
        <bgColor indexed="43"/>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2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color indexed="63"/>
      </left>
      <right style="medium">
        <color indexed="51"/>
      </right>
      <top>
        <color indexed="63"/>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58"/>
      </right>
      <top style="thin">
        <color indexed="58"/>
      </top>
      <bottom style="thin">
        <color indexed="58"/>
      </bottom>
    </border>
    <border>
      <left>
        <color indexed="63"/>
      </left>
      <right style="thin">
        <color indexed="58"/>
      </right>
      <top style="thin">
        <color indexed="58"/>
      </top>
      <bottom>
        <color indexed="63"/>
      </bottom>
    </border>
    <border>
      <left style="medium"/>
      <right style="thin">
        <color indexed="32"/>
      </right>
      <top style="medium"/>
      <bottom style="thin">
        <color indexed="32"/>
      </bottom>
    </border>
    <border>
      <left style="thin">
        <color indexed="32"/>
      </left>
      <right style="thin">
        <color indexed="32"/>
      </right>
      <top style="medium"/>
      <bottom>
        <color indexed="63"/>
      </bottom>
    </border>
    <border>
      <left style="thin">
        <color indexed="32"/>
      </left>
      <right style="thin">
        <color indexed="32"/>
      </right>
      <top style="medium"/>
      <bottom style="thin">
        <color indexed="32"/>
      </bottom>
    </border>
    <border>
      <left style="thin"/>
      <right style="thin"/>
      <top style="thin"/>
      <bottom style="medium"/>
    </border>
    <border>
      <left>
        <color indexed="63"/>
      </left>
      <right style="thin">
        <color indexed="58"/>
      </right>
      <top style="thin">
        <color indexed="58"/>
      </top>
      <bottom style="mediu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color indexed="63"/>
      </bottom>
    </border>
    <border>
      <left style="thin">
        <color indexed="32"/>
      </left>
      <right>
        <color indexed="63"/>
      </right>
      <top style="medium">
        <color indexed="32"/>
      </top>
      <bottom>
        <color indexed="63"/>
      </bottom>
    </border>
    <border>
      <left style="thin">
        <color indexed="32"/>
      </left>
      <right style="thin">
        <color indexed="32"/>
      </right>
      <top style="medium">
        <color indexed="32"/>
      </top>
      <bottom>
        <color indexed="63"/>
      </bottom>
    </border>
    <border>
      <left>
        <color indexed="63"/>
      </left>
      <right style="medium">
        <color indexed="32"/>
      </right>
      <top style="medium">
        <color indexed="32"/>
      </top>
      <bottom>
        <color indexed="63"/>
      </bottom>
    </border>
    <border>
      <left style="thin">
        <color indexed="32"/>
      </left>
      <right>
        <color indexed="63"/>
      </right>
      <top style="medium"/>
      <bottom style="thin">
        <color indexed="32"/>
      </bottom>
    </border>
    <border>
      <left>
        <color indexed="63"/>
      </left>
      <right style="medium"/>
      <top style="thin">
        <color indexed="32"/>
      </top>
      <bottom style="thin">
        <color indexed="32"/>
      </bottom>
    </border>
    <border>
      <left style="medium">
        <color theme="5"/>
      </left>
      <right style="thin"/>
      <top style="medium">
        <color theme="5"/>
      </top>
      <bottom style="thin"/>
    </border>
    <border>
      <left style="thin"/>
      <right style="thin"/>
      <top style="medium">
        <color theme="5"/>
      </top>
      <bottom style="thin"/>
    </border>
    <border>
      <left style="thin"/>
      <right style="medium">
        <color theme="5"/>
      </right>
      <top style="medium">
        <color theme="5"/>
      </top>
      <bottom style="thin"/>
    </border>
    <border>
      <left style="medium">
        <color theme="5"/>
      </left>
      <right style="thin"/>
      <top style="thin"/>
      <bottom style="thin"/>
    </border>
    <border>
      <left style="medium">
        <color theme="5"/>
      </left>
      <right style="thin"/>
      <top style="thin"/>
      <bottom style="medium">
        <color theme="5"/>
      </bottom>
    </border>
    <border>
      <left style="thin"/>
      <right style="thin"/>
      <top style="thin"/>
      <bottom style="medium">
        <color theme="5"/>
      </bottom>
    </border>
    <border>
      <left>
        <color indexed="63"/>
      </left>
      <right style="thin">
        <color indexed="32"/>
      </right>
      <top>
        <color indexed="63"/>
      </top>
      <bottom>
        <color indexed="63"/>
      </bottom>
    </border>
    <border>
      <left style="thin">
        <color indexed="32"/>
      </left>
      <right style="medium"/>
      <top style="medium"/>
      <bottom style="thin">
        <color indexed="32"/>
      </bottom>
    </border>
    <border>
      <left style="thin"/>
      <right style="medium">
        <color theme="5"/>
      </right>
      <top style="thin"/>
      <bottom style="thin"/>
    </border>
    <border>
      <left style="thin"/>
      <right style="medium">
        <color theme="5"/>
      </right>
      <top style="thin"/>
      <bottom style="medium">
        <color theme="5"/>
      </bottom>
    </border>
    <border>
      <left style="thin">
        <color indexed="32"/>
      </left>
      <right>
        <color indexed="63"/>
      </right>
      <top style="thin">
        <color indexed="32"/>
      </top>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theme="5"/>
      </left>
      <right style="thin"/>
      <top style="thin"/>
      <bottom>
        <color indexed="63"/>
      </bottom>
    </border>
    <border>
      <left style="thin"/>
      <right style="thin"/>
      <top style="thin"/>
      <bottom>
        <color indexed="63"/>
      </bottom>
    </border>
    <border>
      <left style="thin">
        <color indexed="58"/>
      </left>
      <right>
        <color indexed="63"/>
      </right>
      <top style="thin">
        <color indexed="58"/>
      </top>
      <bottom style="thin">
        <color indexed="58"/>
      </bottom>
    </border>
    <border>
      <left style="thin">
        <color indexed="32"/>
      </left>
      <right style="medium"/>
      <top style="thin">
        <color indexed="32"/>
      </top>
      <bottom style="thin">
        <color indexed="32"/>
      </bottom>
    </border>
    <border>
      <left style="thin">
        <color indexed="58"/>
      </left>
      <right>
        <color indexed="63"/>
      </right>
      <top style="thin">
        <color indexed="58"/>
      </top>
      <bottom style="medium"/>
    </border>
    <border>
      <left>
        <color indexed="63"/>
      </left>
      <right>
        <color indexed="63"/>
      </right>
      <top style="thin">
        <color indexed="32"/>
      </top>
      <bottom>
        <color indexed="63"/>
      </bottom>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color indexed="63"/>
      </left>
      <right style="thin">
        <color indexed="32"/>
      </right>
      <top style="thin">
        <color indexed="32"/>
      </top>
      <bottom>
        <color indexed="63"/>
      </bottom>
    </border>
    <border>
      <left>
        <color indexed="63"/>
      </left>
      <right style="thin">
        <color indexed="32"/>
      </right>
      <top>
        <color indexed="63"/>
      </top>
      <bottom style="thin">
        <color indexed="58"/>
      </bottom>
    </border>
    <border>
      <left style="thin">
        <color indexed="32"/>
      </left>
      <right style="thin">
        <color indexed="32"/>
      </right>
      <top>
        <color indexed="63"/>
      </top>
      <bottom style="thin">
        <color indexed="58"/>
      </bottom>
    </border>
    <border>
      <left style="thin">
        <color indexed="32"/>
      </left>
      <right style="medium"/>
      <top style="thin">
        <color indexed="32"/>
      </top>
      <bottom>
        <color indexed="63"/>
      </bottom>
    </border>
    <border>
      <left style="thin">
        <color indexed="32"/>
      </left>
      <right style="medium"/>
      <top>
        <color indexed="63"/>
      </top>
      <bottom>
        <color indexed="63"/>
      </bottom>
    </border>
    <border>
      <left style="thin">
        <color indexed="32"/>
      </left>
      <right style="medium"/>
      <top>
        <color indexed="63"/>
      </top>
      <bottom style="thin">
        <color indexed="32"/>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thin"/>
      <right style="medium"/>
      <top style="thin"/>
      <bottom style="thin"/>
    </border>
    <border>
      <left style="thin"/>
      <right style="medium"/>
      <top style="thin"/>
      <bottom style="medium"/>
    </border>
    <border>
      <left>
        <color indexed="63"/>
      </left>
      <right style="thin">
        <color indexed="32"/>
      </right>
      <top style="thin">
        <color indexed="58"/>
      </top>
      <bottom>
        <color indexed="63"/>
      </bottom>
    </border>
    <border>
      <left style="thin">
        <color indexed="32"/>
      </left>
      <right style="thin">
        <color indexed="32"/>
      </right>
      <top style="thin">
        <color indexed="58"/>
      </top>
      <bottom>
        <color indexed="63"/>
      </bottom>
    </border>
    <border>
      <left style="medium"/>
      <right>
        <color indexed="63"/>
      </right>
      <top style="thin">
        <color indexed="32"/>
      </top>
      <bottom style="medium">
        <color indexed="32"/>
      </bottom>
    </border>
    <border>
      <left style="medium"/>
      <right>
        <color indexed="63"/>
      </right>
      <top style="thin">
        <color indexed="32"/>
      </top>
      <bottom style="mediu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style="medium">
        <color indexed="32"/>
      </left>
      <right>
        <color indexed="63"/>
      </right>
      <top style="thin">
        <color indexed="32"/>
      </top>
      <bottom style="thin">
        <color indexed="32"/>
      </bottom>
    </border>
    <border>
      <left>
        <color indexed="63"/>
      </left>
      <right style="medium">
        <color indexed="32"/>
      </right>
      <top style="thin">
        <color indexed="32"/>
      </top>
      <bottom style="thin">
        <color indexed="32"/>
      </bottom>
    </border>
    <border>
      <left style="thin">
        <color indexed="32"/>
      </left>
      <right style="medium"/>
      <top>
        <color indexed="63"/>
      </top>
      <bottom style="medium"/>
    </border>
    <border>
      <left style="medium"/>
      <right style="thin">
        <color indexed="32"/>
      </right>
      <top style="medium"/>
      <bottom>
        <color indexed="63"/>
      </bottom>
    </border>
    <border>
      <left style="medium"/>
      <right style="thin">
        <color indexed="32"/>
      </right>
      <top>
        <color indexed="63"/>
      </top>
      <bottom>
        <color indexed="63"/>
      </bottom>
    </border>
    <border>
      <left style="medium"/>
      <right style="thin">
        <color indexed="32"/>
      </right>
      <top>
        <color indexed="63"/>
      </top>
      <bottom style="medium"/>
    </border>
    <border>
      <left style="thin">
        <color indexed="32"/>
      </left>
      <right style="medium"/>
      <top style="medium"/>
      <bottom>
        <color indexed="63"/>
      </bottom>
    </border>
    <border>
      <left style="thin">
        <color indexed="32"/>
      </left>
      <right style="thin">
        <color indexed="32"/>
      </right>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0"/>
      </right>
      <top style="hair">
        <color indexed="23"/>
      </top>
      <bottom style="hair">
        <color indexed="23"/>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style="hair">
        <color indexed="32"/>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color indexed="63"/>
      </left>
      <right style="medium">
        <color indexed="52"/>
      </right>
      <top>
        <color indexed="63"/>
      </top>
      <bottom>
        <color indexed="63"/>
      </bottom>
    </border>
    <border>
      <left style="medium">
        <color indexed="51"/>
      </left>
      <right style="medium">
        <color indexed="51"/>
      </right>
      <top style="hair">
        <color indexed="51"/>
      </top>
      <bottom style="medium">
        <color indexed="51"/>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color indexed="63"/>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
      <left style="thin">
        <color indexed="32"/>
      </left>
      <right>
        <color indexed="63"/>
      </right>
      <top style="thin">
        <color indexed="32"/>
      </top>
      <bottom>
        <color indexed="63"/>
      </bottom>
    </border>
    <border>
      <left style="medium"/>
      <right>
        <color indexed="63"/>
      </right>
      <top>
        <color indexed="63"/>
      </top>
      <bottom>
        <color indexed="63"/>
      </bottom>
    </border>
    <border>
      <left style="thin">
        <color indexed="32"/>
      </left>
      <right>
        <color indexed="63"/>
      </right>
      <top>
        <color indexed="63"/>
      </top>
      <bottom style="mediu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11" fillId="0" borderId="4" applyNumberFormat="0" applyFill="0" applyAlignment="0" applyProtection="0"/>
    <xf numFmtId="0" fontId="13"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80" fontId="0" fillId="0" borderId="0" applyFill="0" applyBorder="0" applyAlignment="0" applyProtection="0"/>
    <xf numFmtId="0" fontId="10"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3" fillId="7" borderId="0" applyNumberFormat="0" applyBorder="0" applyAlignment="0" applyProtection="0"/>
    <xf numFmtId="181" fontId="0" fillId="0" borderId="0" applyFill="0" applyBorder="0" applyAlignment="0" applyProtection="0"/>
    <xf numFmtId="177" fontId="1" fillId="0" borderId="0" applyFill="0" applyBorder="0" applyAlignment="0" applyProtection="0"/>
    <xf numFmtId="181"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14" fillId="12"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5" fillId="10" borderId="8"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8"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8" fillId="0" borderId="10" applyNumberFormat="0" applyFill="0" applyAlignment="0" applyProtection="0"/>
  </cellStyleXfs>
  <cellXfs count="817">
    <xf numFmtId="0" fontId="0" fillId="0" borderId="0" xfId="0" applyAlignment="1">
      <alignment/>
    </xf>
    <xf numFmtId="181" fontId="23" fillId="0" borderId="0" xfId="92" applyFont="1" applyFill="1" applyAlignment="1">
      <alignment vertical="center"/>
      <protection/>
    </xf>
    <xf numFmtId="0" fontId="25" fillId="0" borderId="0" xfId="0" applyFont="1" applyAlignment="1">
      <alignment/>
    </xf>
    <xf numFmtId="181" fontId="25" fillId="0" borderId="0" xfId="0" applyNumberFormat="1" applyFont="1" applyAlignment="1">
      <alignment/>
    </xf>
    <xf numFmtId="181" fontId="2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2" fillId="0" borderId="0" xfId="91" applyFont="1" applyFill="1" applyAlignment="1" applyProtection="1">
      <alignment horizontal="center" vertical="center"/>
      <protection/>
    </xf>
    <xf numFmtId="181" fontId="23" fillId="0" borderId="0" xfId="91" applyFont="1" applyFill="1" applyAlignment="1" applyProtection="1">
      <alignment vertical="center"/>
      <protection/>
    </xf>
    <xf numFmtId="0" fontId="21" fillId="0" borderId="0" xfId="0" applyFont="1" applyAlignment="1">
      <alignment/>
    </xf>
    <xf numFmtId="0" fontId="0" fillId="0" borderId="0" xfId="0" applyBorder="1" applyAlignment="1">
      <alignment/>
    </xf>
    <xf numFmtId="0" fontId="21" fillId="0" borderId="0" xfId="0" applyFont="1" applyBorder="1" applyAlignment="1">
      <alignment/>
    </xf>
    <xf numFmtId="0" fontId="0" fillId="0" borderId="0" xfId="0" applyBorder="1" applyAlignment="1">
      <alignment horizontal="center"/>
    </xf>
    <xf numFmtId="0" fontId="37" fillId="0" borderId="0" xfId="0" applyFont="1" applyFill="1" applyAlignment="1">
      <alignment/>
    </xf>
    <xf numFmtId="0" fontId="0" fillId="0" borderId="0" xfId="0" applyFont="1" applyAlignment="1">
      <alignment/>
    </xf>
    <xf numFmtId="0" fontId="29" fillId="12" borderId="11" xfId="0" applyFont="1" applyFill="1" applyBorder="1" applyAlignment="1">
      <alignment horizontal="justify" vertical="center" wrapText="1"/>
    </xf>
    <xf numFmtId="0" fontId="33" fillId="12" borderId="12" xfId="0" applyFont="1" applyFill="1" applyBorder="1" applyAlignment="1">
      <alignment horizontal="justify" vertical="center" wrapText="1"/>
    </xf>
    <xf numFmtId="0" fontId="33" fillId="12" borderId="13" xfId="0" applyFont="1" applyFill="1" applyBorder="1" applyAlignment="1">
      <alignment horizontal="justify" vertical="center" wrapText="1"/>
    </xf>
    <xf numFmtId="0" fontId="29" fillId="12" borderId="11" xfId="0" applyFont="1" applyFill="1" applyBorder="1" applyAlignment="1">
      <alignment horizontal="left" vertical="center" wrapText="1"/>
    </xf>
    <xf numFmtId="0" fontId="29" fillId="12" borderId="12" xfId="0" applyFont="1" applyFill="1" applyBorder="1" applyAlignment="1">
      <alignment horizontal="left" vertical="center" wrapText="1"/>
    </xf>
    <xf numFmtId="0" fontId="29" fillId="12" borderId="13" xfId="0" applyFont="1" applyFill="1" applyBorder="1" applyAlignment="1">
      <alignment horizontal="left" vertical="center" wrapText="1"/>
    </xf>
    <xf numFmtId="0" fontId="29" fillId="0" borderId="11"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1"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0" fontId="33" fillId="0" borderId="13" xfId="0" applyFont="1" applyBorder="1" applyAlignment="1" applyProtection="1">
      <alignment horizontal="justify" vertical="center" wrapText="1"/>
      <protection locked="0"/>
    </xf>
    <xf numFmtId="0" fontId="32" fillId="0" borderId="11" xfId="0" applyFont="1" applyBorder="1" applyAlignment="1">
      <alignment vertical="center" wrapText="1"/>
    </xf>
    <xf numFmtId="0" fontId="32" fillId="0" borderId="12" xfId="0" applyFont="1" applyBorder="1" applyAlignment="1">
      <alignment vertical="center" wrapText="1"/>
    </xf>
    <xf numFmtId="0" fontId="29" fillId="0" borderId="12" xfId="0" applyFont="1" applyBorder="1" applyAlignment="1">
      <alignment horizontal="justify" vertical="center" wrapText="1"/>
    </xf>
    <xf numFmtId="0" fontId="33" fillId="0" borderId="12"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1" xfId="0" applyFont="1" applyBorder="1" applyAlignment="1">
      <alignment horizontal="justify" vertical="center" wrapText="1"/>
    </xf>
    <xf numFmtId="181" fontId="42" fillId="0" borderId="0" xfId="83" applyFont="1" applyFill="1" applyAlignment="1" applyProtection="1">
      <alignment vertical="center"/>
      <protection/>
    </xf>
    <xf numFmtId="181" fontId="43"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43" fillId="0" borderId="0" xfId="0" applyNumberFormat="1" applyFont="1" applyBorder="1" applyAlignment="1" applyProtection="1">
      <alignment horizontal="right"/>
      <protection/>
    </xf>
    <xf numFmtId="0" fontId="43" fillId="0" borderId="0" xfId="0" applyFont="1" applyAlignment="1" applyProtection="1">
      <alignment horizontal="right"/>
      <protection/>
    </xf>
    <xf numFmtId="0" fontId="43" fillId="0" borderId="0" xfId="0" applyFont="1" applyAlignment="1" applyProtection="1">
      <alignment/>
      <protection/>
    </xf>
    <xf numFmtId="49" fontId="43" fillId="0" borderId="0" xfId="0" applyNumberFormat="1" applyFont="1" applyAlignment="1" applyProtection="1">
      <alignment horizontal="right"/>
      <protection/>
    </xf>
    <xf numFmtId="0" fontId="43" fillId="0" borderId="0" xfId="0" applyFont="1" applyBorder="1" applyAlignment="1" applyProtection="1">
      <alignment/>
      <protection/>
    </xf>
    <xf numFmtId="183" fontId="0" fillId="0" borderId="0" xfId="0" applyNumberFormat="1" applyAlignment="1" applyProtection="1">
      <alignment/>
      <protection/>
    </xf>
    <xf numFmtId="183" fontId="0" fillId="0" borderId="14" xfId="119" applyNumberFormat="1" applyFont="1" applyFill="1" applyBorder="1" applyAlignment="1" applyProtection="1">
      <alignment horizontal="center"/>
      <protection locked="0"/>
    </xf>
    <xf numFmtId="181" fontId="43" fillId="0" borderId="15" xfId="0" applyNumberFormat="1" applyFont="1" applyBorder="1" applyAlignment="1" applyProtection="1">
      <alignment horizontal="right"/>
      <protection/>
    </xf>
    <xf numFmtId="0" fontId="0" fillId="0" borderId="0" xfId="0" applyBorder="1" applyAlignment="1" applyProtection="1">
      <alignment/>
      <protection/>
    </xf>
    <xf numFmtId="181" fontId="43" fillId="0" borderId="0" xfId="0" applyNumberFormat="1" applyFont="1" applyAlignment="1" applyProtection="1">
      <alignment/>
      <protection/>
    </xf>
    <xf numFmtId="0" fontId="0" fillId="0" borderId="0" xfId="0" applyAlignment="1" applyProtection="1">
      <alignment/>
      <protection/>
    </xf>
    <xf numFmtId="0" fontId="0" fillId="3" borderId="14" xfId="0" applyFill="1" applyBorder="1" applyAlignment="1" applyProtection="1">
      <alignment/>
      <protection/>
    </xf>
    <xf numFmtId="0" fontId="0" fillId="13" borderId="14" xfId="0" applyFill="1" applyBorder="1" applyAlignment="1" applyProtection="1">
      <alignment/>
      <protection/>
    </xf>
    <xf numFmtId="0" fontId="0" fillId="0" borderId="0" xfId="0" applyFill="1" applyBorder="1" applyAlignment="1">
      <alignment/>
    </xf>
    <xf numFmtId="181" fontId="45" fillId="0" borderId="16" xfId="125" applyNumberFormat="1" applyFont="1" applyFill="1" applyBorder="1" applyAlignment="1" applyProtection="1">
      <alignment/>
      <protection/>
    </xf>
    <xf numFmtId="181" fontId="0" fillId="0" borderId="16" xfId="125" applyNumberFormat="1" applyFill="1" applyBorder="1" applyAlignment="1" applyProtection="1">
      <alignment vertical="center"/>
      <protection/>
    </xf>
    <xf numFmtId="181" fontId="46" fillId="0" borderId="16" xfId="125" applyNumberFormat="1" applyFont="1" applyFill="1" applyBorder="1" applyAlignment="1" applyProtection="1">
      <alignment horizontal="left" vertical="center"/>
      <protection/>
    </xf>
    <xf numFmtId="181" fontId="0" fillId="3" borderId="17" xfId="125" applyNumberFormat="1" applyFill="1" applyBorder="1" applyAlignment="1" applyProtection="1">
      <alignment vertical="center"/>
      <protection/>
    </xf>
    <xf numFmtId="181" fontId="47" fillId="0" borderId="0" xfId="125" applyNumberFormat="1" applyFont="1" applyFill="1" applyBorder="1" applyAlignment="1" applyProtection="1">
      <alignment vertical="center"/>
      <protection locked="0"/>
    </xf>
    <xf numFmtId="181" fontId="27" fillId="0" borderId="14" xfId="0" applyNumberFormat="1" applyFont="1" applyBorder="1" applyAlignment="1" applyProtection="1">
      <alignment horizontal="center"/>
      <protection locked="0"/>
    </xf>
    <xf numFmtId="181" fontId="0" fillId="0" borderId="0" xfId="125" applyNumberFormat="1" applyFill="1" applyBorder="1" applyAlignment="1" applyProtection="1">
      <alignment vertical="center"/>
      <protection/>
    </xf>
    <xf numFmtId="181" fontId="0" fillId="0" borderId="0" xfId="125" applyNumberFormat="1" applyFont="1" applyFill="1" applyBorder="1" applyAlignment="1" applyProtection="1">
      <alignment vertical="center"/>
      <protection/>
    </xf>
    <xf numFmtId="181" fontId="0" fillId="0" borderId="0" xfId="125" applyNumberFormat="1" applyFill="1" applyBorder="1" applyAlignment="1" applyProtection="1">
      <alignment vertical="center"/>
      <protection locked="0"/>
    </xf>
    <xf numFmtId="181" fontId="45" fillId="0" borderId="0" xfId="125" applyNumberFormat="1" applyFont="1" applyFill="1" applyBorder="1" applyAlignment="1" applyProtection="1">
      <alignment/>
      <protection/>
    </xf>
    <xf numFmtId="184" fontId="2" fillId="2" borderId="0" xfId="0" applyNumberFormat="1" applyFont="1" applyFill="1" applyAlignment="1">
      <alignment/>
    </xf>
    <xf numFmtId="185" fontId="2" fillId="2" borderId="0" xfId="0" applyNumberFormat="1" applyFont="1" applyFill="1" applyAlignment="1">
      <alignment/>
    </xf>
    <xf numFmtId="0" fontId="2" fillId="2" borderId="0" xfId="0" applyFont="1" applyFill="1" applyAlignment="1">
      <alignment/>
    </xf>
    <xf numFmtId="181" fontId="48" fillId="0" borderId="18" xfId="0" applyNumberFormat="1" applyFont="1" applyBorder="1" applyAlignment="1" applyProtection="1">
      <alignment horizontal="left"/>
      <protection/>
    </xf>
    <xf numFmtId="184" fontId="48" fillId="10" borderId="19" xfId="0" applyNumberFormat="1" applyFont="1" applyFill="1" applyBorder="1" applyAlignment="1" applyProtection="1">
      <alignment horizontal="center"/>
      <protection locked="0"/>
    </xf>
    <xf numFmtId="183" fontId="40" fillId="0" borderId="20" xfId="0" applyNumberFormat="1" applyFont="1" applyBorder="1" applyAlignment="1" applyProtection="1">
      <alignment horizontal="left"/>
      <protection/>
    </xf>
    <xf numFmtId="187" fontId="40" fillId="3" borderId="19" xfId="0" applyNumberFormat="1" applyFont="1" applyFill="1" applyBorder="1" applyAlignment="1" applyProtection="1">
      <alignment/>
      <protection locked="0"/>
    </xf>
    <xf numFmtId="0" fontId="40" fillId="0" borderId="18" xfId="0" applyFont="1" applyBorder="1" applyAlignment="1" applyProtection="1">
      <alignment horizontal="left"/>
      <protection/>
    </xf>
    <xf numFmtId="183" fontId="40" fillId="0" borderId="21" xfId="0" applyNumberFormat="1" applyFont="1" applyBorder="1" applyAlignment="1" applyProtection="1">
      <alignment horizontal="left"/>
      <protection/>
    </xf>
    <xf numFmtId="187" fontId="40" fillId="0" borderId="14" xfId="0" applyNumberFormat="1" applyFont="1" applyFill="1" applyBorder="1" applyAlignment="1" applyProtection="1">
      <alignment/>
      <protection/>
    </xf>
    <xf numFmtId="183" fontId="40" fillId="0" borderId="22" xfId="0" applyNumberFormat="1" applyFont="1" applyBorder="1" applyAlignment="1" applyProtection="1">
      <alignment horizontal="left"/>
      <protection/>
    </xf>
    <xf numFmtId="187" fontId="40" fillId="0" borderId="23" xfId="0" applyNumberFormat="1" applyFont="1" applyFill="1" applyBorder="1" applyAlignment="1" applyProtection="1">
      <alignment/>
      <protection/>
    </xf>
    <xf numFmtId="9" fontId="2" fillId="0" borderId="0" xfId="103" applyFont="1" applyFill="1" applyBorder="1" applyAlignment="1" applyProtection="1">
      <alignment/>
      <protection/>
    </xf>
    <xf numFmtId="184" fontId="2" fillId="2"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48" fillId="0" borderId="0" xfId="0" applyNumberFormat="1" applyFont="1" applyFill="1" applyBorder="1" applyAlignment="1">
      <alignment horizontal="center"/>
    </xf>
    <xf numFmtId="181" fontId="40" fillId="0" borderId="0" xfId="0" applyNumberFormat="1" applyFont="1" applyFill="1" applyBorder="1" applyAlignment="1">
      <alignment/>
    </xf>
    <xf numFmtId="181" fontId="49" fillId="0" borderId="24" xfId="0" applyNumberFormat="1" applyFont="1" applyFill="1" applyBorder="1" applyAlignment="1" applyProtection="1">
      <alignment vertical="center" wrapText="1"/>
      <protection/>
    </xf>
    <xf numFmtId="0" fontId="49" fillId="0" borderId="25" xfId="0" applyNumberFormat="1" applyFont="1" applyFill="1" applyBorder="1" applyAlignment="1" applyProtection="1">
      <alignment horizontal="center" vertical="center" wrapText="1"/>
      <protection/>
    </xf>
    <xf numFmtId="0" fontId="49" fillId="0" borderId="26" xfId="0" applyNumberFormat="1" applyFont="1" applyFill="1" applyBorder="1" applyAlignment="1" applyProtection="1">
      <alignment horizontal="center" vertical="center" wrapText="1"/>
      <protection/>
    </xf>
    <xf numFmtId="0" fontId="43"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protection/>
    </xf>
    <xf numFmtId="0" fontId="50" fillId="0" borderId="0" xfId="0" applyFont="1" applyFill="1" applyBorder="1" applyAlignment="1">
      <alignment horizontal="center"/>
    </xf>
    <xf numFmtId="181" fontId="50" fillId="0" borderId="27" xfId="0" applyNumberFormat="1" applyFont="1" applyFill="1" applyBorder="1" applyAlignment="1" applyProtection="1">
      <alignment wrapText="1"/>
      <protection locked="0"/>
    </xf>
    <xf numFmtId="188" fontId="0" fillId="3" borderId="28" xfId="77" applyNumberFormat="1" applyFont="1" applyFill="1" applyBorder="1" applyAlignment="1" applyProtection="1">
      <alignment/>
      <protection locked="0"/>
    </xf>
    <xf numFmtId="188" fontId="0" fillId="3" borderId="29" xfId="77" applyNumberFormat="1" applyFont="1" applyFill="1" applyBorder="1" applyAlignment="1" applyProtection="1">
      <alignment/>
      <protection locked="0"/>
    </xf>
    <xf numFmtId="189" fontId="0" fillId="0" borderId="0" xfId="0" applyNumberFormat="1" applyFill="1" applyBorder="1" applyAlignment="1" applyProtection="1">
      <alignment/>
      <protection locked="0"/>
    </xf>
    <xf numFmtId="189"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81" fontId="50" fillId="0" borderId="27"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90"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9" fontId="0" fillId="3" borderId="28" xfId="77" applyNumberFormat="1" applyFont="1" applyFill="1" applyBorder="1" applyAlignment="1" applyProtection="1">
      <alignment/>
      <protection locked="0"/>
    </xf>
    <xf numFmtId="189" fontId="0" fillId="3" borderId="29" xfId="77" applyNumberFormat="1" applyFont="1" applyFill="1" applyBorder="1" applyAlignment="1" applyProtection="1">
      <alignment/>
      <protection locked="0"/>
    </xf>
    <xf numFmtId="187" fontId="0" fillId="0" borderId="0" xfId="0" applyNumberFormat="1" applyFill="1" applyBorder="1" applyAlignment="1" applyProtection="1">
      <alignment/>
      <protection locked="0"/>
    </xf>
    <xf numFmtId="49" fontId="50" fillId="0" borderId="27" xfId="0" applyNumberFormat="1" applyFont="1" applyFill="1" applyBorder="1" applyAlignment="1" applyProtection="1">
      <alignment/>
      <protection locked="0"/>
    </xf>
    <xf numFmtId="0" fontId="50" fillId="0" borderId="27" xfId="0" applyFont="1" applyFill="1" applyBorder="1" applyAlignment="1" applyProtection="1">
      <alignment wrapText="1"/>
      <protection locked="0"/>
    </xf>
    <xf numFmtId="181" fontId="0" fillId="0" borderId="30" xfId="0" applyNumberFormat="1" applyFont="1" applyBorder="1" applyAlignment="1" applyProtection="1">
      <alignment/>
      <protection/>
    </xf>
    <xf numFmtId="189" fontId="0" fillId="0" borderId="31" xfId="0" applyNumberFormat="1" applyBorder="1" applyAlignment="1" applyProtection="1">
      <alignment/>
      <protection/>
    </xf>
    <xf numFmtId="187" fontId="0" fillId="0" borderId="0" xfId="0" applyNumberFormat="1" applyFill="1" applyAlignment="1" applyProtection="1">
      <alignment/>
      <protection/>
    </xf>
    <xf numFmtId="187" fontId="0" fillId="0" borderId="0" xfId="0" applyNumberFormat="1" applyAlignment="1" applyProtection="1">
      <alignment/>
      <protection/>
    </xf>
    <xf numFmtId="187" fontId="2" fillId="2" borderId="0" xfId="0" applyNumberFormat="1" applyFont="1" applyFill="1" applyAlignment="1" applyProtection="1">
      <alignment/>
      <protection/>
    </xf>
    <xf numFmtId="187" fontId="14" fillId="0" borderId="0" xfId="0" applyNumberFormat="1" applyFont="1" applyAlignment="1" applyProtection="1">
      <alignment horizontal="right"/>
      <protection/>
    </xf>
    <xf numFmtId="0" fontId="52" fillId="0" borderId="0" xfId="0" applyFont="1" applyFill="1" applyBorder="1" applyAlignment="1" applyProtection="1">
      <alignment horizontal="center" vertical="center"/>
      <protection/>
    </xf>
    <xf numFmtId="183" fontId="53" fillId="0" borderId="0" xfId="0" applyNumberFormat="1" applyFont="1" applyFill="1" applyBorder="1" applyAlignment="1" applyProtection="1">
      <alignment horizontal="center" vertical="center" wrapText="1"/>
      <protection/>
    </xf>
    <xf numFmtId="183" fontId="53"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85" fontId="2" fillId="0" borderId="0" xfId="0" applyNumberFormat="1" applyFont="1" applyFill="1" applyBorder="1" applyAlignment="1" applyProtection="1">
      <alignment/>
      <protection/>
    </xf>
    <xf numFmtId="185" fontId="14" fillId="0" borderId="0" xfId="77" applyNumberFormat="1" applyFont="1" applyFill="1" applyBorder="1" applyAlignment="1" applyProtection="1">
      <alignment/>
      <protection locked="0"/>
    </xf>
    <xf numFmtId="192" fontId="14" fillId="0" borderId="0" xfId="103" applyNumberFormat="1" applyFont="1" applyFill="1" applyBorder="1" applyAlignment="1" applyProtection="1">
      <alignment horizontal="center"/>
      <protection/>
    </xf>
    <xf numFmtId="183" fontId="14" fillId="0" borderId="0" xfId="0" applyNumberFormat="1" applyFont="1" applyFill="1" applyBorder="1" applyAlignment="1" applyProtection="1">
      <alignment horizontal="center"/>
      <protection/>
    </xf>
    <xf numFmtId="192" fontId="14" fillId="0" borderId="0" xfId="103" applyNumberFormat="1" applyFont="1" applyFill="1" applyBorder="1" applyAlignment="1" applyProtection="1">
      <alignment horizontal="center"/>
      <protection locked="0"/>
    </xf>
    <xf numFmtId="0" fontId="55"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83" fontId="50" fillId="0" borderId="32" xfId="0" applyNumberFormat="1" applyFont="1" applyFill="1" applyBorder="1" applyAlignment="1" applyProtection="1">
      <alignment/>
      <protection/>
    </xf>
    <xf numFmtId="181" fontId="50" fillId="0" borderId="14" xfId="0" applyNumberFormat="1" applyFont="1" applyFill="1" applyBorder="1" applyAlignment="1" applyProtection="1">
      <alignment horizontal="center"/>
      <protection/>
    </xf>
    <xf numFmtId="181" fontId="50" fillId="0" borderId="33" xfId="0" applyNumberFormat="1" applyFont="1" applyFill="1" applyBorder="1" applyAlignment="1" applyProtection="1">
      <alignment horizontal="center"/>
      <protection/>
    </xf>
    <xf numFmtId="181" fontId="50" fillId="0" borderId="32" xfId="0" applyNumberFormat="1" applyFont="1" applyFill="1" applyBorder="1" applyAlignment="1" applyProtection="1">
      <alignment/>
      <protection/>
    </xf>
    <xf numFmtId="1" fontId="0" fillId="3" borderId="14" xfId="0" applyNumberFormat="1" applyFill="1" applyBorder="1" applyAlignment="1" applyProtection="1">
      <alignment horizontal="center"/>
      <protection locked="0"/>
    </xf>
    <xf numFmtId="1" fontId="0" fillId="3" borderId="33" xfId="0" applyNumberFormat="1" applyFill="1" applyBorder="1" applyAlignment="1" applyProtection="1">
      <alignment horizontal="center"/>
      <protection locked="0"/>
    </xf>
    <xf numFmtId="181" fontId="50" fillId="0" borderId="34" xfId="0" applyNumberFormat="1" applyFont="1" applyFill="1" applyBorder="1" applyAlignment="1" applyProtection="1">
      <alignment/>
      <protection/>
    </xf>
    <xf numFmtId="181" fontId="50" fillId="0" borderId="35" xfId="0" applyNumberFormat="1" applyFont="1" applyFill="1" applyBorder="1" applyAlignment="1" applyProtection="1">
      <alignment/>
      <protection/>
    </xf>
    <xf numFmtId="1" fontId="0" fillId="3" borderId="23" xfId="0" applyNumberFormat="1" applyFill="1" applyBorder="1" applyAlignment="1" applyProtection="1">
      <alignment horizontal="center"/>
      <protection locked="0"/>
    </xf>
    <xf numFmtId="1" fontId="0" fillId="3" borderId="36" xfId="0" applyNumberFormat="1" applyFill="1" applyBorder="1" applyAlignment="1" applyProtection="1">
      <alignment horizontal="center"/>
      <protection locked="0"/>
    </xf>
    <xf numFmtId="0" fontId="0" fillId="0" borderId="37" xfId="0" applyBorder="1" applyAlignment="1" applyProtection="1">
      <alignment/>
      <protection/>
    </xf>
    <xf numFmtId="181" fontId="56" fillId="0" borderId="37" xfId="125" applyNumberFormat="1" applyFont="1" applyFill="1" applyBorder="1" applyAlignment="1" applyProtection="1">
      <alignment/>
      <protection/>
    </xf>
    <xf numFmtId="181" fontId="47" fillId="0" borderId="37" xfId="125" applyNumberFormat="1" applyFont="1" applyFill="1" applyBorder="1" applyAlignment="1" applyProtection="1">
      <alignment vertical="center"/>
      <protection/>
    </xf>
    <xf numFmtId="181" fontId="57" fillId="0" borderId="37" xfId="125" applyNumberFormat="1" applyFont="1" applyFill="1" applyBorder="1" applyAlignment="1" applyProtection="1">
      <alignment vertical="center"/>
      <protection/>
    </xf>
    <xf numFmtId="181" fontId="47" fillId="0" borderId="37" xfId="125" applyNumberFormat="1" applyFont="1" applyFill="1" applyBorder="1" applyAlignment="1" applyProtection="1">
      <alignment horizontal="center" vertical="center"/>
      <protection/>
    </xf>
    <xf numFmtId="181" fontId="47" fillId="13" borderId="38" xfId="125" applyNumberFormat="1" applyFont="1" applyFill="1" applyBorder="1" applyAlignment="1" applyProtection="1">
      <alignment horizontal="center" vertical="center"/>
      <protection/>
    </xf>
    <xf numFmtId="181" fontId="47" fillId="0" borderId="39" xfId="125" applyNumberFormat="1" applyFont="1" applyFill="1" applyBorder="1" applyAlignment="1" applyProtection="1">
      <alignment vertical="center"/>
      <protection/>
    </xf>
    <xf numFmtId="181" fontId="47" fillId="0" borderId="0" xfId="125" applyNumberFormat="1" applyFont="1" applyFill="1" applyBorder="1" applyAlignment="1" applyProtection="1">
      <alignment horizontal="center" vertical="center"/>
      <protection locked="0"/>
    </xf>
    <xf numFmtId="181" fontId="56" fillId="0" borderId="0" xfId="125" applyNumberFormat="1" applyFont="1" applyFill="1" applyBorder="1" applyAlignment="1" applyProtection="1">
      <alignment/>
      <protection/>
    </xf>
    <xf numFmtId="181" fontId="47" fillId="0" borderId="0" xfId="125" applyNumberFormat="1" applyFont="1" applyFill="1" applyBorder="1" applyAlignment="1" applyProtection="1">
      <alignment vertical="center"/>
      <protection/>
    </xf>
    <xf numFmtId="181" fontId="58" fillId="0" borderId="0" xfId="125"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81" fontId="18" fillId="0" borderId="40" xfId="0" applyNumberFormat="1" applyFont="1" applyBorder="1" applyAlignment="1" applyProtection="1">
      <alignment horizontal="center"/>
      <protection/>
    </xf>
    <xf numFmtId="181" fontId="18" fillId="0" borderId="40" xfId="0" applyNumberFormat="1" applyFont="1" applyBorder="1" applyAlignment="1" applyProtection="1">
      <alignment horizontal="center" wrapText="1"/>
      <protection/>
    </xf>
    <xf numFmtId="181" fontId="18" fillId="0" borderId="41"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7" fillId="0" borderId="0" xfId="0" applyFont="1" applyFill="1" applyBorder="1" applyAlignment="1" applyProtection="1">
      <alignment horizontal="center" vertical="center"/>
      <protection/>
    </xf>
    <xf numFmtId="181" fontId="0" fillId="0" borderId="42" xfId="0" applyNumberFormat="1" applyFont="1" applyBorder="1" applyAlignment="1" applyProtection="1">
      <alignment horizontal="left"/>
      <protection/>
    </xf>
    <xf numFmtId="1" fontId="54" fillId="13" borderId="14" xfId="0" applyNumberFormat="1" applyFont="1" applyFill="1" applyBorder="1" applyAlignment="1" applyProtection="1">
      <alignment horizontal="center"/>
      <protection locked="0"/>
    </xf>
    <xf numFmtId="1" fontId="54" fillId="2" borderId="43"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44" xfId="0" applyNumberFormat="1" applyFont="1" applyBorder="1" applyAlignment="1" applyProtection="1">
      <alignment horizontal="left"/>
      <protection/>
    </xf>
    <xf numFmtId="1" fontId="54" fillId="13" borderId="45" xfId="0" applyNumberFormat="1" applyFont="1" applyFill="1" applyBorder="1" applyAlignment="1" applyProtection="1">
      <alignment horizontal="center"/>
      <protection locked="0"/>
    </xf>
    <xf numFmtId="1" fontId="54" fillId="2" borderId="46" xfId="0" applyNumberFormat="1" applyFont="1" applyFill="1" applyBorder="1" applyAlignment="1" applyProtection="1">
      <alignment horizontal="center"/>
      <protection/>
    </xf>
    <xf numFmtId="0" fontId="0" fillId="0" borderId="47" xfId="0" applyBorder="1" applyAlignment="1" applyProtection="1">
      <alignment/>
      <protection/>
    </xf>
    <xf numFmtId="181" fontId="0" fillId="0" borderId="40" xfId="0" applyNumberFormat="1" applyFont="1" applyBorder="1" applyAlignment="1" applyProtection="1">
      <alignment horizontal="center"/>
      <protection/>
    </xf>
    <xf numFmtId="181" fontId="0" fillId="0" borderId="41" xfId="0" applyNumberFormat="1" applyFont="1" applyBorder="1" applyAlignment="1" applyProtection="1">
      <alignment horizontal="center"/>
      <protection/>
    </xf>
    <xf numFmtId="0" fontId="0" fillId="13" borderId="45" xfId="0" applyNumberFormat="1" applyFill="1" applyBorder="1" applyAlignment="1" applyProtection="1">
      <alignment horizontal="center"/>
      <protection locked="0"/>
    </xf>
    <xf numFmtId="0" fontId="0" fillId="0" borderId="46" xfId="0" applyNumberFormat="1" applyFill="1" applyBorder="1" applyAlignment="1" applyProtection="1">
      <alignment horizontal="center"/>
      <protection/>
    </xf>
    <xf numFmtId="0" fontId="43"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181" fontId="0" fillId="0" borderId="41" xfId="0" applyNumberFormat="1" applyFont="1" applyBorder="1" applyAlignment="1" applyProtection="1">
      <alignment horizontal="center" wrapText="1"/>
      <protection/>
    </xf>
    <xf numFmtId="0" fontId="0" fillId="13" borderId="46" xfId="0" applyNumberForma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181" fontId="48" fillId="0" borderId="40" xfId="0" applyNumberFormat="1" applyFont="1" applyBorder="1" applyAlignment="1" applyProtection="1">
      <alignment horizontal="center"/>
      <protection/>
    </xf>
    <xf numFmtId="181" fontId="48" fillId="0" borderId="41" xfId="0" applyNumberFormat="1" applyFont="1" applyBorder="1" applyAlignment="1" applyProtection="1">
      <alignment horizontal="center"/>
      <protection/>
    </xf>
    <xf numFmtId="1" fontId="0" fillId="13" borderId="14" xfId="0" applyNumberFormat="1" applyFill="1" applyBorder="1" applyAlignment="1" applyProtection="1">
      <alignment horizontal="center"/>
      <protection locked="0"/>
    </xf>
    <xf numFmtId="1" fontId="0" fillId="0" borderId="43" xfId="0" applyNumberFormat="1" applyFill="1" applyBorder="1" applyAlignment="1" applyProtection="1">
      <alignment horizontal="center"/>
      <protection/>
    </xf>
    <xf numFmtId="1" fontId="0" fillId="13" borderId="45" xfId="0" applyNumberFormat="1" applyFill="1" applyBorder="1" applyAlignment="1" applyProtection="1">
      <alignment horizontal="center"/>
      <protection locked="0"/>
    </xf>
    <xf numFmtId="0" fontId="0" fillId="0" borderId="48" xfId="0" applyBorder="1" applyAlignment="1" applyProtection="1">
      <alignment/>
      <protection/>
    </xf>
    <xf numFmtId="184" fontId="48" fillId="10" borderId="49" xfId="0" applyNumberFormat="1" applyFont="1" applyFill="1" applyBorder="1" applyAlignment="1" applyProtection="1">
      <alignment horizontal="center"/>
      <protection locked="0"/>
    </xf>
    <xf numFmtId="184" fontId="48" fillId="10" borderId="50" xfId="0" applyNumberFormat="1" applyFont="1" applyFill="1" applyBorder="1" applyAlignment="1" applyProtection="1">
      <alignment horizontal="center"/>
      <protection locked="0"/>
    </xf>
    <xf numFmtId="184" fontId="0" fillId="0" borderId="51" xfId="0" applyNumberFormat="1" applyFont="1" applyFill="1" applyBorder="1" applyAlignment="1" applyProtection="1">
      <alignment horizontal="left"/>
      <protection/>
    </xf>
    <xf numFmtId="187" fontId="0" fillId="13" borderId="52" xfId="0" applyNumberFormat="1" applyFill="1" applyBorder="1" applyAlignment="1" applyProtection="1">
      <alignment horizontal="right" wrapText="1"/>
      <protection/>
    </xf>
    <xf numFmtId="187" fontId="0" fillId="13" borderId="14" xfId="0" applyNumberFormat="1" applyFill="1" applyBorder="1" applyAlignment="1" applyProtection="1">
      <alignment horizontal="right" wrapText="1"/>
      <protection locked="0"/>
    </xf>
    <xf numFmtId="184" fontId="0" fillId="0" borderId="53" xfId="0" applyNumberFormat="1" applyFont="1" applyBorder="1" applyAlignment="1" applyProtection="1">
      <alignment horizontal="left"/>
      <protection/>
    </xf>
    <xf numFmtId="187" fontId="0" fillId="0" borderId="52" xfId="0" applyNumberFormat="1" applyBorder="1" applyAlignment="1" applyProtection="1">
      <alignment horizontal="right" wrapText="1"/>
      <protection/>
    </xf>
    <xf numFmtId="187" fontId="0" fillId="0" borderId="14" xfId="0" applyNumberFormat="1" applyBorder="1" applyAlignment="1" applyProtection="1">
      <alignment horizontal="right" wrapText="1"/>
      <protection/>
    </xf>
    <xf numFmtId="184" fontId="0" fillId="0" borderId="34" xfId="0" applyNumberFormat="1" applyFont="1" applyBorder="1" applyAlignment="1" applyProtection="1">
      <alignment horizontal="left" wrapText="1"/>
      <protection/>
    </xf>
    <xf numFmtId="187" fontId="0" fillId="0" borderId="52" xfId="77"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81" fontId="0" fillId="0" borderId="0" xfId="77"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181" fontId="59" fillId="0" borderId="54" xfId="125" applyNumberFormat="1" applyFont="1" applyFill="1" applyBorder="1" applyAlignment="1" applyProtection="1">
      <alignment/>
      <protection/>
    </xf>
    <xf numFmtId="181" fontId="60" fillId="0" borderId="54" xfId="125" applyNumberFormat="1" applyFont="1" applyFill="1" applyBorder="1" applyAlignment="1" applyProtection="1">
      <alignment/>
      <protection/>
    </xf>
    <xf numFmtId="181" fontId="47" fillId="0" borderId="54" xfId="125" applyNumberFormat="1" applyFont="1" applyFill="1" applyBorder="1" applyAlignment="1" applyProtection="1">
      <alignment vertical="center"/>
      <protection/>
    </xf>
    <xf numFmtId="181" fontId="61" fillId="0" borderId="54" xfId="125" applyNumberFormat="1" applyFont="1" applyFill="1" applyBorder="1" applyAlignment="1" applyProtection="1">
      <alignment vertical="center"/>
      <protection/>
    </xf>
    <xf numFmtId="181" fontId="5" fillId="0" borderId="54" xfId="125" applyNumberFormat="1" applyFont="1" applyFill="1" applyBorder="1" applyAlignment="1" applyProtection="1">
      <alignment vertical="center"/>
      <protection/>
    </xf>
    <xf numFmtId="0" fontId="0" fillId="0" borderId="54" xfId="0" applyFill="1" applyBorder="1" applyAlignment="1" applyProtection="1">
      <alignment/>
      <protection/>
    </xf>
    <xf numFmtId="181" fontId="60" fillId="0" borderId="54" xfId="125" applyNumberFormat="1" applyFont="1" applyFill="1" applyBorder="1" applyAlignment="1" applyProtection="1">
      <alignment vertical="center"/>
      <protection/>
    </xf>
    <xf numFmtId="0" fontId="0" fillId="0" borderId="54" xfId="0" applyBorder="1" applyAlignment="1" applyProtection="1">
      <alignment/>
      <protection/>
    </xf>
    <xf numFmtId="0" fontId="0" fillId="0" borderId="54" xfId="0" applyBorder="1" applyAlignment="1">
      <alignment/>
    </xf>
    <xf numFmtId="181" fontId="62" fillId="0" borderId="55" xfId="0" applyNumberFormat="1" applyFont="1" applyFill="1" applyBorder="1" applyAlignment="1" applyProtection="1">
      <alignment horizontal="center" vertical="center"/>
      <protection/>
    </xf>
    <xf numFmtId="181" fontId="62" fillId="0" borderId="56" xfId="0" applyNumberFormat="1" applyFont="1" applyFill="1" applyBorder="1" applyAlignment="1" applyProtection="1">
      <alignment horizontal="center" vertical="center" wrapText="1"/>
      <protection/>
    </xf>
    <xf numFmtId="0" fontId="1" fillId="0" borderId="57" xfId="0" applyFont="1" applyFill="1" applyBorder="1" applyAlignment="1" applyProtection="1">
      <alignment horizontal="center"/>
      <protection/>
    </xf>
    <xf numFmtId="184" fontId="18" fillId="10" borderId="58" xfId="0" applyNumberFormat="1" applyFont="1" applyFill="1" applyBorder="1" applyAlignment="1" applyProtection="1">
      <alignment horizontal="center"/>
      <protection locked="0"/>
    </xf>
    <xf numFmtId="181" fontId="62" fillId="0" borderId="59" xfId="0" applyNumberFormat="1" applyFont="1" applyFill="1" applyBorder="1" applyAlignment="1" applyProtection="1">
      <alignment horizontal="center" vertical="center"/>
      <protection/>
    </xf>
    <xf numFmtId="0" fontId="62" fillId="0" borderId="60" xfId="0" applyFont="1" applyFill="1" applyBorder="1" applyAlignment="1" applyProtection="1">
      <alignment horizontal="center" vertical="center"/>
      <protection/>
    </xf>
    <xf numFmtId="181" fontId="62" fillId="0" borderId="61" xfId="0" applyNumberFormat="1" applyFont="1" applyFill="1" applyBorder="1" applyAlignment="1" applyProtection="1">
      <alignment horizontal="center" vertical="center"/>
      <protection/>
    </xf>
    <xf numFmtId="181" fontId="62" fillId="0" borderId="62" xfId="0" applyNumberFormat="1" applyFont="1" applyFill="1" applyBorder="1" applyAlignment="1" applyProtection="1">
      <alignment horizontal="center" vertical="center" wrapText="1"/>
      <protection/>
    </xf>
    <xf numFmtId="0" fontId="1" fillId="0" borderId="63" xfId="0" applyFont="1" applyFill="1" applyBorder="1" applyAlignment="1" applyProtection="1">
      <alignment horizontal="center"/>
      <protection/>
    </xf>
    <xf numFmtId="187" fontId="1" fillId="12" borderId="52" xfId="0" applyNumberFormat="1" applyFont="1" applyFill="1" applyBorder="1" applyAlignment="1" applyProtection="1">
      <alignment horizontal="center" vertical="center" wrapText="1"/>
      <protection/>
    </xf>
    <xf numFmtId="194" fontId="1" fillId="12" borderId="52" xfId="0" applyNumberFormat="1" applyFont="1" applyFill="1" applyBorder="1" applyAlignment="1" applyProtection="1">
      <alignment horizontal="center" vertical="center" wrapText="1"/>
      <protection/>
    </xf>
    <xf numFmtId="0" fontId="38" fillId="0" borderId="0" xfId="0" applyFont="1" applyAlignment="1" applyProtection="1">
      <alignment/>
      <protection/>
    </xf>
    <xf numFmtId="49" fontId="0" fillId="0" borderId="0" xfId="0" applyNumberFormat="1" applyFont="1" applyAlignment="1" applyProtection="1">
      <alignment/>
      <protection/>
    </xf>
    <xf numFmtId="49" fontId="62" fillId="0" borderId="55" xfId="0" applyNumberFormat="1" applyFont="1" applyFill="1" applyBorder="1" applyAlignment="1" applyProtection="1">
      <alignment horizontal="center" vertical="center"/>
      <protection/>
    </xf>
    <xf numFmtId="49" fontId="62" fillId="0" borderId="56" xfId="0" applyNumberFormat="1" applyFont="1" applyFill="1" applyBorder="1" applyAlignment="1" applyProtection="1">
      <alignment horizontal="center" vertical="center" wrapText="1"/>
      <protection/>
    </xf>
    <xf numFmtId="49" fontId="1" fillId="2" borderId="64" xfId="0" applyNumberFormat="1" applyFont="1" applyFill="1" applyBorder="1" applyAlignment="1" applyProtection="1">
      <alignment/>
      <protection/>
    </xf>
    <xf numFmtId="187" fontId="1" fillId="0" borderId="52" xfId="0" applyNumberFormat="1" applyFont="1" applyFill="1" applyBorder="1" applyAlignment="1" applyProtection="1">
      <alignment vertical="center"/>
      <protection/>
    </xf>
    <xf numFmtId="187" fontId="1" fillId="0" borderId="14" xfId="0" applyNumberFormat="1" applyFont="1" applyFill="1" applyBorder="1" applyAlignment="1" applyProtection="1">
      <alignment vertical="center"/>
      <protection/>
    </xf>
    <xf numFmtId="49" fontId="1" fillId="2" borderId="11" xfId="0" applyNumberFormat="1" applyFont="1" applyFill="1" applyBorder="1" applyAlignment="1" applyProtection="1">
      <alignment/>
      <protection/>
    </xf>
    <xf numFmtId="49" fontId="1" fillId="27" borderId="14" xfId="0" applyNumberFormat="1" applyFont="1" applyFill="1" applyBorder="1" applyAlignment="1" applyProtection="1">
      <alignment/>
      <protection/>
    </xf>
    <xf numFmtId="187" fontId="1" fillId="27" borderId="14" xfId="0" applyNumberFormat="1" applyFont="1" applyFill="1" applyBorder="1" applyAlignment="1" applyProtection="1">
      <alignment vertical="center"/>
      <protection/>
    </xf>
    <xf numFmtId="49" fontId="1" fillId="2" borderId="65" xfId="0" applyNumberFormat="1" applyFont="1" applyFill="1" applyBorder="1" applyAlignment="1" applyProtection="1">
      <alignment/>
      <protection/>
    </xf>
    <xf numFmtId="187" fontId="1" fillId="0" borderId="66" xfId="0" applyNumberFormat="1" applyFont="1" applyFill="1" applyBorder="1" applyAlignment="1" applyProtection="1">
      <alignment vertical="center"/>
      <protection/>
    </xf>
    <xf numFmtId="181" fontId="64" fillId="0" borderId="0" xfId="83" applyFont="1" applyFill="1" applyAlignment="1" applyProtection="1">
      <alignment vertical="center"/>
      <protection/>
    </xf>
    <xf numFmtId="0" fontId="54" fillId="0" borderId="0" xfId="0" applyFont="1" applyAlignment="1" applyProtection="1">
      <alignment/>
      <protection/>
    </xf>
    <xf numFmtId="181" fontId="65" fillId="0" borderId="0" xfId="95"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6" fillId="0" borderId="0" xfId="0" applyFont="1" applyFill="1" applyBorder="1" applyAlignment="1" applyProtection="1">
      <alignment horizontal="left"/>
      <protection/>
    </xf>
    <xf numFmtId="0" fontId="67" fillId="0" borderId="0" xfId="0" applyFont="1" applyFill="1" applyAlignment="1" applyProtection="1">
      <alignment/>
      <protection/>
    </xf>
    <xf numFmtId="0" fontId="2" fillId="0" borderId="0" xfId="0" applyFont="1" applyAlignment="1" applyProtection="1">
      <alignment/>
      <protection/>
    </xf>
    <xf numFmtId="181" fontId="68" fillId="0" borderId="0" xfId="95" applyFont="1" applyFill="1" applyAlignment="1" applyProtection="1">
      <alignment/>
      <protection/>
    </xf>
    <xf numFmtId="181" fontId="68" fillId="0" borderId="0" xfId="95" applyFont="1" applyFill="1" applyAlignment="1" applyProtection="1">
      <alignment horizontal="center"/>
      <protection/>
    </xf>
    <xf numFmtId="181" fontId="68" fillId="0" borderId="0" xfId="95" applyFont="1" applyFill="1" applyAlignment="1" applyProtection="1">
      <alignment horizontal="right"/>
      <protection/>
    </xf>
    <xf numFmtId="181" fontId="68" fillId="0" borderId="0" xfId="95" applyFont="1" applyFill="1" applyBorder="1" applyAlignment="1" applyProtection="1">
      <alignment horizontal="center"/>
      <protection/>
    </xf>
    <xf numFmtId="181" fontId="0" fillId="0" borderId="0" xfId="94" applyProtection="1">
      <alignment/>
      <protection/>
    </xf>
    <xf numFmtId="0" fontId="2" fillId="0" borderId="0" xfId="0" applyFont="1" applyAlignment="1" applyProtection="1">
      <alignment horizontal="left" indent="1"/>
      <protection/>
    </xf>
    <xf numFmtId="0" fontId="26" fillId="0" borderId="0" xfId="0" applyFont="1" applyAlignment="1" applyProtection="1">
      <alignment horizontal="left" indent="1"/>
      <protection/>
    </xf>
    <xf numFmtId="181" fontId="0" fillId="0" borderId="67" xfId="119" applyNumberFormat="1" applyFont="1" applyFill="1" applyBorder="1" applyAlignment="1" applyProtection="1">
      <alignment horizontal="right"/>
      <protection/>
    </xf>
    <xf numFmtId="197" fontId="38" fillId="13" borderId="67" xfId="119" applyNumberFormat="1" applyFont="1" applyFill="1" applyBorder="1" applyAlignment="1" applyProtection="1">
      <alignment horizontal="center" vertical="center"/>
      <protection/>
    </xf>
    <xf numFmtId="181" fontId="65" fillId="0" borderId="67" xfId="119" applyNumberFormat="1" applyFont="1" applyFill="1" applyBorder="1" applyAlignment="1" applyProtection="1">
      <alignment horizontal="right"/>
      <protection/>
    </xf>
    <xf numFmtId="181" fontId="38" fillId="13" borderId="67" xfId="119" applyNumberFormat="1" applyFont="1" applyFill="1" applyBorder="1" applyAlignment="1" applyProtection="1">
      <alignment horizontal="center" vertical="center"/>
      <protection/>
    </xf>
    <xf numFmtId="183" fontId="38" fillId="13" borderId="67" xfId="119" applyNumberFormat="1" applyFont="1" applyFill="1" applyBorder="1" applyAlignment="1" applyProtection="1">
      <alignment horizontal="center" vertical="center"/>
      <protection/>
    </xf>
    <xf numFmtId="181" fontId="2" fillId="0" borderId="0" xfId="94" applyFont="1" applyProtection="1">
      <alignment/>
      <protection/>
    </xf>
    <xf numFmtId="199" fontId="38" fillId="13" borderId="67" xfId="119" applyNumberFormat="1" applyFont="1" applyFill="1" applyBorder="1" applyAlignment="1" applyProtection="1">
      <alignment horizontal="center"/>
      <protection/>
    </xf>
    <xf numFmtId="187" fontId="38" fillId="13" borderId="67" xfId="119" applyNumberFormat="1" applyFont="1" applyFill="1" applyBorder="1" applyAlignment="1" applyProtection="1">
      <alignment horizontal="center"/>
      <protection/>
    </xf>
    <xf numFmtId="181" fontId="38" fillId="13" borderId="67" xfId="119" applyNumberFormat="1" applyFont="1" applyFill="1" applyBorder="1" applyAlignment="1" applyProtection="1">
      <alignment horizontal="center"/>
      <protection/>
    </xf>
    <xf numFmtId="0" fontId="2" fillId="0" borderId="0" xfId="0" applyFont="1" applyFill="1" applyBorder="1" applyAlignment="1" applyProtection="1">
      <alignment/>
      <protection/>
    </xf>
    <xf numFmtId="183" fontId="38" fillId="13" borderId="67" xfId="119" applyNumberFormat="1" applyFont="1" applyFill="1" applyBorder="1" applyAlignment="1" applyProtection="1">
      <alignment horizontal="center"/>
      <protection/>
    </xf>
    <xf numFmtId="0" fontId="70" fillId="0" borderId="0" xfId="0" applyFont="1" applyFill="1" applyBorder="1" applyAlignment="1" applyProtection="1">
      <alignment/>
      <protection/>
    </xf>
    <xf numFmtId="0" fontId="26" fillId="0" borderId="0" xfId="94" applyNumberFormat="1" applyFont="1" applyBorder="1" applyProtection="1">
      <alignment/>
      <protection/>
    </xf>
    <xf numFmtId="181" fontId="71" fillId="0" borderId="0" xfId="94" applyFont="1" applyProtection="1">
      <alignment/>
      <protection/>
    </xf>
    <xf numFmtId="181" fontId="2" fillId="0" borderId="0" xfId="96" applyFont="1" applyProtection="1">
      <alignment/>
      <protection/>
    </xf>
    <xf numFmtId="181" fontId="71" fillId="0" borderId="0" xfId="96" applyFont="1" applyProtection="1">
      <alignment/>
      <protection/>
    </xf>
    <xf numFmtId="181" fontId="23" fillId="0" borderId="0" xfId="83" applyFont="1" applyFill="1" applyAlignment="1">
      <alignment vertical="center"/>
      <protection/>
    </xf>
    <xf numFmtId="181" fontId="40" fillId="0" borderId="0" xfId="0" applyNumberFormat="1" applyFont="1" applyAlignment="1" applyProtection="1">
      <alignment horizontal="right"/>
      <protection/>
    </xf>
    <xf numFmtId="181" fontId="40" fillId="0" borderId="0" xfId="0" applyNumberFormat="1" applyFont="1" applyBorder="1" applyAlignment="1" applyProtection="1">
      <alignment horizontal="right"/>
      <protection/>
    </xf>
    <xf numFmtId="0" fontId="40" fillId="0" borderId="0" xfId="0" applyNumberFormat="1" applyFont="1" applyAlignment="1" applyProtection="1">
      <alignment horizontal="center"/>
      <protection/>
    </xf>
    <xf numFmtId="0" fontId="70" fillId="0" borderId="0" xfId="0" applyFont="1" applyAlignment="1">
      <alignment/>
    </xf>
    <xf numFmtId="183" fontId="40" fillId="0" borderId="0" xfId="0" applyNumberFormat="1" applyFont="1" applyAlignment="1" applyProtection="1">
      <alignment horizontal="center"/>
      <protection/>
    </xf>
    <xf numFmtId="181" fontId="40" fillId="0" borderId="0" xfId="0" applyNumberFormat="1" applyFont="1" applyAlignment="1" applyProtection="1">
      <alignment/>
      <protection/>
    </xf>
    <xf numFmtId="185" fontId="40" fillId="0" borderId="0" xfId="77" applyNumberFormat="1" applyFont="1" applyFill="1" applyBorder="1" applyAlignment="1" applyProtection="1">
      <alignment horizontal="left"/>
      <protection/>
    </xf>
    <xf numFmtId="181" fontId="40" fillId="0" borderId="0" xfId="0" applyNumberFormat="1" applyFont="1" applyBorder="1" applyAlignment="1" applyProtection="1">
      <alignment/>
      <protection/>
    </xf>
    <xf numFmtId="0" fontId="68" fillId="0" borderId="0" xfId="0" applyFont="1" applyBorder="1" applyAlignment="1" applyProtection="1">
      <alignment horizontal="center"/>
      <protection/>
    </xf>
    <xf numFmtId="0" fontId="68" fillId="0" borderId="0" xfId="0" applyFont="1" applyAlignment="1" applyProtection="1">
      <alignment horizontal="center"/>
      <protection/>
    </xf>
    <xf numFmtId="183" fontId="40" fillId="0" borderId="0" xfId="0" applyNumberFormat="1" applyFont="1" applyAlignment="1" applyProtection="1">
      <alignment horizontal="right"/>
      <protection/>
    </xf>
    <xf numFmtId="183" fontId="40" fillId="0" borderId="0" xfId="0" applyNumberFormat="1" applyFont="1" applyAlignment="1" applyProtection="1">
      <alignment horizontal="left"/>
      <protection/>
    </xf>
    <xf numFmtId="181" fontId="73" fillId="0" borderId="0" xfId="0" applyNumberFormat="1" applyFont="1" applyBorder="1" applyAlignment="1" applyProtection="1">
      <alignment/>
      <protection/>
    </xf>
    <xf numFmtId="0" fontId="74" fillId="0" borderId="0" xfId="0" applyFont="1" applyBorder="1" applyAlignment="1" applyProtection="1">
      <alignment/>
      <protection/>
    </xf>
    <xf numFmtId="0" fontId="2" fillId="0" borderId="0" xfId="0" applyFont="1" applyAlignment="1">
      <alignment/>
    </xf>
    <xf numFmtId="181" fontId="76" fillId="0" borderId="0" xfId="0" applyNumberFormat="1" applyFont="1" applyAlignment="1" applyProtection="1">
      <alignment/>
      <protection/>
    </xf>
    <xf numFmtId="0" fontId="0" fillId="0" borderId="0" xfId="0" applyBorder="1" applyAlignment="1">
      <alignment horizontal="left" wrapText="1"/>
    </xf>
    <xf numFmtId="0" fontId="74" fillId="0" borderId="0" xfId="0" applyFont="1" applyFill="1" applyAlignment="1" applyProtection="1">
      <alignment horizontal="left"/>
      <protection locked="0"/>
    </xf>
    <xf numFmtId="0" fontId="74" fillId="0" borderId="0" xfId="0" applyFont="1" applyFill="1" applyBorder="1" applyAlignment="1" applyProtection="1">
      <alignment horizontal="left"/>
      <protection locked="0"/>
    </xf>
    <xf numFmtId="181" fontId="77" fillId="0" borderId="0" xfId="0" applyNumberFormat="1" applyFont="1" applyBorder="1" applyAlignment="1" applyProtection="1">
      <alignment vertical="center" wrapText="1"/>
      <protection/>
    </xf>
    <xf numFmtId="181" fontId="77" fillId="0" borderId="48" xfId="0" applyNumberFormat="1" applyFont="1" applyFill="1" applyBorder="1" applyAlignment="1" applyProtection="1">
      <alignment horizontal="center" wrapText="1"/>
      <protection/>
    </xf>
    <xf numFmtId="181" fontId="77" fillId="0" borderId="68" xfId="0" applyNumberFormat="1" applyFont="1" applyFill="1" applyBorder="1" applyAlignment="1" applyProtection="1">
      <alignment horizontal="center" wrapText="1"/>
      <protection/>
    </xf>
    <xf numFmtId="0" fontId="77" fillId="0" borderId="0" xfId="0" applyFont="1" applyFill="1" applyBorder="1" applyAlignment="1" applyProtection="1">
      <alignment wrapText="1"/>
      <protection/>
    </xf>
    <xf numFmtId="0" fontId="73" fillId="0" borderId="34" xfId="0" applyFont="1" applyFill="1" applyBorder="1" applyAlignment="1" applyProtection="1">
      <alignment horizontal="center"/>
      <protection/>
    </xf>
    <xf numFmtId="0" fontId="73" fillId="0" borderId="69" xfId="0" applyFont="1" applyFill="1" applyBorder="1" applyAlignment="1" applyProtection="1">
      <alignment horizontal="center"/>
      <protection/>
    </xf>
    <xf numFmtId="0" fontId="48" fillId="3" borderId="70" xfId="0" applyFont="1" applyFill="1" applyBorder="1" applyAlignment="1" applyProtection="1">
      <alignment horizontal="center"/>
      <protection/>
    </xf>
    <xf numFmtId="0" fontId="74" fillId="0" borderId="0" xfId="0" applyFont="1" applyAlignment="1" applyProtection="1">
      <alignment/>
      <protection/>
    </xf>
    <xf numFmtId="181" fontId="0" fillId="0" borderId="0" xfId="0" applyNumberFormat="1" applyAlignment="1">
      <alignment/>
    </xf>
    <xf numFmtId="181" fontId="23" fillId="0" borderId="0" xfId="93" applyFont="1" applyFill="1" applyAlignment="1">
      <alignment vertical="center"/>
      <protection/>
    </xf>
    <xf numFmtId="181" fontId="40" fillId="0" borderId="0" xfId="0" applyNumberFormat="1" applyFont="1" applyAlignment="1">
      <alignment horizontal="right"/>
    </xf>
    <xf numFmtId="181" fontId="40" fillId="0" borderId="0" xfId="0" applyNumberFormat="1" applyFont="1" applyAlignment="1">
      <alignment/>
    </xf>
    <xf numFmtId="181" fontId="76" fillId="0" borderId="0" xfId="0" applyNumberFormat="1" applyFont="1" applyAlignment="1">
      <alignment/>
    </xf>
    <xf numFmtId="0" fontId="74" fillId="0" borderId="0" xfId="0" applyFont="1" applyAlignment="1">
      <alignment/>
    </xf>
    <xf numFmtId="0" fontId="0" fillId="0" borderId="0" xfId="0" applyBorder="1" applyAlignment="1">
      <alignment horizontal="left"/>
    </xf>
    <xf numFmtId="200" fontId="0" fillId="0" borderId="0" xfId="0" applyNumberFormat="1" applyAlignment="1">
      <alignment/>
    </xf>
    <xf numFmtId="0" fontId="18" fillId="0" borderId="0" xfId="0" applyFont="1" applyBorder="1" applyAlignment="1">
      <alignment horizontal="center"/>
    </xf>
    <xf numFmtId="201" fontId="0" fillId="0" borderId="0" xfId="119" applyNumberFormat="1" applyFill="1" applyBorder="1" applyAlignment="1" applyProtection="1">
      <alignment horizontal="center"/>
      <protection locked="0"/>
    </xf>
    <xf numFmtId="201" fontId="0" fillId="0" borderId="0" xfId="0" applyNumberFormat="1" applyFill="1" applyAlignment="1">
      <alignment/>
    </xf>
    <xf numFmtId="183" fontId="0" fillId="0" borderId="0" xfId="0" applyNumberFormat="1" applyFont="1" applyFill="1" applyBorder="1" applyAlignment="1">
      <alignment horizontal="center"/>
    </xf>
    <xf numFmtId="1" fontId="54" fillId="0" borderId="0" xfId="0" applyNumberFormat="1" applyFont="1" applyFill="1" applyBorder="1" applyAlignment="1">
      <alignment horizontal="center"/>
    </xf>
    <xf numFmtId="1" fontId="66"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0" fillId="0" borderId="0" xfId="0" applyFont="1" applyFill="1" applyBorder="1" applyAlignment="1" applyProtection="1">
      <alignment wrapText="1"/>
      <protection/>
    </xf>
    <xf numFmtId="0" fontId="54" fillId="2" borderId="11" xfId="0" applyFont="1" applyFill="1" applyBorder="1" applyAlignment="1" applyProtection="1">
      <alignment/>
      <protection/>
    </xf>
    <xf numFmtId="194" fontId="0" fillId="2" borderId="14" xfId="0" applyNumberFormat="1" applyFill="1" applyBorder="1" applyAlignment="1" applyProtection="1">
      <alignment horizontal="center"/>
      <protection/>
    </xf>
    <xf numFmtId="194" fontId="0" fillId="0" borderId="14" xfId="0" applyNumberFormat="1" applyBorder="1" applyAlignment="1" applyProtection="1">
      <alignment horizontal="center"/>
      <protection/>
    </xf>
    <xf numFmtId="0" fontId="40" fillId="0" borderId="0" xfId="0" applyFont="1" applyAlignment="1" applyProtection="1">
      <alignment horizontal="center"/>
      <protection/>
    </xf>
    <xf numFmtId="181" fontId="40" fillId="0" borderId="0" xfId="0" applyNumberFormat="1" applyFont="1" applyAlignment="1" applyProtection="1">
      <alignment/>
      <protection/>
    </xf>
    <xf numFmtId="183" fontId="40"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81" fontId="18"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48" fillId="0" borderId="0" xfId="0" applyNumberFormat="1" applyFont="1" applyAlignment="1" applyProtection="1">
      <alignment horizontal="center"/>
      <protection/>
    </xf>
    <xf numFmtId="0" fontId="74" fillId="0" borderId="14" xfId="0" applyFont="1" applyBorder="1" applyAlignment="1" applyProtection="1">
      <alignment horizontal="center" vertical="center" wrapText="1"/>
      <protection/>
    </xf>
    <xf numFmtId="9" fontId="80" fillId="14" borderId="14" xfId="103" applyFont="1" applyFill="1" applyBorder="1" applyAlignment="1" applyProtection="1">
      <alignment horizontal="center" vertical="center" wrapText="1"/>
      <protection/>
    </xf>
    <xf numFmtId="187" fontId="2" fillId="2" borderId="71" xfId="0" applyNumberFormat="1" applyFont="1" applyFill="1" applyBorder="1" applyAlignment="1">
      <alignment horizontal="right"/>
    </xf>
    <xf numFmtId="187" fontId="2" fillId="2" borderId="71" xfId="77" applyNumberFormat="1" applyFont="1" applyFill="1" applyBorder="1" applyAlignment="1" applyProtection="1">
      <alignment/>
      <protection/>
    </xf>
    <xf numFmtId="9" fontId="2" fillId="2" borderId="71" xfId="103" applyFont="1" applyFill="1" applyBorder="1" applyAlignment="1" applyProtection="1">
      <alignment/>
      <protection/>
    </xf>
    <xf numFmtId="9" fontId="2" fillId="2" borderId="71" xfId="103" applyNumberFormat="1" applyFont="1" applyFill="1" applyBorder="1" applyAlignment="1" applyProtection="1">
      <alignment/>
      <protection/>
    </xf>
    <xf numFmtId="9" fontId="2" fillId="2" borderId="71" xfId="103" applyFont="1" applyFill="1" applyBorder="1" applyAlignment="1" applyProtection="1">
      <alignment horizontal="center"/>
      <protection/>
    </xf>
    <xf numFmtId="187" fontId="2" fillId="0" borderId="0" xfId="0" applyNumberFormat="1" applyFont="1" applyAlignment="1">
      <alignment/>
    </xf>
    <xf numFmtId="187" fontId="2" fillId="2" borderId="71" xfId="0" applyNumberFormat="1" applyFont="1" applyFill="1" applyBorder="1" applyAlignment="1">
      <alignment/>
    </xf>
    <xf numFmtId="181" fontId="2" fillId="0" borderId="0" xfId="0" applyNumberFormat="1" applyFont="1" applyAlignment="1">
      <alignment/>
    </xf>
    <xf numFmtId="0" fontId="50" fillId="0" borderId="0" xfId="0" applyFont="1" applyFill="1" applyBorder="1" applyAlignment="1" applyProtection="1">
      <alignment/>
      <protection/>
    </xf>
    <xf numFmtId="0" fontId="81" fillId="0" borderId="0" xfId="0" applyFont="1" applyAlignment="1">
      <alignment/>
    </xf>
    <xf numFmtId="0" fontId="81" fillId="0" borderId="0" xfId="0" applyFont="1" applyAlignment="1">
      <alignment horizontal="right"/>
    </xf>
    <xf numFmtId="0" fontId="81" fillId="0" borderId="0" xfId="0" applyFont="1" applyAlignment="1" applyProtection="1">
      <alignment/>
      <protection/>
    </xf>
    <xf numFmtId="0" fontId="81" fillId="0" borderId="0" xfId="0" applyFont="1" applyAlignment="1" applyProtection="1">
      <alignment horizontal="right"/>
      <protection/>
    </xf>
    <xf numFmtId="181" fontId="41" fillId="0" borderId="0" xfId="93" applyFont="1" applyFill="1" applyAlignment="1">
      <alignment vertical="center"/>
      <protection/>
    </xf>
    <xf numFmtId="0" fontId="81" fillId="0" borderId="0" xfId="0" applyFont="1" applyBorder="1" applyAlignment="1" applyProtection="1">
      <alignment/>
      <protection/>
    </xf>
    <xf numFmtId="0" fontId="82" fillId="0" borderId="0" xfId="0" applyFont="1" applyBorder="1" applyAlignment="1" applyProtection="1">
      <alignment horizontal="left" vertical="center"/>
      <protection/>
    </xf>
    <xf numFmtId="0" fontId="82" fillId="0" borderId="0" xfId="0" applyFont="1" applyBorder="1" applyAlignment="1" applyProtection="1">
      <alignment horizontal="left"/>
      <protection/>
    </xf>
    <xf numFmtId="203" fontId="82" fillId="0" borderId="0" xfId="0" applyNumberFormat="1" applyFont="1" applyBorder="1" applyAlignment="1" applyProtection="1">
      <alignment horizontal="left"/>
      <protection/>
    </xf>
    <xf numFmtId="0" fontId="81" fillId="0" borderId="0" xfId="0" applyFont="1" applyBorder="1" applyAlignment="1">
      <alignment/>
    </xf>
    <xf numFmtId="0" fontId="84" fillId="0" borderId="0" xfId="0" applyFont="1" applyAlignment="1" applyProtection="1">
      <alignment/>
      <protection/>
    </xf>
    <xf numFmtId="0" fontId="87" fillId="0" borderId="0" xfId="0" applyFont="1" applyFill="1" applyBorder="1" applyAlignment="1" applyProtection="1">
      <alignment horizontal="right"/>
      <protection/>
    </xf>
    <xf numFmtId="0" fontId="84" fillId="0" borderId="0" xfId="0" applyFont="1" applyAlignment="1">
      <alignment/>
    </xf>
    <xf numFmtId="0" fontId="62" fillId="0" borderId="72" xfId="0" applyFont="1" applyFill="1" applyBorder="1" applyAlignment="1" applyProtection="1">
      <alignment horizontal="center" vertical="center" wrapText="1"/>
      <protection/>
    </xf>
    <xf numFmtId="0" fontId="88" fillId="0" borderId="73" xfId="0" applyNumberFormat="1" applyFont="1" applyFill="1" applyBorder="1" applyAlignment="1" applyProtection="1">
      <alignment horizontal="right"/>
      <protection/>
    </xf>
    <xf numFmtId="9" fontId="89" fillId="0" borderId="0" xfId="0" applyNumberFormat="1" applyFont="1" applyFill="1" applyBorder="1" applyAlignment="1" applyProtection="1">
      <alignment/>
      <protection/>
    </xf>
    <xf numFmtId="0" fontId="62" fillId="0" borderId="74" xfId="0" applyFont="1" applyFill="1" applyBorder="1" applyAlignment="1" applyProtection="1">
      <alignment horizontal="center"/>
      <protection/>
    </xf>
    <xf numFmtId="0" fontId="88" fillId="0" borderId="75" xfId="0" applyNumberFormat="1" applyFont="1" applyFill="1" applyBorder="1" applyAlignment="1" applyProtection="1">
      <alignment horizontal="right"/>
      <protection/>
    </xf>
    <xf numFmtId="0" fontId="62" fillId="0" borderId="76" xfId="0" applyFont="1" applyFill="1" applyBorder="1" applyAlignment="1" applyProtection="1">
      <alignment horizontal="center"/>
      <protection/>
    </xf>
    <xf numFmtId="0" fontId="88" fillId="0" borderId="77" xfId="0" applyNumberFormat="1" applyFont="1" applyFill="1" applyBorder="1" applyAlignment="1" applyProtection="1">
      <alignment horizontal="right"/>
      <protection/>
    </xf>
    <xf numFmtId="0" fontId="90" fillId="0" borderId="0" xfId="0" applyFont="1" applyFill="1" applyBorder="1" applyAlignment="1" applyProtection="1">
      <alignment horizontal="center"/>
      <protection/>
    </xf>
    <xf numFmtId="0" fontId="88" fillId="0" borderId="0" xfId="0" applyNumberFormat="1" applyFont="1" applyFill="1" applyBorder="1" applyAlignment="1" applyProtection="1">
      <alignment horizontal="right"/>
      <protection/>
    </xf>
    <xf numFmtId="0" fontId="29" fillId="0" borderId="0" xfId="0" applyFont="1" applyFill="1" applyBorder="1" applyAlignment="1" applyProtection="1">
      <alignment horizontal="center" vertical="center"/>
      <protection/>
    </xf>
    <xf numFmtId="9" fontId="89" fillId="0" borderId="0" xfId="0" applyNumberFormat="1" applyFont="1" applyFill="1" applyBorder="1" applyAlignment="1" applyProtection="1">
      <alignment horizontal="center"/>
      <protection/>
    </xf>
    <xf numFmtId="0" fontId="84" fillId="0" borderId="0" xfId="0" applyFont="1" applyFill="1" applyAlignment="1">
      <alignment/>
    </xf>
    <xf numFmtId="204" fontId="91" fillId="2" borderId="0" xfId="0" applyNumberFormat="1" applyFont="1" applyFill="1" applyBorder="1" applyAlignment="1" applyProtection="1">
      <alignment vertical="center"/>
      <protection/>
    </xf>
    <xf numFmtId="0" fontId="88" fillId="2" borderId="0" xfId="0" applyNumberFormat="1" applyFont="1" applyFill="1" applyBorder="1" applyAlignment="1" applyProtection="1">
      <alignment horizontal="right"/>
      <protection/>
    </xf>
    <xf numFmtId="0" fontId="29" fillId="2" borderId="0" xfId="0" applyFont="1" applyFill="1" applyBorder="1" applyAlignment="1" applyProtection="1">
      <alignment horizontal="center" vertical="center"/>
      <protection/>
    </xf>
    <xf numFmtId="0" fontId="92" fillId="2" borderId="0" xfId="0" applyFont="1" applyFill="1" applyBorder="1" applyAlignment="1" applyProtection="1">
      <alignment horizontal="center" vertical="center"/>
      <protection/>
    </xf>
    <xf numFmtId="194" fontId="91" fillId="2" borderId="0" xfId="103" applyNumberFormat="1" applyFont="1" applyFill="1" applyBorder="1" applyAlignment="1" applyProtection="1">
      <alignment horizontal="right"/>
      <protection/>
    </xf>
    <xf numFmtId="9" fontId="93" fillId="2" borderId="0" xfId="0" applyNumberFormat="1" applyFont="1" applyFill="1" applyBorder="1" applyAlignment="1" applyProtection="1">
      <alignment/>
      <protection/>
    </xf>
    <xf numFmtId="0" fontId="94" fillId="2" borderId="0" xfId="0" applyFont="1" applyFill="1" applyBorder="1" applyAlignment="1" applyProtection="1">
      <alignment horizontal="center" vertical="center"/>
      <protection/>
    </xf>
    <xf numFmtId="9" fontId="93" fillId="2" borderId="0" xfId="0" applyNumberFormat="1" applyFont="1" applyFill="1" applyBorder="1" applyAlignment="1" applyProtection="1">
      <alignment horizontal="left"/>
      <protection/>
    </xf>
    <xf numFmtId="0" fontId="74" fillId="0" borderId="0" xfId="0" applyFont="1" applyBorder="1" applyAlignment="1" applyProtection="1">
      <alignment horizontal="center" vertical="center"/>
      <protection/>
    </xf>
    <xf numFmtId="0" fontId="91" fillId="2" borderId="0" xfId="0" applyFont="1" applyFill="1" applyBorder="1" applyAlignment="1" applyProtection="1">
      <alignment horizontal="left" vertical="center"/>
      <protection/>
    </xf>
    <xf numFmtId="187" fontId="95" fillId="0" borderId="0" xfId="0" applyNumberFormat="1" applyFont="1" applyFill="1" applyBorder="1" applyAlignment="1" applyProtection="1">
      <alignment horizontal="right" vertical="center"/>
      <protection/>
    </xf>
    <xf numFmtId="0" fontId="96" fillId="2" borderId="0" xfId="0" applyFont="1" applyFill="1" applyBorder="1" applyAlignment="1" applyProtection="1">
      <alignment horizontal="left" vertical="center"/>
      <protection/>
    </xf>
    <xf numFmtId="0" fontId="62" fillId="0" borderId="78" xfId="0" applyNumberFormat="1" applyFont="1" applyFill="1" applyBorder="1" applyAlignment="1" applyProtection="1">
      <alignment horizontal="center"/>
      <protection/>
    </xf>
    <xf numFmtId="0" fontId="88" fillId="0" borderId="79" xfId="0" applyNumberFormat="1" applyFont="1" applyFill="1" applyBorder="1" applyAlignment="1" applyProtection="1">
      <alignment horizontal="right"/>
      <protection/>
    </xf>
    <xf numFmtId="9" fontId="93" fillId="0" borderId="0" xfId="0" applyNumberFormat="1" applyFont="1" applyFill="1" applyBorder="1" applyAlignment="1" applyProtection="1">
      <alignment/>
      <protection/>
    </xf>
    <xf numFmtId="0" fontId="62" fillId="0" borderId="80" xfId="0" applyNumberFormat="1" applyFont="1" applyFill="1" applyBorder="1" applyAlignment="1" applyProtection="1">
      <alignment horizontal="center"/>
      <protection/>
    </xf>
    <xf numFmtId="0" fontId="88" fillId="0" borderId="81" xfId="0" applyNumberFormat="1" applyFont="1" applyFill="1" applyBorder="1" applyAlignment="1" applyProtection="1">
      <alignment horizontal="right"/>
      <protection/>
    </xf>
    <xf numFmtId="0" fontId="81" fillId="0" borderId="0" xfId="0" applyNumberFormat="1" applyFont="1" applyBorder="1" applyAlignment="1">
      <alignment/>
    </xf>
    <xf numFmtId="0" fontId="62" fillId="0" borderId="80" xfId="0" applyNumberFormat="1" applyFont="1" applyFill="1" applyBorder="1" applyAlignment="1" applyProtection="1">
      <alignment horizontal="center" vertical="center"/>
      <protection/>
    </xf>
    <xf numFmtId="0" fontId="62" fillId="0" borderId="82" xfId="0" applyNumberFormat="1" applyFont="1" applyFill="1" applyBorder="1" applyAlignment="1" applyProtection="1">
      <alignment horizontal="center" vertical="center"/>
      <protection/>
    </xf>
    <xf numFmtId="0" fontId="88" fillId="0" borderId="83" xfId="0" applyNumberFormat="1" applyFont="1" applyFill="1" applyBorder="1" applyAlignment="1" applyProtection="1">
      <alignment horizontal="right"/>
      <protection/>
    </xf>
    <xf numFmtId="0" fontId="98" fillId="0" borderId="0" xfId="0" applyFont="1" applyFill="1" applyBorder="1" applyAlignment="1" applyProtection="1">
      <alignment/>
      <protection/>
    </xf>
    <xf numFmtId="0" fontId="99" fillId="0" borderId="0" xfId="0" applyFont="1" applyFill="1" applyBorder="1" applyAlignment="1" applyProtection="1">
      <alignment/>
      <protection/>
    </xf>
    <xf numFmtId="0" fontId="100"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right" vertical="center" indent="1"/>
      <protection/>
    </xf>
    <xf numFmtId="0" fontId="102" fillId="0" borderId="0" xfId="0" applyFont="1" applyFill="1" applyBorder="1" applyAlignment="1" applyProtection="1">
      <alignment horizontal="center"/>
      <protection/>
    </xf>
    <xf numFmtId="0" fontId="103" fillId="0" borderId="84" xfId="0" applyNumberFormat="1" applyFont="1" applyFill="1" applyBorder="1" applyAlignment="1" applyProtection="1">
      <alignment horizontal="center" vertical="center"/>
      <protection/>
    </xf>
    <xf numFmtId="0" fontId="74" fillId="0" borderId="85" xfId="0" applyNumberFormat="1" applyFont="1" applyFill="1" applyBorder="1" applyAlignment="1" applyProtection="1">
      <alignment vertical="center"/>
      <protection/>
    </xf>
    <xf numFmtId="0" fontId="103" fillId="0" borderId="86" xfId="0" applyNumberFormat="1" applyFont="1" applyFill="1" applyBorder="1" applyAlignment="1" applyProtection="1">
      <alignment horizontal="center" vertical="center"/>
      <protection/>
    </xf>
    <xf numFmtId="0" fontId="74" fillId="0" borderId="87" xfId="0" applyNumberFormat="1" applyFont="1" applyFill="1" applyBorder="1" applyAlignment="1" applyProtection="1">
      <alignment vertical="center"/>
      <protection/>
    </xf>
    <xf numFmtId="0" fontId="103" fillId="0" borderId="88" xfId="0" applyNumberFormat="1" applyFont="1" applyFill="1" applyBorder="1" applyAlignment="1" applyProtection="1">
      <alignment horizontal="center" vertical="center"/>
      <protection/>
    </xf>
    <xf numFmtId="0" fontId="74" fillId="0" borderId="89" xfId="0" applyNumberFormat="1" applyFont="1" applyFill="1" applyBorder="1" applyAlignment="1" applyProtection="1">
      <alignment vertical="center"/>
      <protection/>
    </xf>
    <xf numFmtId="0" fontId="74" fillId="0" borderId="90" xfId="0" applyNumberFormat="1" applyFont="1" applyFill="1" applyBorder="1" applyAlignment="1" applyProtection="1">
      <alignment vertical="center"/>
      <protection/>
    </xf>
    <xf numFmtId="183" fontId="0" fillId="0" borderId="0" xfId="0" applyNumberFormat="1" applyAlignment="1">
      <alignment/>
    </xf>
    <xf numFmtId="0" fontId="24" fillId="0" borderId="0" xfId="0" applyFont="1" applyAlignment="1">
      <alignment horizontal="center"/>
    </xf>
    <xf numFmtId="0" fontId="83" fillId="10" borderId="91" xfId="0" applyNumberFormat="1" applyFont="1" applyFill="1" applyBorder="1" applyAlignment="1">
      <alignment vertical="center"/>
    </xf>
    <xf numFmtId="0" fontId="83" fillId="10" borderId="91" xfId="0" applyFont="1" applyFill="1" applyBorder="1" applyAlignment="1">
      <alignment vertical="center"/>
    </xf>
    <xf numFmtId="0" fontId="18" fillId="0" borderId="0" xfId="0" applyFont="1" applyAlignment="1">
      <alignment/>
    </xf>
    <xf numFmtId="0" fontId="50" fillId="0" borderId="0" xfId="0" applyFont="1" applyAlignment="1">
      <alignment/>
    </xf>
    <xf numFmtId="0" fontId="104" fillId="0" borderId="0" xfId="100" applyNumberFormat="1" applyFont="1" applyFill="1" applyBorder="1" applyAlignment="1">
      <alignment horizontal="center" vertical="center" wrapText="1"/>
      <protection/>
    </xf>
    <xf numFmtId="0" fontId="104" fillId="8" borderId="92" xfId="100" applyNumberFormat="1" applyFont="1" applyFill="1" applyBorder="1" applyAlignment="1">
      <alignment horizontal="center" vertical="center" wrapText="1"/>
      <protection/>
    </xf>
    <xf numFmtId="0" fontId="106" fillId="0" borderId="0" xfId="0" applyNumberFormat="1" applyFont="1" applyAlignment="1">
      <alignment/>
    </xf>
    <xf numFmtId="0" fontId="106" fillId="0" borderId="0" xfId="0" applyFont="1" applyAlignment="1">
      <alignment/>
    </xf>
    <xf numFmtId="0" fontId="106" fillId="0" borderId="0" xfId="0" applyFont="1" applyAlignment="1">
      <alignment horizontal="center"/>
    </xf>
    <xf numFmtId="0" fontId="107" fillId="0" borderId="0" xfId="0" applyFont="1" applyBorder="1" applyAlignment="1">
      <alignment/>
    </xf>
    <xf numFmtId="0" fontId="108" fillId="10" borderId="91" xfId="0" applyFont="1" applyFill="1" applyBorder="1" applyAlignment="1">
      <alignment vertical="center"/>
    </xf>
    <xf numFmtId="0" fontId="49" fillId="0" borderId="0" xfId="0" applyFont="1" applyAlignment="1">
      <alignment/>
    </xf>
    <xf numFmtId="0" fontId="109" fillId="10" borderId="14" xfId="0" applyFont="1" applyFill="1" applyBorder="1" applyAlignment="1" applyProtection="1">
      <alignment horizontal="center"/>
      <protection/>
    </xf>
    <xf numFmtId="0" fontId="109" fillId="10"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71" fillId="0" borderId="14" xfId="0" applyFont="1" applyFill="1" applyBorder="1" applyAlignment="1" applyProtection="1">
      <alignment horizontal="center"/>
      <protection/>
    </xf>
    <xf numFmtId="0" fontId="71" fillId="0" borderId="14" xfId="0" applyFont="1" applyBorder="1" applyAlignment="1" applyProtection="1">
      <alignment horizontal="center"/>
      <protection/>
    </xf>
    <xf numFmtId="0" fontId="110" fillId="0" borderId="14" xfId="0" applyFont="1" applyBorder="1" applyAlignment="1" applyProtection="1">
      <alignment horizontal="left" indent="1"/>
      <protection/>
    </xf>
    <xf numFmtId="0" fontId="0" fillId="0" borderId="14" xfId="0" applyFont="1" applyBorder="1" applyAlignment="1">
      <alignment horizontal="center"/>
    </xf>
    <xf numFmtId="0" fontId="71" fillId="0" borderId="0" xfId="0" applyFont="1" applyFill="1" applyBorder="1" applyAlignment="1" applyProtection="1">
      <alignment/>
      <protection/>
    </xf>
    <xf numFmtId="0" fontId="71" fillId="0" borderId="14" xfId="0" applyFont="1" applyFill="1" applyBorder="1" applyAlignment="1" applyProtection="1">
      <alignment/>
      <protection/>
    </xf>
    <xf numFmtId="181" fontId="71" fillId="0" borderId="14" xfId="96" applyFont="1" applyBorder="1" applyProtection="1">
      <alignment/>
      <protection/>
    </xf>
    <xf numFmtId="0" fontId="0" fillId="0" borderId="14" xfId="0" applyFont="1" applyBorder="1" applyAlignment="1">
      <alignment/>
    </xf>
    <xf numFmtId="0" fontId="0" fillId="0" borderId="14" xfId="0" applyBorder="1" applyAlignment="1">
      <alignment/>
    </xf>
    <xf numFmtId="3" fontId="40" fillId="28" borderId="93" xfId="0" applyNumberFormat="1" applyFont="1" applyFill="1" applyBorder="1" applyAlignment="1" applyProtection="1">
      <alignment/>
      <protection locked="0"/>
    </xf>
    <xf numFmtId="3" fontId="40" fillId="28" borderId="19" xfId="0" applyNumberFormat="1" applyFont="1" applyFill="1" applyBorder="1" applyAlignment="1" applyProtection="1">
      <alignment/>
      <protection locked="0"/>
    </xf>
    <xf numFmtId="179" fontId="0" fillId="0" borderId="94" xfId="0" applyNumberFormat="1" applyBorder="1" applyAlignment="1" applyProtection="1">
      <alignment/>
      <protection/>
    </xf>
    <xf numFmtId="179" fontId="40" fillId="0" borderId="14" xfId="0" applyNumberFormat="1" applyFont="1" applyFill="1" applyBorder="1" applyAlignment="1" applyProtection="1">
      <alignment/>
      <protection/>
    </xf>
    <xf numFmtId="0" fontId="0" fillId="13" borderId="52"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84" fontId="18" fillId="10" borderId="0" xfId="0" applyNumberFormat="1" applyFont="1" applyFill="1" applyBorder="1" applyAlignment="1" applyProtection="1">
      <alignment horizontal="center"/>
      <protection locked="0"/>
    </xf>
    <xf numFmtId="184" fontId="18" fillId="10" borderId="95" xfId="0" applyNumberFormat="1" applyFont="1" applyFill="1" applyBorder="1" applyAlignment="1" applyProtection="1">
      <alignment horizontal="center"/>
      <protection locked="0"/>
    </xf>
    <xf numFmtId="187" fontId="1" fillId="12" borderId="96" xfId="0" applyNumberFormat="1" applyFont="1" applyFill="1" applyBorder="1" applyAlignment="1" applyProtection="1">
      <alignment horizontal="center" vertical="center" wrapText="1"/>
      <protection/>
    </xf>
    <xf numFmtId="195" fontId="1" fillId="12" borderId="96" xfId="0" applyNumberFormat="1" applyFont="1" applyFill="1" applyBorder="1" applyAlignment="1" applyProtection="1">
      <alignment horizontal="center" vertical="center" wrapText="1"/>
      <protection/>
    </xf>
    <xf numFmtId="187" fontId="1" fillId="12" borderId="96" xfId="0" applyNumberFormat="1" applyFont="1" applyFill="1" applyBorder="1" applyAlignment="1" applyProtection="1">
      <alignment vertical="center"/>
      <protection locked="0"/>
    </xf>
    <xf numFmtId="187" fontId="1" fillId="29" borderId="96" xfId="0" applyNumberFormat="1" applyFont="1" applyFill="1" applyBorder="1" applyAlignment="1" applyProtection="1">
      <alignment vertical="center"/>
      <protection locked="0"/>
    </xf>
    <xf numFmtId="187" fontId="1" fillId="29" borderId="96" xfId="0" applyNumberFormat="1" applyFont="1" applyFill="1" applyBorder="1" applyAlignment="1" applyProtection="1">
      <alignment horizontal="right" vertical="center"/>
      <protection locked="0"/>
    </xf>
    <xf numFmtId="196" fontId="1" fillId="12" borderId="96" xfId="0" applyNumberFormat="1" applyFont="1" applyFill="1" applyBorder="1" applyAlignment="1" applyProtection="1">
      <alignment horizontal="center" vertical="center" wrapText="1"/>
      <protection/>
    </xf>
    <xf numFmtId="193" fontId="1" fillId="12" borderId="96" xfId="0" applyNumberFormat="1" applyFont="1" applyFill="1" applyBorder="1" applyAlignment="1" applyProtection="1">
      <alignment horizontal="center" vertical="center" wrapText="1"/>
      <protection/>
    </xf>
    <xf numFmtId="49" fontId="1" fillId="0" borderId="96" xfId="0" applyNumberFormat="1" applyFont="1" applyFill="1" applyBorder="1" applyAlignment="1" applyProtection="1">
      <alignment horizontal="left"/>
      <protection/>
    </xf>
    <xf numFmtId="49" fontId="1" fillId="30" borderId="96" xfId="0" applyNumberFormat="1" applyFont="1" applyFill="1" applyBorder="1" applyAlignment="1" applyProtection="1">
      <alignment horizontal="left"/>
      <protection/>
    </xf>
    <xf numFmtId="4" fontId="1" fillId="31" borderId="96" xfId="0" applyNumberFormat="1" applyFont="1" applyFill="1" applyBorder="1" applyAlignment="1" applyProtection="1">
      <alignment horizontal="center" vertical="center" wrapText="1"/>
      <protection/>
    </xf>
    <xf numFmtId="3" fontId="1" fillId="31" borderId="96" xfId="0" applyNumberFormat="1" applyFont="1" applyFill="1" applyBorder="1" applyAlignment="1" applyProtection="1">
      <alignment horizontal="center" vertical="center" wrapText="1"/>
      <protection/>
    </xf>
    <xf numFmtId="3" fontId="1" fillId="32" borderId="96" xfId="0" applyNumberFormat="1" applyFont="1" applyFill="1" applyBorder="1" applyAlignment="1" applyProtection="1">
      <alignment horizontal="center" vertical="center" wrapText="1"/>
      <protection/>
    </xf>
    <xf numFmtId="193" fontId="40" fillId="0" borderId="14" xfId="0" applyNumberFormat="1" applyFont="1" applyBorder="1" applyAlignment="1" applyProtection="1">
      <alignment horizontal="center" vertical="center" wrapText="1"/>
      <protection/>
    </xf>
    <xf numFmtId="181" fontId="73" fillId="12" borderId="0" xfId="0" applyNumberFormat="1" applyFont="1" applyFill="1" applyAlignment="1" applyProtection="1">
      <alignment horizontal="left" vertical="top"/>
      <protection locked="0"/>
    </xf>
    <xf numFmtId="0" fontId="76" fillId="12" borderId="0" xfId="0" applyNumberFormat="1" applyFont="1" applyFill="1" applyAlignment="1" applyProtection="1">
      <alignment horizontal="left" vertical="center"/>
      <protection locked="0"/>
    </xf>
    <xf numFmtId="1" fontId="48" fillId="3" borderId="70" xfId="0" applyNumberFormat="1" applyFont="1" applyFill="1" applyBorder="1" applyAlignment="1" applyProtection="1">
      <alignment horizontal="center"/>
      <protection/>
    </xf>
    <xf numFmtId="212" fontId="40" fillId="0" borderId="14" xfId="0" applyNumberFormat="1" applyFont="1" applyBorder="1" applyAlignment="1" applyProtection="1">
      <alignment horizontal="center" vertical="center" wrapText="1"/>
      <protection/>
    </xf>
    <xf numFmtId="0" fontId="76" fillId="12" borderId="0" xfId="0" applyNumberFormat="1" applyFont="1" applyFill="1" applyBorder="1" applyAlignment="1" applyProtection="1">
      <alignment horizontal="left" vertical="center"/>
      <protection locked="0"/>
    </xf>
    <xf numFmtId="0" fontId="113" fillId="12" borderId="0" xfId="0" applyNumberFormat="1" applyFont="1" applyFill="1" applyBorder="1" applyAlignment="1" applyProtection="1">
      <alignment horizontal="left" vertical="center"/>
      <protection locked="0"/>
    </xf>
    <xf numFmtId="187" fontId="2" fillId="2" borderId="97" xfId="0" applyNumberFormat="1" applyFont="1" applyFill="1" applyBorder="1" applyAlignment="1">
      <alignment horizontal="right"/>
    </xf>
    <xf numFmtId="0" fontId="2" fillId="2" borderId="97" xfId="0" applyFont="1" applyFill="1" applyBorder="1" applyAlignment="1">
      <alignment/>
    </xf>
    <xf numFmtId="0" fontId="112" fillId="0" borderId="96" xfId="0" applyFont="1" applyBorder="1" applyAlignment="1">
      <alignment wrapText="1"/>
    </xf>
    <xf numFmtId="0" fontId="0" fillId="0" borderId="98" xfId="0" applyBorder="1" applyAlignment="1">
      <alignment vertical="center" wrapText="1"/>
    </xf>
    <xf numFmtId="0" fontId="0" fillId="0" borderId="96" xfId="0" applyBorder="1" applyAlignment="1">
      <alignment/>
    </xf>
    <xf numFmtId="0" fontId="0" fillId="0" borderId="96" xfId="0" applyBorder="1" applyAlignment="1">
      <alignment wrapText="1"/>
    </xf>
    <xf numFmtId="0" fontId="0" fillId="0" borderId="96" xfId="0" applyFill="1" applyBorder="1" applyAlignment="1">
      <alignment wrapText="1"/>
    </xf>
    <xf numFmtId="178" fontId="1" fillId="0" borderId="0" xfId="80" applyFill="1" applyBorder="1" applyAlignment="1" applyProtection="1">
      <alignment horizontal="center"/>
      <protection/>
    </xf>
    <xf numFmtId="211" fontId="0" fillId="0" borderId="0" xfId="0" applyNumberFormat="1" applyAlignment="1" applyProtection="1">
      <alignment/>
      <protection/>
    </xf>
    <xf numFmtId="0" fontId="54" fillId="0" borderId="0" xfId="0" applyFont="1" applyFill="1" applyBorder="1" applyAlignment="1" applyProtection="1">
      <alignment horizontal="center" wrapText="1"/>
      <protection/>
    </xf>
    <xf numFmtId="2" fontId="0" fillId="0" borderId="0" xfId="0" applyNumberFormat="1" applyBorder="1" applyAlignment="1" applyProtection="1">
      <alignment/>
      <protection/>
    </xf>
    <xf numFmtId="1" fontId="0" fillId="0" borderId="0" xfId="0" applyNumberFormat="1" applyFill="1" applyBorder="1" applyAlignment="1">
      <alignment/>
    </xf>
    <xf numFmtId="0" fontId="0" fillId="13" borderId="99" xfId="0" applyNumberFormat="1" applyFill="1" applyBorder="1" applyAlignment="1" applyProtection="1">
      <alignment horizontal="center" vertical="center"/>
      <protection/>
    </xf>
    <xf numFmtId="0" fontId="0" fillId="13" borderId="100" xfId="0" applyNumberFormat="1" applyFill="1" applyBorder="1" applyAlignment="1" applyProtection="1">
      <alignment horizontal="center" vertical="center"/>
      <protection/>
    </xf>
    <xf numFmtId="181" fontId="0" fillId="13" borderId="96" xfId="0" applyNumberFormat="1" applyFont="1" applyFill="1" applyBorder="1" applyAlignment="1" applyProtection="1">
      <alignment wrapText="1"/>
      <protection locked="0"/>
    </xf>
    <xf numFmtId="181" fontId="0" fillId="13" borderId="96" xfId="0" applyNumberFormat="1" applyFont="1" applyFill="1" applyBorder="1" applyAlignment="1" applyProtection="1">
      <alignment/>
      <protection locked="0"/>
    </xf>
    <xf numFmtId="49" fontId="0" fillId="13" borderId="96" xfId="0" applyNumberFormat="1" applyFont="1" applyFill="1" applyBorder="1" applyAlignment="1" applyProtection="1">
      <alignment horizontal="left" wrapText="1"/>
      <protection locked="0"/>
    </xf>
    <xf numFmtId="49" fontId="0" fillId="13" borderId="96" xfId="0" applyNumberFormat="1" applyFont="1" applyFill="1" applyBorder="1" applyAlignment="1" applyProtection="1">
      <alignment horizontal="left" wrapText="1"/>
      <protection/>
    </xf>
    <xf numFmtId="181" fontId="0" fillId="0" borderId="101" xfId="0" applyNumberFormat="1" applyFont="1" applyFill="1" applyBorder="1" applyAlignment="1" applyProtection="1">
      <alignment horizontal="left"/>
      <protection/>
    </xf>
    <xf numFmtId="181" fontId="0" fillId="0" borderId="102" xfId="0" applyNumberFormat="1" applyFont="1" applyFill="1" applyBorder="1" applyAlignment="1" applyProtection="1">
      <alignment horizontal="center" wrapText="1"/>
      <protection/>
    </xf>
    <xf numFmtId="181" fontId="40" fillId="0" borderId="103" xfId="0" applyNumberFormat="1" applyFont="1" applyBorder="1" applyAlignment="1">
      <alignment horizontal="center" wrapText="1"/>
    </xf>
    <xf numFmtId="181" fontId="0" fillId="0" borderId="103" xfId="0" applyNumberFormat="1" applyFont="1" applyBorder="1" applyAlignment="1">
      <alignment horizontal="center" wrapText="1"/>
    </xf>
    <xf numFmtId="49" fontId="0" fillId="13" borderId="104" xfId="0" applyNumberFormat="1" applyFont="1" applyFill="1" applyBorder="1" applyAlignment="1" applyProtection="1">
      <alignment horizontal="left" wrapText="1"/>
      <protection/>
    </xf>
    <xf numFmtId="0" fontId="0" fillId="13" borderId="105" xfId="0" applyNumberFormat="1" applyFill="1" applyBorder="1" applyAlignment="1" applyProtection="1">
      <alignment horizontal="center" vertical="center"/>
      <protection/>
    </xf>
    <xf numFmtId="0" fontId="54" fillId="2" borderId="106" xfId="0" applyFont="1" applyFill="1" applyBorder="1" applyAlignment="1" applyProtection="1">
      <alignment/>
      <protection/>
    </xf>
    <xf numFmtId="0" fontId="40" fillId="0" borderId="107" xfId="0" applyFont="1" applyFill="1" applyBorder="1" applyAlignment="1" applyProtection="1">
      <alignment horizontal="center" vertical="center" wrapText="1"/>
      <protection/>
    </xf>
    <xf numFmtId="0" fontId="40" fillId="0" borderId="108" xfId="0" applyFont="1" applyFill="1" applyBorder="1" applyAlignment="1" applyProtection="1">
      <alignment horizontal="center" vertical="center" wrapText="1"/>
      <protection/>
    </xf>
    <xf numFmtId="0" fontId="74" fillId="0" borderId="109" xfId="0" applyFont="1" applyFill="1" applyBorder="1" applyAlignment="1" applyProtection="1">
      <alignment horizontal="center" vertical="center" wrapText="1"/>
      <protection/>
    </xf>
    <xf numFmtId="0" fontId="40" fillId="0" borderId="109" xfId="0" applyNumberFormat="1" applyFont="1" applyFill="1" applyBorder="1" applyAlignment="1" applyProtection="1">
      <alignment horizontal="center" vertical="center" wrapText="1"/>
      <protection/>
    </xf>
    <xf numFmtId="0" fontId="74" fillId="0" borderId="110" xfId="0" applyNumberFormat="1" applyFont="1" applyFill="1" applyBorder="1" applyAlignment="1" applyProtection="1">
      <alignment horizontal="center" vertical="center" wrapText="1"/>
      <protection/>
    </xf>
    <xf numFmtId="0" fontId="54" fillId="2" borderId="111" xfId="0" applyFont="1" applyFill="1" applyBorder="1" applyAlignment="1" applyProtection="1">
      <alignment/>
      <protection/>
    </xf>
    <xf numFmtId="194" fontId="2" fillId="33" borderId="112" xfId="0" applyNumberFormat="1" applyFont="1" applyFill="1" applyBorder="1" applyAlignment="1" applyProtection="1">
      <alignment horizontal="center"/>
      <protection/>
    </xf>
    <xf numFmtId="181" fontId="54" fillId="0" borderId="0" xfId="0" applyNumberFormat="1" applyFont="1" applyFill="1" applyBorder="1" applyAlignment="1" applyProtection="1">
      <alignment/>
      <protection/>
    </xf>
    <xf numFmtId="191" fontId="54" fillId="3" borderId="96" xfId="77" applyNumberFormat="1" applyFont="1" applyFill="1" applyBorder="1" applyAlignment="1" applyProtection="1">
      <alignment/>
      <protection locked="0"/>
    </xf>
    <xf numFmtId="191" fontId="54" fillId="3" borderId="96" xfId="77" applyNumberFormat="1" applyFont="1" applyFill="1" applyBorder="1" applyAlignment="1" applyProtection="1">
      <alignment horizontal="center" vertical="center"/>
      <protection locked="0"/>
    </xf>
    <xf numFmtId="0" fontId="49" fillId="0" borderId="113" xfId="0" applyFont="1" applyBorder="1" applyAlignment="1" applyProtection="1">
      <alignment vertical="distributed" wrapText="1"/>
      <protection/>
    </xf>
    <xf numFmtId="181" fontId="51" fillId="0" borderId="114" xfId="0" applyNumberFormat="1" applyFont="1" applyFill="1" applyBorder="1" applyAlignment="1" applyProtection="1">
      <alignment horizontal="center" vertical="center" wrapText="1"/>
      <protection/>
    </xf>
    <xf numFmtId="183" fontId="51" fillId="0" borderId="115" xfId="0" applyNumberFormat="1" applyFont="1" applyFill="1" applyBorder="1" applyAlignment="1" applyProtection="1">
      <alignment horizontal="center" vertical="center" wrapText="1"/>
      <protection/>
    </xf>
    <xf numFmtId="181" fontId="14" fillId="0" borderId="116" xfId="0" applyNumberFormat="1" applyFont="1" applyBorder="1" applyAlignment="1" applyProtection="1">
      <alignment/>
      <protection/>
    </xf>
    <xf numFmtId="181" fontId="14" fillId="0" borderId="117" xfId="0" applyNumberFormat="1" applyFont="1" applyBorder="1" applyAlignment="1" applyProtection="1">
      <alignment/>
      <protection/>
    </xf>
    <xf numFmtId="191" fontId="54" fillId="3" borderId="118" xfId="77" applyNumberFormat="1" applyFont="1" applyFill="1" applyBorder="1" applyAlignment="1" applyProtection="1">
      <alignment/>
      <protection locked="0"/>
    </xf>
    <xf numFmtId="191" fontId="54" fillId="3" borderId="118" xfId="77" applyNumberFormat="1" applyFont="1" applyFill="1" applyBorder="1" applyAlignment="1" applyProtection="1">
      <alignment horizontal="center" vertical="center"/>
      <protection locked="0"/>
    </xf>
    <xf numFmtId="2" fontId="0" fillId="0" borderId="14" xfId="0" applyNumberFormat="1" applyFill="1" applyBorder="1" applyAlignment="1" applyProtection="1">
      <alignment horizontal="center" vertical="center"/>
      <protection/>
    </xf>
    <xf numFmtId="181" fontId="50" fillId="0" borderId="119" xfId="0" applyNumberFormat="1" applyFont="1" applyFill="1" applyBorder="1" applyAlignment="1" applyProtection="1">
      <alignment/>
      <protection/>
    </xf>
    <xf numFmtId="181" fontId="0" fillId="0" borderId="103" xfId="0" applyNumberFormat="1" applyFont="1" applyBorder="1" applyAlignment="1">
      <alignment horizontal="center" vertical="center" wrapText="1"/>
    </xf>
    <xf numFmtId="181" fontId="0" fillId="0" borderId="120" xfId="0" applyNumberFormat="1" applyFont="1" applyFill="1" applyBorder="1" applyAlignment="1" applyProtection="1">
      <alignment horizontal="center" vertical="center" wrapText="1"/>
      <protection/>
    </xf>
    <xf numFmtId="0" fontId="0" fillId="34" borderId="52" xfId="0" applyNumberFormat="1" applyFill="1" applyBorder="1" applyAlignment="1" applyProtection="1">
      <alignment horizontal="center" vertical="center"/>
      <protection/>
    </xf>
    <xf numFmtId="185" fontId="54" fillId="0" borderId="0" xfId="0" applyNumberFormat="1" applyFont="1" applyFill="1" applyBorder="1" applyAlignment="1" applyProtection="1">
      <alignment/>
      <protection/>
    </xf>
    <xf numFmtId="171" fontId="40" fillId="0" borderId="0" xfId="0" applyNumberFormat="1" applyFont="1" applyFill="1" applyBorder="1" applyAlignment="1" applyProtection="1">
      <alignment/>
      <protection/>
    </xf>
    <xf numFmtId="195" fontId="14" fillId="0" borderId="121" xfId="77" applyNumberFormat="1" applyFont="1" applyFill="1" applyBorder="1" applyAlignment="1" applyProtection="1">
      <alignment/>
      <protection/>
    </xf>
    <xf numFmtId="195" fontId="14" fillId="0" borderId="122" xfId="77" applyNumberFormat="1" applyFont="1" applyFill="1" applyBorder="1" applyAlignment="1" applyProtection="1">
      <alignment/>
      <protection/>
    </xf>
    <xf numFmtId="3" fontId="132" fillId="13" borderId="52" xfId="0" applyNumberFormat="1" applyFont="1" applyFill="1" applyBorder="1" applyAlignment="1" applyProtection="1">
      <alignment horizontal="center" vertical="center"/>
      <protection/>
    </xf>
    <xf numFmtId="193" fontId="54" fillId="13" borderId="52" xfId="0" applyNumberFormat="1" applyFont="1" applyFill="1" applyBorder="1" applyAlignment="1" applyProtection="1">
      <alignment horizontal="center" vertical="center"/>
      <protection/>
    </xf>
    <xf numFmtId="193" fontId="54" fillId="34" borderId="52" xfId="0" applyNumberFormat="1" applyFont="1" applyFill="1" applyBorder="1" applyAlignment="1" applyProtection="1">
      <alignment horizontal="center" vertical="center"/>
      <protection/>
    </xf>
    <xf numFmtId="49" fontId="54" fillId="2" borderId="106" xfId="0" applyNumberFormat="1" applyFont="1" applyFill="1" applyBorder="1" applyAlignment="1" applyProtection="1">
      <alignment/>
      <protection/>
    </xf>
    <xf numFmtId="1" fontId="0" fillId="13" borderId="99" xfId="0" applyNumberFormat="1" applyFill="1" applyBorder="1" applyAlignment="1" applyProtection="1">
      <alignment horizontal="center" vertical="center"/>
      <protection/>
    </xf>
    <xf numFmtId="3" fontId="54" fillId="13" borderId="52" xfId="0" applyNumberFormat="1" applyFont="1" applyFill="1" applyBorder="1" applyAlignment="1" applyProtection="1">
      <alignment horizontal="center" vertical="center"/>
      <protection/>
    </xf>
    <xf numFmtId="0" fontId="0" fillId="0" borderId="0" xfId="0" applyAlignment="1">
      <alignment horizontal="center" wrapText="1"/>
    </xf>
    <xf numFmtId="181" fontId="0" fillId="0" borderId="102" xfId="0" applyNumberFormat="1" applyFont="1" applyBorder="1" applyAlignment="1">
      <alignment horizontal="center" wrapText="1"/>
    </xf>
    <xf numFmtId="0" fontId="54" fillId="2" borderId="123" xfId="0" applyFont="1" applyFill="1" applyBorder="1" applyAlignment="1" applyProtection="1">
      <alignment/>
      <protection/>
    </xf>
    <xf numFmtId="194" fontId="0" fillId="0" borderId="11" xfId="0" applyNumberFormat="1" applyFill="1" applyBorder="1" applyAlignment="1" applyProtection="1">
      <alignment horizontal="center" vertical="center"/>
      <protection/>
    </xf>
    <xf numFmtId="181" fontId="0" fillId="0" borderId="124" xfId="0" applyNumberFormat="1" applyFont="1" applyFill="1" applyBorder="1" applyAlignment="1" applyProtection="1">
      <alignment horizontal="center" vertical="center" wrapText="1"/>
      <protection/>
    </xf>
    <xf numFmtId="2" fontId="0" fillId="0" borderId="125" xfId="0" applyNumberFormat="1" applyBorder="1" applyAlignment="1">
      <alignment horizontal="center"/>
    </xf>
    <xf numFmtId="2" fontId="0" fillId="0" borderId="126" xfId="0" applyNumberFormat="1" applyBorder="1" applyAlignment="1">
      <alignment horizontal="center"/>
    </xf>
    <xf numFmtId="2" fontId="0" fillId="0" borderId="127" xfId="0" applyNumberFormat="1" applyBorder="1" applyAlignment="1">
      <alignment horizontal="center"/>
    </xf>
    <xf numFmtId="0" fontId="132" fillId="0" borderId="0" xfId="0" applyFont="1" applyAlignment="1" applyProtection="1">
      <alignment/>
      <protection/>
    </xf>
    <xf numFmtId="181" fontId="14" fillId="0" borderId="128" xfId="0" applyNumberFormat="1" applyFont="1" applyBorder="1" applyAlignment="1" applyProtection="1">
      <alignment/>
      <protection/>
    </xf>
    <xf numFmtId="191" fontId="54" fillId="3" borderId="129" xfId="77" applyNumberFormat="1" applyFont="1" applyFill="1" applyBorder="1" applyAlignment="1" applyProtection="1">
      <alignment/>
      <protection locked="0"/>
    </xf>
    <xf numFmtId="191" fontId="54" fillId="3" borderId="129" xfId="77" applyNumberFormat="1" applyFont="1" applyFill="1" applyBorder="1" applyAlignment="1" applyProtection="1">
      <alignment horizontal="center" vertical="center"/>
      <protection locked="0"/>
    </xf>
    <xf numFmtId="193" fontId="54" fillId="13" borderId="130" xfId="0" applyNumberFormat="1" applyFont="1" applyFill="1" applyBorder="1" applyAlignment="1" applyProtection="1">
      <alignment horizontal="center" vertical="center"/>
      <protection/>
    </xf>
    <xf numFmtId="0" fontId="54" fillId="0" borderId="96" xfId="0" applyFont="1" applyBorder="1" applyAlignment="1">
      <alignment horizontal="center" wrapText="1"/>
    </xf>
    <xf numFmtId="3" fontId="54" fillId="13" borderId="99" xfId="0" applyNumberFormat="1" applyFont="1" applyFill="1" applyBorder="1" applyAlignment="1" applyProtection="1">
      <alignment horizontal="center" vertical="center"/>
      <protection/>
    </xf>
    <xf numFmtId="2" fontId="54" fillId="0" borderId="14" xfId="0" applyNumberFormat="1" applyFont="1" applyFill="1" applyBorder="1" applyAlignment="1" applyProtection="1">
      <alignment horizontal="center" vertical="center"/>
      <protection/>
    </xf>
    <xf numFmtId="0" fontId="54" fillId="13" borderId="52" xfId="0" applyNumberFormat="1" applyFont="1" applyFill="1" applyBorder="1" applyAlignment="1" applyProtection="1">
      <alignment horizontal="center" vertical="center"/>
      <protection/>
    </xf>
    <xf numFmtId="194" fontId="54" fillId="0" borderId="131" xfId="0" applyNumberFormat="1" applyFont="1" applyFill="1" applyBorder="1" applyAlignment="1" applyProtection="1">
      <alignment horizontal="center" vertical="center"/>
      <protection/>
    </xf>
    <xf numFmtId="1" fontId="54" fillId="0" borderId="96" xfId="0" applyNumberFormat="1" applyFont="1" applyFill="1" applyBorder="1" applyAlignment="1" applyProtection="1">
      <alignment horizontal="center" vertical="center"/>
      <protection/>
    </xf>
    <xf numFmtId="193" fontId="54" fillId="13" borderId="132" xfId="0" applyNumberFormat="1" applyFont="1" applyFill="1" applyBorder="1" applyAlignment="1" applyProtection="1">
      <alignment horizontal="center" vertical="center"/>
      <protection/>
    </xf>
    <xf numFmtId="0" fontId="54" fillId="0" borderId="104" xfId="0" applyFont="1" applyBorder="1" applyAlignment="1">
      <alignment horizontal="center" wrapText="1"/>
    </xf>
    <xf numFmtId="181" fontId="22" fillId="35" borderId="0" xfId="92" applyFont="1" applyFill="1" applyBorder="1" applyAlignment="1">
      <alignment horizontal="center" vertical="center"/>
      <protection/>
    </xf>
    <xf numFmtId="181" fontId="24" fillId="0" borderId="0" xfId="0" applyNumberFormat="1" applyFont="1" applyBorder="1" applyAlignment="1">
      <alignment horizontal="center"/>
    </xf>
    <xf numFmtId="181" fontId="32" fillId="0" borderId="14" xfId="0" applyNumberFormat="1" applyFont="1" applyBorder="1" applyAlignment="1">
      <alignment horizontal="justify" vertical="center" wrapText="1"/>
    </xf>
    <xf numFmtId="9" fontId="33" fillId="0" borderId="14" xfId="103" applyFont="1" applyFill="1" applyBorder="1" applyAlignment="1" applyProtection="1">
      <alignment horizontal="justify" vertical="center" wrapText="1"/>
      <protection/>
    </xf>
    <xf numFmtId="9" fontId="29" fillId="0" borderId="14" xfId="0" applyNumberFormat="1" applyFont="1" applyBorder="1" applyAlignment="1">
      <alignment horizontal="left" vertical="center" wrapText="1"/>
    </xf>
    <xf numFmtId="181" fontId="22" fillId="26" borderId="0" xfId="91" applyFont="1" applyFill="1" applyBorder="1" applyAlignment="1" applyProtection="1">
      <alignment horizontal="center" vertical="center"/>
      <protection/>
    </xf>
    <xf numFmtId="0" fontId="30" fillId="0" borderId="0" xfId="0" applyNumberFormat="1" applyFont="1" applyBorder="1" applyAlignment="1">
      <alignment horizontal="center"/>
    </xf>
    <xf numFmtId="0" fontId="31" fillId="3" borderId="14" xfId="0" applyNumberFormat="1" applyFont="1" applyFill="1" applyBorder="1" applyAlignment="1">
      <alignment horizontal="center"/>
    </xf>
    <xf numFmtId="181" fontId="32" fillId="0" borderId="14" xfId="0" applyNumberFormat="1" applyFont="1" applyBorder="1" applyAlignment="1">
      <alignment horizontal="left" vertical="center" wrapText="1"/>
    </xf>
    <xf numFmtId="0" fontId="33" fillId="0" borderId="14" xfId="0" applyFont="1" applyBorder="1" applyAlignment="1">
      <alignment horizontal="justify" vertical="center" wrapText="1"/>
    </xf>
    <xf numFmtId="0" fontId="29" fillId="0" borderId="14" xfId="0" applyFont="1" applyBorder="1" applyAlignment="1">
      <alignment horizontal="left" vertical="center" wrapText="1"/>
    </xf>
    <xf numFmtId="0" fontId="29" fillId="0" borderId="14" xfId="0" applyNumberFormat="1" applyFont="1" applyBorder="1" applyAlignment="1">
      <alignment horizontal="left" vertical="center" wrapText="1"/>
    </xf>
    <xf numFmtId="0" fontId="0" fillId="0" borderId="133" xfId="0" applyBorder="1" applyAlignment="1">
      <alignment horizontal="center"/>
    </xf>
    <xf numFmtId="0" fontId="0" fillId="0" borderId="133"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31" fillId="13" borderId="14" xfId="0" applyNumberFormat="1" applyFont="1" applyFill="1" applyBorder="1" applyAlignment="1">
      <alignment horizontal="center"/>
    </xf>
    <xf numFmtId="0" fontId="29" fillId="0" borderId="14" xfId="0" applyNumberFormat="1" applyFont="1" applyBorder="1" applyAlignment="1">
      <alignment horizontal="justify" vertical="center" wrapText="1"/>
    </xf>
    <xf numFmtId="0" fontId="29" fillId="0" borderId="14" xfId="0" applyFont="1" applyBorder="1" applyAlignment="1">
      <alignment horizontal="justify" vertical="center" wrapText="1"/>
    </xf>
    <xf numFmtId="0" fontId="36" fillId="0" borderId="63" xfId="0" applyNumberFormat="1" applyFont="1" applyBorder="1" applyAlignment="1">
      <alignment horizontal="justify" vertical="center" wrapText="1"/>
    </xf>
    <xf numFmtId="0" fontId="36" fillId="0" borderId="14" xfId="0" applyNumberFormat="1" applyFont="1" applyBorder="1" applyAlignment="1">
      <alignment horizontal="left" vertical="center" wrapText="1"/>
    </xf>
    <xf numFmtId="0" fontId="36" fillId="0" borderId="14" xfId="0" applyNumberFormat="1" applyFont="1" applyBorder="1" applyAlignment="1">
      <alignment horizontal="justify" vertical="center" wrapText="1"/>
    </xf>
    <xf numFmtId="0" fontId="29" fillId="0" borderId="134" xfId="0" applyFont="1" applyBorder="1" applyAlignment="1">
      <alignment horizontal="justify" wrapText="1"/>
    </xf>
    <xf numFmtId="0" fontId="33" fillId="0" borderId="63" xfId="0" applyFont="1" applyBorder="1" applyAlignment="1">
      <alignment horizontal="justify" vertical="center" wrapText="1"/>
    </xf>
    <xf numFmtId="0" fontId="33" fillId="0" borderId="14" xfId="0" applyFont="1" applyBorder="1" applyAlignment="1" applyProtection="1">
      <alignment vertical="center" wrapText="1"/>
      <protection locked="0"/>
    </xf>
    <xf numFmtId="0" fontId="29" fillId="0" borderId="14" xfId="0" applyFont="1" applyBorder="1" applyAlignment="1" applyProtection="1">
      <alignment horizontal="justify" vertical="center" wrapText="1"/>
      <protection locked="0"/>
    </xf>
    <xf numFmtId="0" fontId="29" fillId="0" borderId="14" xfId="0" applyFont="1" applyBorder="1" applyAlignment="1" applyProtection="1">
      <alignment horizontal="left" vertical="center" wrapText="1"/>
      <protection locked="0"/>
    </xf>
    <xf numFmtId="0" fontId="18" fillId="12" borderId="14"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xf>
    <xf numFmtId="0" fontId="33" fillId="2" borderId="14" xfId="0" applyFont="1" applyFill="1" applyBorder="1" applyAlignment="1" applyProtection="1">
      <alignment vertical="center" wrapText="1"/>
      <protection locked="0"/>
    </xf>
    <xf numFmtId="0" fontId="33" fillId="12" borderId="14" xfId="0" applyFont="1" applyFill="1" applyBorder="1" applyAlignment="1">
      <alignment vertical="center" wrapText="1"/>
    </xf>
    <xf numFmtId="0" fontId="39" fillId="2" borderId="14" xfId="0" applyFont="1" applyFill="1" applyBorder="1" applyAlignment="1" applyProtection="1">
      <alignment vertical="center" wrapText="1"/>
      <protection locked="0"/>
    </xf>
    <xf numFmtId="0" fontId="29" fillId="0" borderId="14" xfId="0" applyNumberFormat="1" applyFont="1" applyBorder="1" applyAlignment="1" applyProtection="1">
      <alignment horizontal="left" vertical="center" wrapText="1"/>
      <protection locked="0"/>
    </xf>
    <xf numFmtId="0" fontId="38"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32" fillId="0" borderId="14" xfId="0" applyFont="1" applyBorder="1" applyAlignment="1" applyProtection="1">
      <alignment vertical="center" wrapText="1"/>
      <protection locked="0"/>
    </xf>
    <xf numFmtId="181" fontId="0" fillId="0" borderId="67" xfId="119" applyNumberFormat="1" applyFont="1" applyFill="1" applyBorder="1" applyAlignment="1" applyProtection="1">
      <alignment horizontal="right"/>
      <protection/>
    </xf>
    <xf numFmtId="198" fontId="38" fillId="13" borderId="67" xfId="119" applyNumberFormat="1" applyFont="1" applyFill="1" applyBorder="1" applyAlignment="1" applyProtection="1">
      <alignment horizontal="center" vertical="center"/>
      <protection/>
    </xf>
    <xf numFmtId="181" fontId="38" fillId="13" borderId="67" xfId="119" applyNumberFormat="1" applyFont="1" applyFill="1" applyBorder="1" applyAlignment="1" applyProtection="1">
      <alignment horizontal="center"/>
      <protection/>
    </xf>
    <xf numFmtId="181" fontId="22" fillId="26" borderId="0" xfId="83" applyFont="1" applyFill="1" applyBorder="1" applyAlignment="1" applyProtection="1">
      <alignment horizontal="center" vertical="center"/>
      <protection/>
    </xf>
    <xf numFmtId="181" fontId="24" fillId="13" borderId="0" xfId="95" applyFont="1" applyFill="1" applyBorder="1" applyAlignment="1" applyProtection="1">
      <alignment horizontal="center" vertical="center" wrapText="1"/>
      <protection/>
    </xf>
    <xf numFmtId="181" fontId="65" fillId="0" borderId="0" xfId="95" applyFont="1" applyFill="1" applyBorder="1" applyAlignment="1" applyProtection="1">
      <alignment horizontal="right" vertical="center"/>
      <protection/>
    </xf>
    <xf numFmtId="181" fontId="38" fillId="13" borderId="0" xfId="95" applyFont="1" applyFill="1" applyBorder="1" applyAlignment="1" applyProtection="1">
      <alignment horizontal="center" vertical="center" wrapText="1"/>
      <protection/>
    </xf>
    <xf numFmtId="183" fontId="38" fillId="13" borderId="67" xfId="119" applyNumberFormat="1" applyFont="1" applyFill="1" applyBorder="1" applyAlignment="1" applyProtection="1">
      <alignment horizontal="center"/>
      <protection/>
    </xf>
    <xf numFmtId="181" fontId="69" fillId="35" borderId="67" xfId="119" applyNumberFormat="1" applyFont="1" applyFill="1" applyBorder="1" applyAlignment="1" applyProtection="1">
      <alignment horizontal="center"/>
      <protection/>
    </xf>
    <xf numFmtId="0" fontId="0" fillId="0" borderId="0" xfId="0" applyBorder="1" applyAlignment="1" applyProtection="1">
      <alignment horizontal="center" wrapText="1"/>
      <protection/>
    </xf>
    <xf numFmtId="49" fontId="0" fillId="0" borderId="14" xfId="0" applyNumberFormat="1" applyFont="1" applyBorder="1" applyAlignment="1" applyProtection="1">
      <alignment horizontal="center"/>
      <protection locked="0"/>
    </xf>
    <xf numFmtId="181" fontId="0" fillId="0" borderId="14" xfId="0" applyNumberFormat="1" applyFont="1" applyBorder="1" applyAlignment="1" applyProtection="1">
      <alignment horizontal="center"/>
      <protection locked="0"/>
    </xf>
    <xf numFmtId="181" fontId="2" fillId="22" borderId="14" xfId="119" applyNumberFormat="1" applyFont="1" applyFill="1" applyBorder="1" applyAlignment="1" applyProtection="1">
      <alignment horizontal="center"/>
      <protection locked="0"/>
    </xf>
    <xf numFmtId="181" fontId="43" fillId="0" borderId="15" xfId="0" applyNumberFormat="1" applyFont="1" applyBorder="1" applyAlignment="1" applyProtection="1">
      <alignment horizontal="right"/>
      <protection/>
    </xf>
    <xf numFmtId="49" fontId="0" fillId="0" borderId="52" xfId="0" applyNumberFormat="1" applyFont="1" applyBorder="1" applyAlignment="1" applyProtection="1">
      <alignment horizontal="center"/>
      <protection locked="0"/>
    </xf>
    <xf numFmtId="181" fontId="43" fillId="0" borderId="0" xfId="0" applyNumberFormat="1" applyFont="1" applyBorder="1" applyAlignment="1" applyProtection="1">
      <alignment horizontal="right"/>
      <protection/>
    </xf>
    <xf numFmtId="0" fontId="0" fillId="12" borderId="14" xfId="0" applyFill="1" applyBorder="1" applyAlignment="1" applyProtection="1">
      <alignment horizontal="center"/>
      <protection/>
    </xf>
    <xf numFmtId="181" fontId="41" fillId="26" borderId="0" xfId="83" applyFont="1" applyFill="1" applyBorder="1" applyAlignment="1" applyProtection="1">
      <alignment horizontal="center" vertical="center"/>
      <protection/>
    </xf>
    <xf numFmtId="49" fontId="40" fillId="0" borderId="52" xfId="0" applyNumberFormat="1" applyFont="1" applyBorder="1" applyAlignment="1" applyProtection="1">
      <alignment horizontal="center" wrapText="1"/>
      <protection locked="0"/>
    </xf>
    <xf numFmtId="183" fontId="0" fillId="0" borderId="14" xfId="119" applyNumberFormat="1" applyFont="1" applyFill="1" applyBorder="1" applyAlignment="1" applyProtection="1">
      <alignment horizontal="center"/>
      <protection locked="0"/>
    </xf>
    <xf numFmtId="181" fontId="43" fillId="0" borderId="135" xfId="0" applyNumberFormat="1" applyFont="1" applyBorder="1" applyAlignment="1" applyProtection="1">
      <alignment horizontal="right"/>
      <protection/>
    </xf>
    <xf numFmtId="182" fontId="0" fillId="0" borderId="52" xfId="0" applyNumberFormat="1" applyBorder="1" applyAlignment="1" applyProtection="1">
      <alignment horizontal="center"/>
      <protection locked="0"/>
    </xf>
    <xf numFmtId="181" fontId="44" fillId="0" borderId="135" xfId="0" applyNumberFormat="1" applyFont="1" applyBorder="1" applyAlignment="1" applyProtection="1">
      <alignment horizontal="right"/>
      <protection/>
    </xf>
    <xf numFmtId="181" fontId="43" fillId="0" borderId="119" xfId="0" applyNumberFormat="1" applyFont="1" applyBorder="1" applyAlignment="1" applyProtection="1">
      <alignment horizontal="right"/>
      <protection/>
    </xf>
    <xf numFmtId="49" fontId="18" fillId="0" borderId="14" xfId="0" applyNumberFormat="1" applyFont="1" applyBorder="1" applyAlignment="1" applyProtection="1">
      <alignment horizontal="center"/>
      <protection locked="0"/>
    </xf>
    <xf numFmtId="0" fontId="0" fillId="0" borderId="136" xfId="0" applyBorder="1" applyAlignment="1" applyProtection="1">
      <alignment horizontal="center"/>
      <protection/>
    </xf>
    <xf numFmtId="181" fontId="0" fillId="0" borderId="42" xfId="0" applyNumberFormat="1" applyFont="1" applyBorder="1" applyAlignment="1" applyProtection="1">
      <alignment horizontal="left"/>
      <protection/>
    </xf>
    <xf numFmtId="181" fontId="0" fillId="0" borderId="44" xfId="0" applyNumberFormat="1" applyFont="1" applyBorder="1" applyAlignment="1" applyProtection="1">
      <alignment horizontal="left"/>
      <protection/>
    </xf>
    <xf numFmtId="181" fontId="27" fillId="0" borderId="137" xfId="0" applyNumberFormat="1" applyFont="1" applyBorder="1" applyAlignment="1" applyProtection="1">
      <alignment horizontal="right"/>
      <protection/>
    </xf>
    <xf numFmtId="181" fontId="18" fillId="0" borderId="138" xfId="0" applyNumberFormat="1" applyFont="1" applyBorder="1" applyAlignment="1" applyProtection="1">
      <alignment horizontal="center"/>
      <protection/>
    </xf>
    <xf numFmtId="0" fontId="0" fillId="24" borderId="139" xfId="0" applyFill="1" applyBorder="1" applyAlignment="1" applyProtection="1">
      <alignment horizontal="center"/>
      <protection/>
    </xf>
    <xf numFmtId="181" fontId="50" fillId="0" borderId="140" xfId="0" applyNumberFormat="1" applyFont="1" applyBorder="1" applyAlignment="1" applyProtection="1">
      <alignment horizontal="center" wrapText="1"/>
      <protection/>
    </xf>
    <xf numFmtId="181" fontId="62" fillId="0" borderId="55" xfId="0" applyNumberFormat="1" applyFont="1" applyFill="1" applyBorder="1" applyAlignment="1" applyProtection="1">
      <alignment horizontal="center" vertical="center"/>
      <protection/>
    </xf>
    <xf numFmtId="3" fontId="54" fillId="13" borderId="141" xfId="0" applyNumberFormat="1" applyFont="1" applyFill="1" applyBorder="1" applyAlignment="1" applyProtection="1">
      <alignment horizontal="center" vertical="center"/>
      <protection/>
    </xf>
    <xf numFmtId="3" fontId="54" fillId="13" borderId="119" xfId="0" applyNumberFormat="1" applyFont="1" applyFill="1" applyBorder="1" applyAlignment="1" applyProtection="1">
      <alignment horizontal="center" vertical="center"/>
      <protection/>
    </xf>
    <xf numFmtId="3" fontId="54" fillId="13" borderId="142" xfId="0" applyNumberFormat="1" applyFont="1" applyFill="1" applyBorder="1" applyAlignment="1" applyProtection="1">
      <alignment horizontal="center" vertical="center"/>
      <protection/>
    </xf>
    <xf numFmtId="2" fontId="54" fillId="0" borderId="134" xfId="0" applyNumberFormat="1" applyFont="1" applyFill="1" applyBorder="1" applyAlignment="1" applyProtection="1">
      <alignment horizontal="center" vertical="center"/>
      <protection/>
    </xf>
    <xf numFmtId="2" fontId="54" fillId="0" borderId="135" xfId="0" applyNumberFormat="1" applyFont="1" applyFill="1" applyBorder="1" applyAlignment="1" applyProtection="1">
      <alignment horizontal="center" vertical="center"/>
      <protection/>
    </xf>
    <xf numFmtId="2" fontId="54" fillId="0" borderId="63" xfId="0" applyNumberFormat="1" applyFont="1" applyFill="1" applyBorder="1" applyAlignment="1" applyProtection="1">
      <alignment horizontal="center" vertical="center"/>
      <protection/>
    </xf>
    <xf numFmtId="0" fontId="54" fillId="13" borderId="134" xfId="0" applyNumberFormat="1" applyFont="1" applyFill="1" applyBorder="1" applyAlignment="1" applyProtection="1">
      <alignment horizontal="center" vertical="center"/>
      <protection/>
    </xf>
    <xf numFmtId="0" fontId="54" fillId="13" borderId="135" xfId="0" applyNumberFormat="1" applyFont="1" applyFill="1" applyBorder="1" applyAlignment="1" applyProtection="1">
      <alignment horizontal="center" vertical="center"/>
      <protection/>
    </xf>
    <xf numFmtId="0" fontId="54" fillId="13" borderId="143" xfId="0" applyNumberFormat="1" applyFont="1" applyFill="1" applyBorder="1" applyAlignment="1" applyProtection="1">
      <alignment horizontal="center" vertical="center"/>
      <protection/>
    </xf>
    <xf numFmtId="194" fontId="54" fillId="0" borderId="144" xfId="0" applyNumberFormat="1" applyFont="1" applyFill="1" applyBorder="1" applyAlignment="1" applyProtection="1">
      <alignment horizontal="center" vertical="center"/>
      <protection/>
    </xf>
    <xf numFmtId="194" fontId="54" fillId="0" borderId="145" xfId="0" applyNumberFormat="1" applyFont="1" applyFill="1" applyBorder="1" applyAlignment="1" applyProtection="1">
      <alignment horizontal="center" vertical="center"/>
      <protection/>
    </xf>
    <xf numFmtId="194" fontId="54" fillId="0" borderId="146" xfId="0" applyNumberFormat="1" applyFont="1" applyFill="1" applyBorder="1" applyAlignment="1" applyProtection="1">
      <alignment horizontal="center" vertical="center"/>
      <protection/>
    </xf>
    <xf numFmtId="184" fontId="0" fillId="10" borderId="95" xfId="0" applyNumberFormat="1" applyFont="1" applyFill="1" applyBorder="1" applyAlignment="1" applyProtection="1">
      <alignment horizontal="center" vertical="center" textRotation="90"/>
      <protection/>
    </xf>
    <xf numFmtId="49" fontId="1" fillId="31" borderId="147" xfId="0" applyNumberFormat="1" applyFont="1" applyFill="1" applyBorder="1" applyAlignment="1" applyProtection="1">
      <alignment horizontal="left" vertical="center" wrapText="1"/>
      <protection/>
    </xf>
    <xf numFmtId="49" fontId="1" fillId="31" borderId="148" xfId="0" applyNumberFormat="1" applyFont="1" applyFill="1" applyBorder="1" applyAlignment="1" applyProtection="1">
      <alignment horizontal="left" vertical="center" wrapText="1"/>
      <protection/>
    </xf>
    <xf numFmtId="49" fontId="1" fillId="31" borderId="149" xfId="0" applyNumberFormat="1" applyFont="1" applyFill="1" applyBorder="1" applyAlignment="1" applyProtection="1">
      <alignment horizontal="left" vertical="center" wrapText="1"/>
      <protection/>
    </xf>
    <xf numFmtId="49" fontId="1" fillId="31" borderId="150" xfId="0" applyNumberFormat="1" applyFont="1" applyFill="1" applyBorder="1" applyAlignment="1" applyProtection="1">
      <alignment horizontal="left" vertical="center" wrapText="1"/>
      <protection/>
    </xf>
    <xf numFmtId="49" fontId="1" fillId="31" borderId="151" xfId="0" applyNumberFormat="1" applyFont="1" applyFill="1" applyBorder="1" applyAlignment="1" applyProtection="1">
      <alignment horizontal="left" vertical="center" wrapText="1"/>
      <protection/>
    </xf>
    <xf numFmtId="49" fontId="1" fillId="31" borderId="152" xfId="0" applyNumberFormat="1" applyFont="1" applyFill="1" applyBorder="1" applyAlignment="1" applyProtection="1">
      <alignment horizontal="left" vertical="center" wrapText="1"/>
      <protection/>
    </xf>
    <xf numFmtId="0" fontId="1" fillId="31" borderId="153" xfId="0" applyNumberFormat="1" applyFont="1" applyFill="1" applyBorder="1" applyAlignment="1" applyProtection="1">
      <alignment horizontal="center" vertical="center" wrapText="1"/>
      <protection/>
    </xf>
    <xf numFmtId="0" fontId="1" fillId="31" borderId="154" xfId="0" applyNumberFormat="1" applyFont="1" applyFill="1" applyBorder="1" applyAlignment="1" applyProtection="1">
      <alignment horizontal="center" vertical="center" wrapText="1"/>
      <protection/>
    </xf>
    <xf numFmtId="49" fontId="1" fillId="31" borderId="155" xfId="0" applyNumberFormat="1" applyFont="1" applyFill="1" applyBorder="1" applyAlignment="1" applyProtection="1">
      <alignment horizontal="center" vertical="center" wrapText="1"/>
      <protection/>
    </xf>
    <xf numFmtId="49" fontId="1" fillId="31" borderId="156" xfId="0" applyNumberFormat="1" applyFont="1" applyFill="1" applyBorder="1" applyAlignment="1" applyProtection="1">
      <alignment horizontal="center" vertical="center" wrapText="1"/>
      <protection/>
    </xf>
    <xf numFmtId="49" fontId="1" fillId="36" borderId="147" xfId="0" applyNumberFormat="1" applyFont="1" applyFill="1" applyBorder="1" applyAlignment="1" applyProtection="1">
      <alignment horizontal="left" vertical="center" wrapText="1"/>
      <protection/>
    </xf>
    <xf numFmtId="49" fontId="1" fillId="36" borderId="148" xfId="0" applyNumberFormat="1" applyFont="1" applyFill="1" applyBorder="1" applyAlignment="1" applyProtection="1">
      <alignment horizontal="left" vertical="center" wrapText="1"/>
      <protection/>
    </xf>
    <xf numFmtId="49" fontId="1" fillId="36" borderId="149" xfId="0" applyNumberFormat="1" applyFont="1" applyFill="1" applyBorder="1" applyAlignment="1" applyProtection="1">
      <alignment horizontal="left" vertical="center" wrapText="1"/>
      <protection/>
    </xf>
    <xf numFmtId="49" fontId="1" fillId="36" borderId="150" xfId="0" applyNumberFormat="1" applyFont="1" applyFill="1" applyBorder="1" applyAlignment="1" applyProtection="1">
      <alignment horizontal="left" vertical="center" wrapText="1"/>
      <protection/>
    </xf>
    <xf numFmtId="49" fontId="1" fillId="36" borderId="151" xfId="0" applyNumberFormat="1" applyFont="1" applyFill="1" applyBorder="1" applyAlignment="1" applyProtection="1">
      <alignment horizontal="left" vertical="center" wrapText="1"/>
      <protection/>
    </xf>
    <xf numFmtId="49" fontId="1" fillId="36" borderId="152" xfId="0" applyNumberFormat="1" applyFont="1" applyFill="1" applyBorder="1" applyAlignment="1" applyProtection="1">
      <alignment horizontal="left" vertical="center" wrapText="1"/>
      <protection/>
    </xf>
    <xf numFmtId="0" fontId="1" fillId="31" borderId="147" xfId="0" applyNumberFormat="1" applyFont="1" applyFill="1" applyBorder="1" applyAlignment="1" applyProtection="1">
      <alignment horizontal="left" vertical="center" wrapText="1"/>
      <protection/>
    </xf>
    <xf numFmtId="0" fontId="1" fillId="31" borderId="148" xfId="0" applyNumberFormat="1" applyFont="1" applyFill="1" applyBorder="1" applyAlignment="1" applyProtection="1">
      <alignment horizontal="left" vertical="center" wrapText="1"/>
      <protection/>
    </xf>
    <xf numFmtId="0" fontId="1" fillId="31" borderId="149" xfId="0" applyNumberFormat="1" applyFont="1" applyFill="1" applyBorder="1" applyAlignment="1" applyProtection="1">
      <alignment horizontal="left" vertical="center" wrapText="1"/>
      <protection/>
    </xf>
    <xf numFmtId="0" fontId="1" fillId="31" borderId="150" xfId="0" applyNumberFormat="1" applyFont="1" applyFill="1" applyBorder="1" applyAlignment="1" applyProtection="1">
      <alignment horizontal="left" vertical="center" wrapText="1"/>
      <protection/>
    </xf>
    <xf numFmtId="0" fontId="1" fillId="31" borderId="151" xfId="0" applyNumberFormat="1" applyFont="1" applyFill="1" applyBorder="1" applyAlignment="1" applyProtection="1">
      <alignment horizontal="left" vertical="center" wrapText="1"/>
      <protection/>
    </xf>
    <xf numFmtId="0" fontId="1" fillId="31" borderId="152" xfId="0" applyNumberFormat="1" applyFont="1" applyFill="1" applyBorder="1" applyAlignment="1" applyProtection="1">
      <alignment horizontal="left" vertical="center" wrapText="1"/>
      <protection/>
    </xf>
    <xf numFmtId="0" fontId="1" fillId="36" borderId="147" xfId="0" applyNumberFormat="1" applyFont="1" applyFill="1" applyBorder="1" applyAlignment="1" applyProtection="1">
      <alignment horizontal="left" vertical="center" wrapText="1"/>
      <protection/>
    </xf>
    <xf numFmtId="0" fontId="1" fillId="36" borderId="148" xfId="0" applyNumberFormat="1" applyFont="1" applyFill="1" applyBorder="1" applyAlignment="1" applyProtection="1">
      <alignment horizontal="left" vertical="center" wrapText="1"/>
      <protection/>
    </xf>
    <xf numFmtId="0" fontId="1" fillId="36" borderId="149" xfId="0" applyNumberFormat="1" applyFont="1" applyFill="1" applyBorder="1" applyAlignment="1" applyProtection="1">
      <alignment horizontal="left" vertical="center" wrapText="1"/>
      <protection/>
    </xf>
    <xf numFmtId="0" fontId="1" fillId="36" borderId="150" xfId="0" applyNumberFormat="1" applyFont="1" applyFill="1" applyBorder="1" applyAlignment="1" applyProtection="1">
      <alignment horizontal="left" vertical="center" wrapText="1"/>
      <protection/>
    </xf>
    <xf numFmtId="0" fontId="1" fillId="36" borderId="151" xfId="0" applyNumberFormat="1" applyFont="1" applyFill="1" applyBorder="1" applyAlignment="1" applyProtection="1">
      <alignment horizontal="left" vertical="center" wrapText="1"/>
      <protection/>
    </xf>
    <xf numFmtId="0" fontId="1" fillId="36" borderId="152" xfId="0" applyNumberFormat="1" applyFont="1" applyFill="1" applyBorder="1" applyAlignment="1" applyProtection="1">
      <alignment horizontal="left" vertical="center" wrapText="1"/>
      <protection/>
    </xf>
    <xf numFmtId="49" fontId="1" fillId="37" borderId="147" xfId="0" applyNumberFormat="1" applyFont="1" applyFill="1" applyBorder="1" applyAlignment="1" applyProtection="1">
      <alignment horizontal="left" vertical="center" wrapText="1"/>
      <protection/>
    </xf>
    <xf numFmtId="49" fontId="1" fillId="37" borderId="148" xfId="0" applyNumberFormat="1" applyFont="1" applyFill="1" applyBorder="1" applyAlignment="1" applyProtection="1">
      <alignment horizontal="left" vertical="center" wrapText="1"/>
      <protection/>
    </xf>
    <xf numFmtId="49" fontId="1" fillId="37" borderId="149" xfId="0" applyNumberFormat="1" applyFont="1" applyFill="1" applyBorder="1" applyAlignment="1" applyProtection="1">
      <alignment horizontal="left" vertical="center" wrapText="1"/>
      <protection/>
    </xf>
    <xf numFmtId="49" fontId="1" fillId="37" borderId="150" xfId="0" applyNumberFormat="1" applyFont="1" applyFill="1" applyBorder="1" applyAlignment="1" applyProtection="1">
      <alignment horizontal="left" vertical="center" wrapText="1"/>
      <protection/>
    </xf>
    <xf numFmtId="49" fontId="1" fillId="37" borderId="151" xfId="0" applyNumberFormat="1" applyFont="1" applyFill="1" applyBorder="1" applyAlignment="1" applyProtection="1">
      <alignment horizontal="left" vertical="center" wrapText="1"/>
      <protection/>
    </xf>
    <xf numFmtId="49" fontId="1" fillId="37" borderId="152" xfId="0" applyNumberFormat="1" applyFont="1" applyFill="1" applyBorder="1" applyAlignment="1" applyProtection="1">
      <alignment horizontal="left" vertical="center" wrapText="1"/>
      <protection/>
    </xf>
    <xf numFmtId="0" fontId="1" fillId="0" borderId="157" xfId="0" applyFont="1" applyFill="1" applyBorder="1" applyAlignment="1" applyProtection="1">
      <alignment horizontal="left" vertical="center" wrapText="1"/>
      <protection/>
    </xf>
    <xf numFmtId="0" fontId="1" fillId="0" borderId="158" xfId="0" applyFont="1" applyFill="1" applyBorder="1" applyAlignment="1" applyProtection="1">
      <alignment horizontal="center" vertical="center" wrapText="1"/>
      <protection/>
    </xf>
    <xf numFmtId="0" fontId="1" fillId="0" borderId="159" xfId="0" applyFont="1" applyFill="1" applyBorder="1" applyAlignment="1" applyProtection="1">
      <alignment horizontal="center" vertical="center" wrapText="1"/>
      <protection/>
    </xf>
    <xf numFmtId="0" fontId="1" fillId="0" borderId="160" xfId="0" applyFont="1" applyFill="1" applyBorder="1" applyAlignment="1" applyProtection="1">
      <alignment horizontal="left" vertical="center" wrapText="1"/>
      <protection/>
    </xf>
    <xf numFmtId="0" fontId="1" fillId="27" borderId="157" xfId="0" applyFont="1" applyFill="1" applyBorder="1" applyAlignment="1" applyProtection="1">
      <alignment horizontal="left" vertical="center" wrapText="1"/>
      <protection/>
    </xf>
    <xf numFmtId="0" fontId="1" fillId="27" borderId="158" xfId="0" applyFont="1" applyFill="1" applyBorder="1" applyAlignment="1" applyProtection="1">
      <alignment horizontal="center" vertical="center" wrapText="1"/>
      <protection/>
    </xf>
    <xf numFmtId="0" fontId="1" fillId="27" borderId="159" xfId="0" applyFont="1" applyFill="1" applyBorder="1" applyAlignment="1" applyProtection="1">
      <alignment horizontal="center" vertical="center" wrapText="1"/>
      <protection/>
    </xf>
    <xf numFmtId="3" fontId="54" fillId="13" borderId="96" xfId="0" applyNumberFormat="1" applyFont="1" applyFill="1" applyBorder="1" applyAlignment="1" applyProtection="1">
      <alignment horizontal="center" vertical="center" wrapText="1"/>
      <protection/>
    </xf>
    <xf numFmtId="3" fontId="54" fillId="13" borderId="104" xfId="0" applyNumberFormat="1" applyFont="1" applyFill="1" applyBorder="1" applyAlignment="1" applyProtection="1">
      <alignment horizontal="center" vertical="center" wrapText="1"/>
      <protection/>
    </xf>
    <xf numFmtId="2" fontId="54" fillId="0" borderId="96" xfId="0" applyNumberFormat="1" applyFont="1" applyFill="1" applyBorder="1" applyAlignment="1" applyProtection="1">
      <alignment horizontal="center" vertical="center"/>
      <protection/>
    </xf>
    <xf numFmtId="2" fontId="54" fillId="0" borderId="104" xfId="0" applyNumberFormat="1" applyFont="1" applyFill="1" applyBorder="1" applyAlignment="1" applyProtection="1">
      <alignment horizontal="center" vertical="center"/>
      <protection/>
    </xf>
    <xf numFmtId="0" fontId="54" fillId="13" borderId="96" xfId="0" applyNumberFormat="1" applyFont="1" applyFill="1" applyBorder="1" applyAlignment="1" applyProtection="1">
      <alignment horizontal="center" vertical="center" wrapText="1"/>
      <protection/>
    </xf>
    <xf numFmtId="0" fontId="54" fillId="13" borderId="104" xfId="0" applyNumberFormat="1" applyFont="1" applyFill="1" applyBorder="1" applyAlignment="1" applyProtection="1">
      <alignment horizontal="center" vertical="center" wrapText="1"/>
      <protection/>
    </xf>
    <xf numFmtId="194" fontId="54" fillId="0" borderId="161" xfId="0" applyNumberFormat="1" applyFont="1" applyFill="1" applyBorder="1" applyAlignment="1" applyProtection="1">
      <alignment horizontal="center" vertical="center"/>
      <protection/>
    </xf>
    <xf numFmtId="194" fontId="54" fillId="0" borderId="162" xfId="0" applyNumberFormat="1" applyFont="1" applyFill="1" applyBorder="1" applyAlignment="1" applyProtection="1">
      <alignment horizontal="center" vertical="center"/>
      <protection/>
    </xf>
    <xf numFmtId="0" fontId="132" fillId="0" borderId="0" xfId="0" applyFont="1" applyAlignment="1" applyProtection="1">
      <alignment horizontal="left" wrapText="1"/>
      <protection/>
    </xf>
    <xf numFmtId="3" fontId="54" fillId="13" borderId="163" xfId="0" applyNumberFormat="1" applyFont="1" applyFill="1" applyBorder="1" applyAlignment="1" applyProtection="1">
      <alignment horizontal="center" vertical="center"/>
      <protection/>
    </xf>
    <xf numFmtId="0" fontId="54" fillId="13" borderId="164" xfId="0" applyNumberFormat="1" applyFont="1" applyFill="1" applyBorder="1" applyAlignment="1" applyProtection="1">
      <alignment horizontal="center" vertical="center"/>
      <protection/>
    </xf>
    <xf numFmtId="181" fontId="0" fillId="0" borderId="165" xfId="0" applyNumberFormat="1" applyFont="1" applyFill="1" applyBorder="1" applyAlignment="1" applyProtection="1">
      <alignment horizontal="left" vertical="center"/>
      <protection locked="0"/>
    </xf>
    <xf numFmtId="181" fontId="0" fillId="0" borderId="166" xfId="0" applyNumberFormat="1" applyFont="1" applyFill="1" applyBorder="1" applyAlignment="1" applyProtection="1">
      <alignment horizontal="left" vertical="center"/>
      <protection locked="0"/>
    </xf>
    <xf numFmtId="181" fontId="40" fillId="0" borderId="0" xfId="0" applyNumberFormat="1" applyFont="1" applyBorder="1" applyAlignment="1" applyProtection="1">
      <alignment horizontal="left"/>
      <protection/>
    </xf>
    <xf numFmtId="181" fontId="18" fillId="0" borderId="0" xfId="0" applyNumberFormat="1" applyFont="1" applyBorder="1" applyAlignment="1" applyProtection="1">
      <alignment horizontal="center"/>
      <protection/>
    </xf>
    <xf numFmtId="181" fontId="40" fillId="0" borderId="0" xfId="0" applyNumberFormat="1" applyFont="1" applyBorder="1" applyAlignment="1" applyProtection="1">
      <alignment horizontal="right"/>
      <protection/>
    </xf>
    <xf numFmtId="0" fontId="72" fillId="0" borderId="0" xfId="0" applyFont="1" applyBorder="1" applyAlignment="1" applyProtection="1">
      <alignment horizontal="center"/>
      <protection/>
    </xf>
    <xf numFmtId="0" fontId="112" fillId="12" borderId="52" xfId="0" applyFont="1" applyFill="1" applyBorder="1" applyAlignment="1" applyProtection="1">
      <alignment horizontal="left" vertical="center" wrapText="1"/>
      <protection locked="0"/>
    </xf>
    <xf numFmtId="0" fontId="133" fillId="12" borderId="52" xfId="0" applyFont="1" applyFill="1" applyBorder="1" applyAlignment="1" applyProtection="1">
      <alignment horizontal="left" vertical="center" wrapText="1"/>
      <protection locked="0"/>
    </xf>
    <xf numFmtId="0" fontId="133" fillId="12" borderId="14" xfId="0" applyFont="1" applyFill="1" applyBorder="1" applyAlignment="1" applyProtection="1" quotePrefix="1">
      <alignment horizontal="left" vertical="center" wrapText="1"/>
      <protection locked="0"/>
    </xf>
    <xf numFmtId="0" fontId="133" fillId="12" borderId="14" xfId="0" applyFont="1" applyFill="1" applyBorder="1" applyAlignment="1" applyProtection="1">
      <alignment horizontal="left" vertical="center" wrapText="1"/>
      <protection locked="0"/>
    </xf>
    <xf numFmtId="181" fontId="2" fillId="35" borderId="0" xfId="119" applyNumberFormat="1" applyFont="1" applyFill="1" applyBorder="1" applyAlignment="1" applyProtection="1">
      <alignment horizontal="center"/>
      <protection/>
    </xf>
    <xf numFmtId="181" fontId="18" fillId="0" borderId="0" xfId="0" applyNumberFormat="1" applyFont="1" applyBorder="1" applyAlignment="1" applyProtection="1">
      <alignment horizontal="center" wrapText="1"/>
      <protection/>
    </xf>
    <xf numFmtId="0" fontId="111" fillId="12" borderId="15" xfId="0" applyFont="1" applyFill="1" applyBorder="1" applyAlignment="1" applyProtection="1" quotePrefix="1">
      <alignment horizontal="justify" vertical="center" wrapText="1"/>
      <protection locked="0"/>
    </xf>
    <xf numFmtId="0" fontId="111" fillId="12" borderId="0" xfId="0" applyFont="1" applyFill="1" applyBorder="1" applyAlignment="1" applyProtection="1" quotePrefix="1">
      <alignment horizontal="justify" vertical="center" wrapText="1"/>
      <protection locked="0"/>
    </xf>
    <xf numFmtId="0" fontId="78" fillId="0" borderId="167" xfId="0" applyFont="1" applyFill="1" applyBorder="1" applyAlignment="1" applyProtection="1">
      <alignment horizontal="left" wrapText="1"/>
      <protection/>
    </xf>
    <xf numFmtId="0" fontId="78" fillId="0" borderId="168" xfId="0" applyFont="1" applyFill="1" applyBorder="1" applyAlignment="1" applyProtection="1">
      <alignment horizontal="left" wrapText="1"/>
      <protection/>
    </xf>
    <xf numFmtId="181" fontId="77" fillId="0" borderId="169" xfId="0" applyNumberFormat="1" applyFont="1" applyBorder="1" applyAlignment="1" applyProtection="1">
      <alignment horizontal="center" vertical="center" wrapText="1"/>
      <protection/>
    </xf>
    <xf numFmtId="181" fontId="77" fillId="0" borderId="170" xfId="0" applyNumberFormat="1" applyFont="1" applyBorder="1" applyAlignment="1" applyProtection="1">
      <alignment horizontal="center" vertical="center" wrapText="1"/>
      <protection/>
    </xf>
    <xf numFmtId="181" fontId="77" fillId="0" borderId="171" xfId="0" applyNumberFormat="1" applyFont="1" applyBorder="1" applyAlignment="1" applyProtection="1">
      <alignment horizontal="center" vertical="center" wrapText="1"/>
      <protection/>
    </xf>
    <xf numFmtId="0" fontId="0" fillId="0" borderId="172" xfId="0" applyBorder="1" applyAlignment="1" applyProtection="1">
      <alignment horizontal="center"/>
      <protection/>
    </xf>
    <xf numFmtId="0" fontId="0" fillId="0" borderId="173" xfId="0" applyBorder="1" applyAlignment="1" applyProtection="1">
      <alignment horizontal="center"/>
      <protection/>
    </xf>
    <xf numFmtId="0" fontId="78" fillId="0" borderId="174" xfId="0" applyFont="1" applyFill="1" applyBorder="1" applyAlignment="1" applyProtection="1">
      <alignment horizontal="left" wrapText="1"/>
      <protection/>
    </xf>
    <xf numFmtId="0" fontId="78" fillId="0" borderId="175" xfId="0" applyFont="1" applyFill="1" applyBorder="1" applyAlignment="1" applyProtection="1">
      <alignment horizontal="left" wrapText="1"/>
      <protection/>
    </xf>
    <xf numFmtId="0" fontId="74" fillId="12" borderId="14" xfId="0" applyFont="1" applyFill="1" applyBorder="1" applyAlignment="1" applyProtection="1">
      <alignment horizontal="left" wrapText="1"/>
      <protection locked="0"/>
    </xf>
    <xf numFmtId="194" fontId="2" fillId="33" borderId="144" xfId="0" applyNumberFormat="1" applyFont="1" applyFill="1" applyBorder="1" applyAlignment="1" applyProtection="1">
      <alignment horizontal="center" vertical="center"/>
      <protection/>
    </xf>
    <xf numFmtId="194" fontId="2" fillId="33" borderId="145" xfId="0" applyNumberFormat="1" applyFont="1" applyFill="1" applyBorder="1" applyAlignment="1" applyProtection="1">
      <alignment horizontal="center" vertical="center"/>
      <protection/>
    </xf>
    <xf numFmtId="194" fontId="2" fillId="33" borderId="146" xfId="0" applyNumberFormat="1" applyFont="1" applyFill="1" applyBorder="1" applyAlignment="1" applyProtection="1">
      <alignment horizontal="center" vertical="center"/>
      <protection/>
    </xf>
    <xf numFmtId="0" fontId="72" fillId="0" borderId="0" xfId="0" applyFont="1" applyBorder="1" applyAlignment="1">
      <alignment horizontal="center"/>
    </xf>
    <xf numFmtId="0" fontId="74" fillId="12" borderId="52" xfId="0" applyFont="1" applyFill="1" applyBorder="1" applyAlignment="1" applyProtection="1">
      <alignment horizontal="left" wrapText="1"/>
      <protection locked="0"/>
    </xf>
    <xf numFmtId="0" fontId="18" fillId="0" borderId="0" xfId="0" applyFont="1" applyBorder="1" applyAlignment="1">
      <alignment horizontal="center"/>
    </xf>
    <xf numFmtId="0" fontId="75" fillId="12" borderId="11" xfId="0" applyFont="1" applyFill="1" applyBorder="1" applyAlignment="1" applyProtection="1">
      <alignment horizontal="left" vertical="center" wrapText="1"/>
      <protection locked="0"/>
    </xf>
    <xf numFmtId="0" fontId="75" fillId="12" borderId="12"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79" fillId="0" borderId="0" xfId="0" applyFont="1" applyBorder="1" applyAlignment="1">
      <alignment horizontal="center" wrapText="1"/>
    </xf>
    <xf numFmtId="181" fontId="41" fillId="26" borderId="0" xfId="93" applyFont="1" applyFill="1" applyBorder="1" applyAlignment="1">
      <alignment horizontal="center" vertical="center"/>
      <protection/>
    </xf>
    <xf numFmtId="181" fontId="40" fillId="0" borderId="0" xfId="0" applyNumberFormat="1" applyFont="1" applyBorder="1" applyAlignment="1">
      <alignment horizontal="left"/>
    </xf>
    <xf numFmtId="181" fontId="18" fillId="0" borderId="0" xfId="0" applyNumberFormat="1" applyFont="1" applyBorder="1" applyAlignment="1">
      <alignment horizontal="center"/>
    </xf>
    <xf numFmtId="181" fontId="40" fillId="0" borderId="0" xfId="0" applyNumberFormat="1" applyFont="1" applyBorder="1" applyAlignment="1">
      <alignment horizontal="right"/>
    </xf>
    <xf numFmtId="194" fontId="0" fillId="2" borderId="102" xfId="0" applyNumberFormat="1" applyFill="1" applyBorder="1" applyAlignment="1" applyProtection="1">
      <alignment horizontal="center" vertical="center"/>
      <protection/>
    </xf>
    <xf numFmtId="194" fontId="0" fillId="2" borderId="135" xfId="0" applyNumberFormat="1" applyFill="1" applyBorder="1" applyAlignment="1" applyProtection="1">
      <alignment horizontal="center" vertical="center"/>
      <protection/>
    </xf>
    <xf numFmtId="194" fontId="0" fillId="2" borderId="63" xfId="0" applyNumberFormat="1" applyFill="1" applyBorder="1" applyAlignment="1" applyProtection="1">
      <alignment horizontal="center" vertical="center"/>
      <protection/>
    </xf>
    <xf numFmtId="194" fontId="0" fillId="2" borderId="134" xfId="0" applyNumberFormat="1" applyFill="1" applyBorder="1" applyAlignment="1" applyProtection="1">
      <alignment horizontal="center" vertical="center"/>
      <protection/>
    </xf>
    <xf numFmtId="194" fontId="2" fillId="33" borderId="176" xfId="0" applyNumberFormat="1" applyFont="1" applyFill="1" applyBorder="1" applyAlignment="1" applyProtection="1">
      <alignment horizontal="center" vertical="center"/>
      <protection/>
    </xf>
    <xf numFmtId="0" fontId="0" fillId="0" borderId="177" xfId="0" applyFill="1" applyBorder="1" applyAlignment="1" applyProtection="1">
      <alignment horizontal="center" vertical="center" wrapText="1"/>
      <protection/>
    </xf>
    <xf numFmtId="0" fontId="0" fillId="0" borderId="178" xfId="0" applyFill="1" applyBorder="1" applyAlignment="1" applyProtection="1">
      <alignment horizontal="center" vertical="center" wrapText="1"/>
      <protection/>
    </xf>
    <xf numFmtId="0" fontId="0" fillId="0" borderId="178" xfId="0" applyBorder="1" applyAlignment="1">
      <alignment wrapText="1"/>
    </xf>
    <xf numFmtId="0" fontId="0" fillId="0" borderId="179" xfId="0" applyBorder="1" applyAlignment="1">
      <alignment wrapText="1"/>
    </xf>
    <xf numFmtId="194" fontId="0" fillId="0" borderId="102" xfId="0" applyNumberFormat="1" applyBorder="1" applyAlignment="1" applyProtection="1">
      <alignment horizontal="center" vertical="center"/>
      <protection/>
    </xf>
    <xf numFmtId="194" fontId="0" fillId="0" borderId="135" xfId="0" applyNumberFormat="1" applyBorder="1" applyAlignment="1" applyProtection="1">
      <alignment horizontal="center" vertical="center"/>
      <protection/>
    </xf>
    <xf numFmtId="194" fontId="0" fillId="0" borderId="63" xfId="0" applyNumberFormat="1" applyBorder="1" applyAlignment="1" applyProtection="1">
      <alignment horizontal="center" vertical="center"/>
      <protection/>
    </xf>
    <xf numFmtId="194" fontId="0" fillId="0" borderId="134" xfId="0" applyNumberFormat="1" applyBorder="1" applyAlignment="1" applyProtection="1">
      <alignment horizontal="center" vertical="center"/>
      <protection/>
    </xf>
    <xf numFmtId="194" fontId="2" fillId="33" borderId="180" xfId="0" applyNumberFormat="1" applyFont="1" applyFill="1" applyBorder="1" applyAlignment="1" applyProtection="1">
      <alignment horizontal="center" vertical="center"/>
      <protection/>
    </xf>
    <xf numFmtId="194" fontId="0" fillId="2" borderId="181" xfId="0" applyNumberFormat="1" applyFill="1" applyBorder="1" applyAlignment="1" applyProtection="1">
      <alignment horizontal="center" vertical="center"/>
      <protection/>
    </xf>
    <xf numFmtId="194" fontId="0" fillId="0" borderId="181" xfId="0" applyNumberFormat="1" applyBorder="1" applyAlignment="1" applyProtection="1">
      <alignment horizontal="center" vertical="center"/>
      <protection/>
    </xf>
    <xf numFmtId="0" fontId="111" fillId="0" borderId="129" xfId="0" applyFont="1" applyBorder="1" applyAlignment="1">
      <alignment horizontal="center" vertical="center" wrapText="1"/>
    </xf>
    <xf numFmtId="0" fontId="111" fillId="0" borderId="182" xfId="0" applyFont="1" applyBorder="1" applyAlignment="1">
      <alignment horizontal="center" vertical="center" wrapText="1"/>
    </xf>
    <xf numFmtId="0" fontId="111" fillId="0" borderId="98" xfId="0" applyFont="1" applyBorder="1" applyAlignment="1">
      <alignment horizontal="center" vertical="center" wrapText="1"/>
    </xf>
    <xf numFmtId="181" fontId="2" fillId="35" borderId="0" xfId="120" applyNumberFormat="1" applyFont="1" applyFill="1" applyBorder="1" applyAlignment="1" applyProtection="1">
      <alignment horizontal="center"/>
      <protection/>
    </xf>
    <xf numFmtId="181" fontId="72" fillId="0" borderId="0" xfId="0" applyNumberFormat="1" applyFont="1" applyBorder="1" applyAlignment="1" applyProtection="1">
      <alignment horizontal="center"/>
      <protection/>
    </xf>
    <xf numFmtId="0" fontId="74" fillId="12" borderId="11" xfId="0" applyFont="1" applyFill="1" applyBorder="1" applyAlignment="1" applyProtection="1">
      <alignment horizontal="left" vertical="center" wrapText="1"/>
      <protection locked="0"/>
    </xf>
    <xf numFmtId="0" fontId="74" fillId="12" borderId="12" xfId="0" applyFont="1" applyFill="1" applyBorder="1" applyAlignment="1" applyProtection="1">
      <alignment horizontal="left" vertical="center" wrapText="1"/>
      <protection locked="0"/>
    </xf>
    <xf numFmtId="0" fontId="74" fillId="12" borderId="13" xfId="0" applyFont="1" applyFill="1" applyBorder="1" applyAlignment="1" applyProtection="1">
      <alignment horizontal="left" vertical="center" wrapText="1"/>
      <protection locked="0"/>
    </xf>
    <xf numFmtId="0" fontId="74" fillId="0" borderId="11"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181" fontId="41" fillId="26" borderId="0" xfId="93" applyFont="1" applyFill="1" applyBorder="1" applyAlignment="1" applyProtection="1">
      <alignment horizontal="center" vertical="center"/>
      <protection/>
    </xf>
    <xf numFmtId="0" fontId="74" fillId="0" borderId="133" xfId="0" applyFont="1" applyBorder="1" applyAlignment="1" applyProtection="1">
      <alignment horizontal="left" vertical="center"/>
      <protection/>
    </xf>
    <xf numFmtId="0" fontId="74" fillId="0" borderId="11" xfId="0" applyFont="1" applyBorder="1" applyAlignment="1" applyProtection="1">
      <alignment vertical="center" wrapText="1"/>
      <protection/>
    </xf>
    <xf numFmtId="0" fontId="74" fillId="0" borderId="12" xfId="0" applyFont="1" applyBorder="1" applyAlignment="1" applyProtection="1">
      <alignment vertical="center" wrapText="1"/>
      <protection/>
    </xf>
    <xf numFmtId="0" fontId="74" fillId="0" borderId="13" xfId="0" applyFont="1" applyBorder="1" applyAlignment="1" applyProtection="1">
      <alignment vertical="center" wrapText="1"/>
      <protection/>
    </xf>
    <xf numFmtId="9" fontId="55" fillId="0" borderId="11" xfId="103" applyFont="1" applyFill="1" applyBorder="1" applyAlignment="1" applyProtection="1">
      <alignment horizontal="center" vertical="center" wrapText="1"/>
      <protection/>
    </xf>
    <xf numFmtId="9" fontId="55" fillId="0" borderId="12" xfId="103" applyFont="1" applyFill="1" applyBorder="1" applyAlignment="1" applyProtection="1">
      <alignment horizontal="center" vertical="center" wrapText="1"/>
      <protection/>
    </xf>
    <xf numFmtId="9" fontId="55" fillId="0" borderId="13" xfId="103" applyFont="1" applyFill="1" applyBorder="1" applyAlignment="1" applyProtection="1">
      <alignment horizontal="center" vertical="center" wrapText="1"/>
      <protection/>
    </xf>
    <xf numFmtId="9" fontId="75" fillId="31" borderId="183" xfId="103" applyFont="1" applyFill="1" applyBorder="1" applyAlignment="1" applyProtection="1">
      <alignment horizontal="left" vertical="top" wrapText="1"/>
      <protection locked="0"/>
    </xf>
    <xf numFmtId="9" fontId="75" fillId="31" borderId="184" xfId="103" applyFont="1" applyFill="1" applyBorder="1" applyAlignment="1" applyProtection="1">
      <alignment horizontal="left" vertical="top" wrapText="1"/>
      <protection locked="0"/>
    </xf>
    <xf numFmtId="9" fontId="75" fillId="31" borderId="185" xfId="103" applyFont="1" applyFill="1" applyBorder="1" applyAlignment="1" applyProtection="1">
      <alignment horizontal="left" vertical="top" wrapText="1"/>
      <protection locked="0"/>
    </xf>
    <xf numFmtId="0" fontId="24" fillId="0" borderId="60" xfId="0" applyFont="1" applyBorder="1" applyAlignment="1" applyProtection="1">
      <alignment horizontal="center"/>
      <protection/>
    </xf>
    <xf numFmtId="0" fontId="74" fillId="0" borderId="11"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4" fillId="0" borderId="13" xfId="0" applyFont="1" applyBorder="1" applyAlignment="1" applyProtection="1">
      <alignment horizontal="center" vertical="center" wrapText="1"/>
      <protection/>
    </xf>
    <xf numFmtId="9" fontId="73" fillId="24" borderId="11" xfId="103" applyFont="1" applyFill="1" applyBorder="1" applyAlignment="1" applyProtection="1">
      <alignment horizontal="center" vertical="center" wrapText="1"/>
      <protection/>
    </xf>
    <xf numFmtId="9" fontId="73" fillId="24" borderId="13" xfId="103" applyFont="1" applyFill="1" applyBorder="1" applyAlignment="1" applyProtection="1">
      <alignment horizontal="center" vertical="center" wrapText="1"/>
      <protection/>
    </xf>
    <xf numFmtId="9" fontId="73" fillId="38" borderId="11" xfId="103" applyFont="1" applyFill="1" applyBorder="1" applyAlignment="1" applyProtection="1">
      <alignment horizontal="center" vertical="center" wrapText="1"/>
      <protection/>
    </xf>
    <xf numFmtId="9" fontId="73" fillId="38" borderId="13" xfId="103" applyFont="1" applyFill="1" applyBorder="1" applyAlignment="1" applyProtection="1">
      <alignment horizontal="center" vertical="center" wrapText="1"/>
      <protection/>
    </xf>
    <xf numFmtId="9" fontId="75" fillId="31" borderId="183" xfId="103" applyFont="1" applyFill="1" applyBorder="1" applyAlignment="1" applyProtection="1">
      <alignment horizontal="left" vertical="center" wrapText="1"/>
      <protection locked="0"/>
    </xf>
    <xf numFmtId="9" fontId="75" fillId="31" borderId="184" xfId="103" applyFont="1" applyFill="1" applyBorder="1" applyAlignment="1" applyProtection="1">
      <alignment horizontal="left" vertical="center" wrapText="1"/>
      <protection locked="0"/>
    </xf>
    <xf numFmtId="9" fontId="75" fillId="31" borderId="185" xfId="103" applyFont="1" applyFill="1" applyBorder="1" applyAlignment="1" applyProtection="1">
      <alignment horizontal="left" vertical="center" wrapText="1"/>
      <protection locked="0"/>
    </xf>
    <xf numFmtId="0" fontId="134" fillId="0" borderId="0" xfId="0" applyFont="1" applyAlignment="1" applyProtection="1">
      <alignment horizontal="left" vertical="center" wrapText="1"/>
      <protection/>
    </xf>
    <xf numFmtId="210" fontId="40" fillId="0" borderId="11" xfId="103" applyNumberFormat="1" applyFont="1" applyFill="1" applyBorder="1" applyAlignment="1" applyProtection="1">
      <alignment horizontal="center" vertical="center" wrapText="1"/>
      <protection/>
    </xf>
    <xf numFmtId="210" fontId="40" fillId="0" borderId="12" xfId="103" applyNumberFormat="1" applyFont="1" applyFill="1" applyBorder="1" applyAlignment="1" applyProtection="1">
      <alignment horizontal="center" vertical="center" wrapText="1"/>
      <protection/>
    </xf>
    <xf numFmtId="210" fontId="40" fillId="0" borderId="13" xfId="103" applyNumberFormat="1" applyFont="1" applyFill="1" applyBorder="1" applyAlignment="1" applyProtection="1">
      <alignment horizontal="center" vertical="center" wrapText="1"/>
      <protection/>
    </xf>
    <xf numFmtId="9" fontId="74" fillId="31" borderId="96" xfId="103" applyFont="1" applyFill="1" applyBorder="1" applyAlignment="1" applyProtection="1">
      <alignment horizontal="left" vertical="center" wrapText="1"/>
      <protection locked="0"/>
    </xf>
    <xf numFmtId="9" fontId="74" fillId="31" borderId="183" xfId="103" applyFont="1" applyFill="1" applyBorder="1" applyAlignment="1" applyProtection="1">
      <alignment horizontal="left" vertical="center" wrapText="1"/>
      <protection locked="0"/>
    </xf>
    <xf numFmtId="181" fontId="24" fillId="0" borderId="0" xfId="0" applyNumberFormat="1" applyFont="1" applyBorder="1" applyAlignment="1" applyProtection="1">
      <alignment horizontal="center"/>
      <protection/>
    </xf>
    <xf numFmtId="187" fontId="72" fillId="0" borderId="0" xfId="0" applyNumberFormat="1" applyFont="1" applyBorder="1" applyAlignment="1" applyProtection="1">
      <alignment horizontal="center"/>
      <protection/>
    </xf>
    <xf numFmtId="187" fontId="83" fillId="10" borderId="91" xfId="0" applyNumberFormat="1" applyFont="1" applyFill="1" applyBorder="1" applyAlignment="1" applyProtection="1">
      <alignment horizontal="center" vertical="center"/>
      <protection/>
    </xf>
    <xf numFmtId="187" fontId="85" fillId="0" borderId="0" xfId="0" applyNumberFormat="1" applyFont="1" applyFill="1" applyBorder="1" applyAlignment="1" applyProtection="1">
      <alignment horizontal="center"/>
      <protection/>
    </xf>
    <xf numFmtId="187" fontId="86" fillId="3" borderId="17" xfId="0" applyNumberFormat="1" applyFont="1" applyFill="1" applyBorder="1" applyAlignment="1" applyProtection="1">
      <alignment horizontal="center" vertical="center"/>
      <protection/>
    </xf>
    <xf numFmtId="0" fontId="28" fillId="0" borderId="186" xfId="0" applyNumberFormat="1" applyFont="1" applyFill="1" applyBorder="1" applyAlignment="1" applyProtection="1">
      <alignment horizontal="left" vertical="top" wrapText="1"/>
      <protection/>
    </xf>
    <xf numFmtId="49" fontId="1" fillId="3" borderId="187" xfId="0" applyNumberFormat="1" applyFont="1" applyFill="1" applyBorder="1" applyAlignment="1" applyProtection="1">
      <alignment horizontal="center" vertical="center"/>
      <protection locked="0"/>
    </xf>
    <xf numFmtId="0" fontId="28" fillId="0" borderId="188" xfId="0" applyNumberFormat="1" applyFont="1" applyFill="1" applyBorder="1" applyAlignment="1" applyProtection="1">
      <alignment horizontal="left" vertical="top" wrapText="1"/>
      <protection/>
    </xf>
    <xf numFmtId="49" fontId="1" fillId="3" borderId="189" xfId="0" applyNumberFormat="1" applyFont="1" applyFill="1" applyBorder="1" applyAlignment="1" applyProtection="1">
      <alignment horizontal="center" vertical="center"/>
      <protection locked="0"/>
    </xf>
    <xf numFmtId="49" fontId="1" fillId="3" borderId="190" xfId="0" applyNumberFormat="1" applyFont="1" applyFill="1" applyBorder="1" applyAlignment="1" applyProtection="1">
      <alignment horizontal="center" vertical="center"/>
      <protection locked="0"/>
    </xf>
    <xf numFmtId="49" fontId="1" fillId="3" borderId="187" xfId="0" applyNumberFormat="1" applyFont="1" applyFill="1" applyBorder="1" applyAlignment="1" applyProtection="1">
      <alignment horizontal="center" vertical="center" wrapText="1"/>
      <protection locked="0"/>
    </xf>
    <xf numFmtId="0" fontId="28" fillId="0" borderId="191" xfId="0" applyNumberFormat="1" applyFont="1" applyFill="1" applyBorder="1" applyAlignment="1" applyProtection="1">
      <alignment horizontal="left" vertical="top" wrapText="1"/>
      <protection/>
    </xf>
    <xf numFmtId="0" fontId="1" fillId="13" borderId="192" xfId="0" applyFont="1" applyFill="1" applyBorder="1" applyAlignment="1" applyProtection="1">
      <alignment horizontal="center" vertical="top" wrapText="1"/>
      <protection locked="0"/>
    </xf>
    <xf numFmtId="0" fontId="28" fillId="0" borderId="193" xfId="0" applyNumberFormat="1" applyFont="1" applyFill="1" applyBorder="1" applyAlignment="1" applyProtection="1">
      <alignment horizontal="left" vertical="top" wrapText="1"/>
      <protection/>
    </xf>
    <xf numFmtId="0" fontId="1" fillId="13" borderId="194" xfId="0" applyFont="1" applyFill="1" applyBorder="1" applyAlignment="1" applyProtection="1">
      <alignment horizontal="center" vertical="top" wrapText="1"/>
      <protection locked="0"/>
    </xf>
    <xf numFmtId="187" fontId="85" fillId="0" borderId="195" xfId="0" applyNumberFormat="1" applyFont="1" applyFill="1" applyBorder="1" applyAlignment="1" applyProtection="1">
      <alignment horizontal="center"/>
      <protection/>
    </xf>
    <xf numFmtId="187" fontId="97" fillId="13" borderId="196" xfId="0" applyNumberFormat="1" applyFont="1" applyFill="1" applyBorder="1" applyAlignment="1" applyProtection="1">
      <alignment horizontal="center" vertical="center"/>
      <protection/>
    </xf>
    <xf numFmtId="187" fontId="97" fillId="13" borderId="197" xfId="0" applyNumberFormat="1" applyFont="1" applyFill="1" applyBorder="1" applyAlignment="1" applyProtection="1">
      <alignment horizontal="center" vertical="center"/>
      <protection/>
    </xf>
    <xf numFmtId="0" fontId="28" fillId="0" borderId="198" xfId="0" applyNumberFormat="1" applyFont="1" applyFill="1" applyBorder="1" applyAlignment="1" applyProtection="1">
      <alignment horizontal="left" vertical="top" wrapText="1"/>
      <protection/>
    </xf>
    <xf numFmtId="0" fontId="1" fillId="13" borderId="199" xfId="0" applyFont="1" applyFill="1" applyBorder="1" applyAlignment="1" applyProtection="1">
      <alignment horizontal="center" vertical="top" wrapText="1"/>
      <protection locked="0"/>
    </xf>
    <xf numFmtId="0" fontId="28" fillId="0" borderId="200" xfId="0" applyNumberFormat="1" applyFont="1" applyFill="1" applyBorder="1" applyAlignment="1" applyProtection="1">
      <alignment horizontal="left" vertical="center" wrapText="1"/>
      <protection/>
    </xf>
    <xf numFmtId="0" fontId="1" fillId="12" borderId="201" xfId="0" applyFont="1" applyFill="1" applyBorder="1" applyAlignment="1" applyProtection="1">
      <alignment horizontal="center" vertical="top" wrapText="1"/>
      <protection locked="0"/>
    </xf>
    <xf numFmtId="0" fontId="1" fillId="0" borderId="202" xfId="103" applyNumberFormat="1" applyFont="1" applyFill="1" applyBorder="1" applyAlignment="1" applyProtection="1">
      <alignment horizontal="left" vertical="center" wrapText="1"/>
      <protection/>
    </xf>
    <xf numFmtId="0" fontId="1" fillId="12" borderId="203" xfId="0" applyFont="1" applyFill="1" applyBorder="1" applyAlignment="1" applyProtection="1">
      <alignment horizontal="center" vertical="top" wrapText="1"/>
      <protection locked="0"/>
    </xf>
    <xf numFmtId="187" fontId="85" fillId="0" borderId="204" xfId="0" applyNumberFormat="1" applyFont="1" applyFill="1" applyBorder="1" applyAlignment="1" applyProtection="1">
      <alignment horizontal="center"/>
      <protection/>
    </xf>
    <xf numFmtId="187" fontId="86" fillId="12" borderId="157" xfId="0" applyNumberFormat="1" applyFont="1" applyFill="1" applyBorder="1" applyAlignment="1" applyProtection="1">
      <alignment horizontal="center" vertical="center"/>
      <protection/>
    </xf>
    <xf numFmtId="9" fontId="1" fillId="0" borderId="202" xfId="103" applyNumberFormat="1" applyFont="1" applyFill="1" applyBorder="1" applyAlignment="1" applyProtection="1">
      <alignment horizontal="left" vertical="center" wrapText="1"/>
      <protection/>
    </xf>
    <xf numFmtId="0" fontId="1" fillId="12" borderId="205" xfId="0" applyFont="1" applyFill="1" applyBorder="1" applyAlignment="1" applyProtection="1">
      <alignment horizontal="center" vertical="top" wrapText="1"/>
      <protection locked="0"/>
    </xf>
    <xf numFmtId="181" fontId="2" fillId="35" borderId="0" xfId="121" applyNumberFormat="1" applyFont="1" applyFill="1" applyBorder="1" applyAlignment="1" applyProtection="1">
      <alignment horizontal="center"/>
      <protection locked="0"/>
    </xf>
    <xf numFmtId="0" fontId="50" fillId="0" borderId="206" xfId="0" applyFont="1" applyFill="1" applyBorder="1" applyAlignment="1" applyProtection="1">
      <alignment horizontal="left" vertical="top" wrapText="1"/>
      <protection locked="0"/>
    </xf>
    <xf numFmtId="0" fontId="50" fillId="0" borderId="207" xfId="0" applyFont="1" applyFill="1" applyBorder="1" applyAlignment="1" applyProtection="1">
      <alignment horizontal="left"/>
      <protection locked="0"/>
    </xf>
    <xf numFmtId="0" fontId="50" fillId="0" borderId="208" xfId="0" applyFont="1" applyFill="1" applyBorder="1" applyAlignment="1" applyProtection="1">
      <alignment horizontal="left" vertical="center" wrapText="1"/>
      <protection locked="0"/>
    </xf>
    <xf numFmtId="0" fontId="50" fillId="0" borderId="206" xfId="0" applyFont="1" applyFill="1" applyBorder="1" applyAlignment="1" applyProtection="1">
      <alignment horizontal="left"/>
      <protection locked="0"/>
    </xf>
    <xf numFmtId="0" fontId="0" fillId="12" borderId="14" xfId="0" applyFill="1" applyBorder="1" applyAlignment="1" applyProtection="1">
      <alignment horizontal="center"/>
      <protection locked="0"/>
    </xf>
    <xf numFmtId="0" fontId="104" fillId="8" borderId="209" xfId="100" applyNumberFormat="1" applyFont="1" applyFill="1" applyBorder="1" applyAlignment="1">
      <alignment horizontal="center" vertical="center" wrapText="1"/>
      <protection/>
    </xf>
    <xf numFmtId="0" fontId="104" fillId="8" borderId="210" xfId="100" applyNumberFormat="1" applyFont="1" applyFill="1" applyBorder="1" applyAlignment="1">
      <alignment horizontal="center" vertical="center" wrapText="1"/>
      <protection/>
    </xf>
    <xf numFmtId="0" fontId="104" fillId="8" borderId="211" xfId="100" applyNumberFormat="1" applyFont="1" applyFill="1" applyBorder="1" applyAlignment="1">
      <alignment horizontal="center" vertical="center" wrapText="1"/>
      <protection/>
    </xf>
    <xf numFmtId="0" fontId="50" fillId="0" borderId="212" xfId="0" applyFont="1" applyFill="1" applyBorder="1" applyAlignment="1" applyProtection="1">
      <alignment horizontal="left" wrapText="1"/>
      <protection locked="0"/>
    </xf>
    <xf numFmtId="0" fontId="50" fillId="0" borderId="206" xfId="0" applyFont="1" applyFill="1" applyBorder="1" applyAlignment="1" applyProtection="1">
      <alignment horizontal="left" wrapText="1"/>
      <protection locked="0"/>
    </xf>
    <xf numFmtId="0" fontId="50" fillId="0" borderId="207" xfId="0" applyFont="1" applyFill="1" applyBorder="1" applyAlignment="1" applyProtection="1">
      <alignment horizontal="left" wrapText="1"/>
      <protection locked="0"/>
    </xf>
    <xf numFmtId="0" fontId="50" fillId="0" borderId="213" xfId="0" applyFont="1" applyFill="1" applyBorder="1" applyAlignment="1" applyProtection="1">
      <alignment horizontal="left"/>
      <protection locked="0"/>
    </xf>
    <xf numFmtId="0" fontId="105" fillId="8" borderId="14" xfId="0" applyNumberFormat="1" applyFont="1" applyFill="1" applyBorder="1" applyAlignment="1">
      <alignment horizontal="center" vertical="center" textRotation="90"/>
    </xf>
    <xf numFmtId="0" fontId="50" fillId="0" borderId="214" xfId="0" applyFont="1" applyFill="1" applyBorder="1" applyAlignment="1" applyProtection="1">
      <alignment horizontal="left" wrapText="1"/>
      <protection locked="0"/>
    </xf>
    <xf numFmtId="0" fontId="50" fillId="0" borderId="215" xfId="0" applyFont="1" applyFill="1" applyBorder="1" applyAlignment="1" applyProtection="1">
      <alignment horizontal="left" wrapText="1"/>
      <protection locked="0"/>
    </xf>
    <xf numFmtId="0" fontId="50" fillId="0" borderId="216" xfId="0" applyFont="1" applyFill="1" applyBorder="1" applyAlignment="1" applyProtection="1">
      <alignment horizontal="left" vertical="center" wrapText="1"/>
      <protection locked="0"/>
    </xf>
    <xf numFmtId="0" fontId="50" fillId="0" borderId="217" xfId="0" applyFont="1" applyFill="1" applyBorder="1" applyAlignment="1" applyProtection="1">
      <alignment horizontal="left"/>
      <protection locked="0"/>
    </xf>
    <xf numFmtId="0" fontId="50" fillId="0" borderId="218" xfId="0" applyFont="1" applyFill="1" applyBorder="1" applyAlignment="1" applyProtection="1">
      <alignment horizontal="left"/>
      <protection locked="0"/>
    </xf>
    <xf numFmtId="0" fontId="50" fillId="0" borderId="219" xfId="0" applyFont="1" applyFill="1" applyBorder="1" applyAlignment="1" applyProtection="1">
      <alignment horizontal="left"/>
      <protection locked="0"/>
    </xf>
    <xf numFmtId="0" fontId="50" fillId="0" borderId="220" xfId="0" applyFont="1" applyFill="1" applyBorder="1" applyAlignment="1" applyProtection="1">
      <alignment horizontal="left" vertical="top" wrapText="1"/>
      <protection locked="0"/>
    </xf>
    <xf numFmtId="0" fontId="50" fillId="0" borderId="221" xfId="0" applyFont="1" applyBorder="1" applyAlignment="1" applyProtection="1">
      <alignment horizontal="left"/>
      <protection locked="0"/>
    </xf>
    <xf numFmtId="0" fontId="50" fillId="0" borderId="87" xfId="0" applyFont="1" applyBorder="1" applyAlignment="1" applyProtection="1">
      <alignment horizontal="left"/>
      <protection locked="0"/>
    </xf>
    <xf numFmtId="0" fontId="50" fillId="0" borderId="222" xfId="0" applyFont="1" applyBorder="1" applyAlignment="1" applyProtection="1">
      <alignment horizontal="left"/>
      <protection locked="0"/>
    </xf>
    <xf numFmtId="0" fontId="50" fillId="0" borderId="223" xfId="0" applyFont="1" applyFill="1" applyBorder="1" applyAlignment="1" applyProtection="1">
      <alignment horizontal="left"/>
      <protection locked="0"/>
    </xf>
    <xf numFmtId="0" fontId="50" fillId="0" borderId="206" xfId="0" applyFont="1" applyBorder="1" applyAlignment="1" applyProtection="1">
      <alignment horizontal="left"/>
      <protection locked="0"/>
    </xf>
    <xf numFmtId="0" fontId="50" fillId="0" borderId="207" xfId="0" applyFont="1" applyBorder="1" applyAlignment="1" applyProtection="1">
      <alignment horizontal="left"/>
      <protection locked="0"/>
    </xf>
    <xf numFmtId="0" fontId="50" fillId="0" borderId="213" xfId="0" applyFont="1" applyBorder="1" applyAlignment="1" applyProtection="1">
      <alignment horizontal="left"/>
      <protection locked="0"/>
    </xf>
    <xf numFmtId="0" fontId="50" fillId="0" borderId="224" xfId="0" applyFont="1" applyFill="1" applyBorder="1" applyAlignment="1" applyProtection="1">
      <alignment horizontal="left"/>
      <protection locked="0"/>
    </xf>
    <xf numFmtId="0" fontId="50" fillId="0" borderId="217" xfId="0" applyFont="1" applyBorder="1" applyAlignment="1" applyProtection="1">
      <alignment horizontal="left"/>
      <protection locked="0"/>
    </xf>
    <xf numFmtId="0" fontId="50" fillId="0" borderId="218" xfId="0" applyFont="1" applyBorder="1" applyAlignment="1" applyProtection="1">
      <alignment horizontal="left"/>
      <protection locked="0"/>
    </xf>
    <xf numFmtId="0" fontId="50" fillId="0" borderId="219" xfId="0" applyFont="1" applyBorder="1" applyAlignment="1" applyProtection="1">
      <alignment horizontal="left"/>
      <protection locked="0"/>
    </xf>
    <xf numFmtId="181" fontId="22" fillId="26" borderId="0" xfId="83" applyFont="1" applyFill="1" applyBorder="1" applyAlignment="1">
      <alignment horizontal="center" vertical="center"/>
      <protection/>
    </xf>
    <xf numFmtId="0" fontId="24" fillId="0" borderId="0" xfId="0" applyFont="1" applyBorder="1" applyAlignment="1">
      <alignment horizontal="center"/>
    </xf>
    <xf numFmtId="194" fontId="0" fillId="0" borderId="225" xfId="0" applyNumberFormat="1" applyFill="1" applyBorder="1" applyAlignment="1" applyProtection="1">
      <alignment horizontal="center" vertical="center"/>
      <protection/>
    </xf>
    <xf numFmtId="194" fontId="0" fillId="0" borderId="15" xfId="0" applyNumberFormat="1" applyFill="1" applyBorder="1" applyAlignment="1" applyProtection="1">
      <alignment horizontal="center" vertical="center"/>
      <protection/>
    </xf>
    <xf numFmtId="194" fontId="0" fillId="0" borderId="64" xfId="0" applyNumberFormat="1" applyFill="1" applyBorder="1" applyAlignment="1" applyProtection="1">
      <alignment horizontal="center" vertical="center"/>
      <protection/>
    </xf>
    <xf numFmtId="3" fontId="132" fillId="13" borderId="164" xfId="0" applyNumberFormat="1" applyFont="1" applyFill="1" applyBorder="1" applyAlignment="1" applyProtection="1">
      <alignment horizontal="center" vertical="center"/>
      <protection/>
    </xf>
    <xf numFmtId="3" fontId="132" fillId="13" borderId="135" xfId="0" applyNumberFormat="1" applyFont="1" applyFill="1" applyBorder="1" applyAlignment="1" applyProtection="1">
      <alignment horizontal="center" vertical="center"/>
      <protection/>
    </xf>
    <xf numFmtId="3" fontId="132" fillId="13" borderId="143" xfId="0" applyNumberFormat="1" applyFont="1" applyFill="1" applyBorder="1" applyAlignment="1" applyProtection="1">
      <alignment horizontal="center" vertical="center"/>
      <protection/>
    </xf>
    <xf numFmtId="2" fontId="0" fillId="0" borderId="134" xfId="0" applyNumberFormat="1" applyFill="1" applyBorder="1" applyAlignment="1" applyProtection="1">
      <alignment horizontal="center" vertical="center"/>
      <protection/>
    </xf>
    <xf numFmtId="2" fontId="0" fillId="0" borderId="135" xfId="0" applyNumberFormat="1" applyFill="1" applyBorder="1" applyAlignment="1" applyProtection="1">
      <alignment horizontal="center" vertical="center"/>
      <protection/>
    </xf>
    <xf numFmtId="2" fontId="0" fillId="0" borderId="63" xfId="0" applyNumberFormat="1" applyFill="1" applyBorder="1" applyAlignment="1" applyProtection="1">
      <alignment horizontal="center" vertical="center"/>
      <protection/>
    </xf>
    <xf numFmtId="0" fontId="0" fillId="13" borderId="164" xfId="0" applyNumberFormat="1" applyFill="1" applyBorder="1" applyAlignment="1" applyProtection="1">
      <alignment horizontal="center" vertical="center"/>
      <protection/>
    </xf>
    <xf numFmtId="0" fontId="0" fillId="13" borderId="135" xfId="0" applyNumberFormat="1" applyFill="1" applyBorder="1" applyAlignment="1" applyProtection="1">
      <alignment horizontal="center" vertical="center"/>
      <protection/>
    </xf>
    <xf numFmtId="0" fontId="0" fillId="13" borderId="143" xfId="0" applyNumberFormat="1" applyFill="1" applyBorder="1" applyAlignment="1" applyProtection="1">
      <alignment horizontal="center" vertical="center"/>
      <protection/>
    </xf>
    <xf numFmtId="181" fontId="0" fillId="0" borderId="226" xfId="0" applyNumberFormat="1" applyFont="1" applyFill="1" applyBorder="1" applyAlignment="1" applyProtection="1">
      <alignment horizontal="center" vertical="center" wrapText="1"/>
      <protection/>
    </xf>
    <xf numFmtId="181" fontId="0" fillId="0" borderId="0" xfId="0" applyNumberFormat="1" applyFont="1" applyFill="1" applyBorder="1" applyAlignment="1" applyProtection="1">
      <alignment horizontal="center" vertical="center" wrapText="1"/>
      <protection/>
    </xf>
    <xf numFmtId="0" fontId="0" fillId="39" borderId="0" xfId="0" applyFill="1" applyAlignment="1" applyProtection="1">
      <alignment horizontal="center" wrapText="1"/>
      <protection/>
    </xf>
    <xf numFmtId="3" fontId="132" fillId="13" borderId="181" xfId="0" applyNumberFormat="1" applyFont="1" applyFill="1" applyBorder="1" applyAlignment="1" applyProtection="1">
      <alignment horizontal="center" vertical="center"/>
      <protection/>
    </xf>
    <xf numFmtId="2" fontId="0" fillId="0" borderId="181" xfId="0" applyNumberFormat="1" applyFill="1" applyBorder="1" applyAlignment="1" applyProtection="1">
      <alignment horizontal="center" vertical="center"/>
      <protection/>
    </xf>
    <xf numFmtId="0" fontId="0" fillId="13" borderId="181" xfId="0" applyNumberFormat="1" applyFill="1" applyBorder="1" applyAlignment="1" applyProtection="1">
      <alignment horizontal="center" vertical="center"/>
      <protection/>
    </xf>
    <xf numFmtId="194" fontId="0" fillId="0" borderId="227" xfId="0" applyNumberFormat="1" applyFill="1" applyBorder="1" applyAlignment="1" applyProtection="1">
      <alignment horizontal="center" vertical="center"/>
      <protection/>
    </xf>
    <xf numFmtId="3" fontId="54" fillId="13" borderId="134" xfId="0" applyNumberFormat="1" applyFont="1" applyFill="1" applyBorder="1" applyAlignment="1" applyProtection="1">
      <alignment horizontal="center" vertical="center"/>
      <protection/>
    </xf>
    <xf numFmtId="3" fontId="54" fillId="13" borderId="135" xfId="0" applyNumberFormat="1" applyFont="1" applyFill="1" applyBorder="1" applyAlignment="1" applyProtection="1">
      <alignment horizontal="center" vertical="center"/>
      <protection/>
    </xf>
    <xf numFmtId="3" fontId="54" fillId="13" borderId="143" xfId="0" applyNumberFormat="1" applyFont="1" applyFill="1" applyBorder="1" applyAlignment="1" applyProtection="1">
      <alignment horizontal="center" vertical="center"/>
      <protection/>
    </xf>
    <xf numFmtId="0" fontId="0" fillId="13" borderId="134" xfId="0" applyNumberFormat="1" applyFill="1" applyBorder="1" applyAlignment="1" applyProtection="1">
      <alignment horizontal="center" vertical="center"/>
      <protection/>
    </xf>
  </cellXfs>
  <cellStyles count="11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Encabezado 1"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Heading 2" xfId="74"/>
    <cellStyle name="Heading 3" xfId="75"/>
    <cellStyle name="Incorrecto" xfId="76"/>
    <cellStyle name="Comma" xfId="77"/>
    <cellStyle name="Comma [0]" xfId="78"/>
    <cellStyle name="Millares 2" xfId="79"/>
    <cellStyle name="Currency" xfId="80"/>
    <cellStyle name="Currency [0]" xfId="81"/>
    <cellStyle name="Neutral" xfId="82"/>
    <cellStyle name="Normal 2" xfId="83"/>
    <cellStyle name="Normal 2 2" xfId="84"/>
    <cellStyle name="Normal 2 3" xfId="85"/>
    <cellStyle name="Normal 2 4" xfId="86"/>
    <cellStyle name="Normal 2 5" xfId="87"/>
    <cellStyle name="Normal 2 6" xfId="88"/>
    <cellStyle name="Normal 2 7" xfId="89"/>
    <cellStyle name="Normal 2 8" xfId="90"/>
    <cellStyle name="Normal 2_Dashboard ver 2.2 ES" xfId="91"/>
    <cellStyle name="Normal 2_Ficticia HIV Dashboard_ES - Set Up and Maintenance Guide" xfId="92"/>
    <cellStyle name="Normal 2_Prototipo" xfId="93"/>
    <cellStyle name="Normal 3" xfId="94"/>
    <cellStyle name="Normal 4" xfId="95"/>
    <cellStyle name="Normal 5" xfId="96"/>
    <cellStyle name="Normal 6" xfId="97"/>
    <cellStyle name="Normal 7" xfId="98"/>
    <cellStyle name="Normal 8" xfId="99"/>
    <cellStyle name="Normal_TZ_R3HIV_Phase_2_21_August_08" xfId="100"/>
    <cellStyle name="Notas" xfId="101"/>
    <cellStyle name="Output" xfId="102"/>
    <cellStyle name="Percent" xfId="103"/>
    <cellStyle name="Porcentual 2" xfId="104"/>
    <cellStyle name="Porcentual 3" xfId="105"/>
    <cellStyle name="Porcentual 4" xfId="106"/>
    <cellStyle name="Porcentual 5" xfId="107"/>
    <cellStyle name="Porcentual 6" xfId="108"/>
    <cellStyle name="Porcentual 7" xfId="109"/>
    <cellStyle name="Porcentual 8" xfId="110"/>
    <cellStyle name="Salida" xfId="111"/>
    <cellStyle name="Texto de advertencia" xfId="112"/>
    <cellStyle name="Texto explicativo" xfId="113"/>
    <cellStyle name="Title" xfId="114"/>
    <cellStyle name="Título" xfId="115"/>
    <cellStyle name="Título 2" xfId="116"/>
    <cellStyle name="Título 3" xfId="117"/>
    <cellStyle name="Título 3 2" xfId="118"/>
    <cellStyle name="Título 3 3" xfId="119"/>
    <cellStyle name="Título 3 3_Prototipo" xfId="120"/>
    <cellStyle name="Título 3 3_PrototipoRep1" xfId="121"/>
    <cellStyle name="Título 3 4" xfId="122"/>
    <cellStyle name="Título 3 5" xfId="123"/>
    <cellStyle name="Título 3 6" xfId="124"/>
    <cellStyle name="Título 3 7" xfId="125"/>
    <cellStyle name="Título 3 8" xfId="126"/>
    <cellStyle name="Total" xfId="127"/>
  </cellStyles>
  <dxfs count="59">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9"/>
      </font>
      <fill>
        <patternFill patternType="solid">
          <fgColor indexed="58"/>
          <bgColor indexed="8"/>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rgb="FFFFFFFF"/>
      </font>
      <fill>
        <patternFill patternType="solid">
          <fgColor rgb="FFFF8080"/>
          <bgColor rgb="FFFF7171"/>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15"/>
          <c:w val="0.94275"/>
          <c:h val="0.769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1203071</c:v>
                </c:pt>
                <c:pt idx="1">
                  <c:v>3380881</c:v>
                </c:pt>
                <c:pt idx="2">
                  <c:v>5665313</c:v>
                </c:pt>
                <c:pt idx="3">
                  <c:v>8896373</c:v>
                </c:pt>
                <c:pt idx="4">
                  <c:v>10994525</c:v>
                </c:pt>
                <c:pt idx="5">
                  <c:v>12931489</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6414805</c:v>
                </c:pt>
                <c:pt idx="3">
                  <c:v>9439669</c:v>
                </c:pt>
                <c:pt idx="4">
                  <c:v>10089241</c:v>
                </c:pt>
                <c:pt idx="5">
                  <c:v>11753490</c:v>
                </c:pt>
                <c:pt idx="6">
                  <c:v>0</c:v>
                </c:pt>
                <c:pt idx="7">
                  <c:v>0</c:v>
                </c:pt>
                <c:pt idx="8">
                  <c:v>0</c:v>
                </c:pt>
                <c:pt idx="9">
                  <c:v>0</c:v>
                </c:pt>
                <c:pt idx="10">
                  <c:v>0</c:v>
                </c:pt>
                <c:pt idx="11">
                  <c:v>0</c:v>
                </c:pt>
              </c:numCache>
            </c:numRef>
          </c:val>
        </c:ser>
        <c:gapWidth val="70"/>
        <c:axId val="31763569"/>
        <c:axId val="8385354"/>
      </c:barChart>
      <c:catAx>
        <c:axId val="31763569"/>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92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8385354"/>
        <c:crossesAt val="0"/>
        <c:auto val="1"/>
        <c:lblOffset val="100"/>
        <c:tickLblSkip val="1"/>
        <c:noMultiLvlLbl val="0"/>
      </c:catAx>
      <c:valAx>
        <c:axId val="83853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1763569"/>
        <c:crossesAt val="1"/>
        <c:crossBetween val="between"/>
        <c:dispUnits/>
      </c:valAx>
      <c:spPr>
        <a:solidFill>
          <a:srgbClr val="FFFFFF"/>
        </a:solidFill>
        <a:ln w="3175">
          <a:solidFill>
            <a:srgbClr val="000000"/>
          </a:solidFill>
        </a:ln>
      </c:spPr>
    </c:plotArea>
    <c:legend>
      <c:legendPos val="r"/>
      <c:layout>
        <c:manualLayout>
          <c:xMode val="edge"/>
          <c:yMode val="edge"/>
          <c:x val="0.126"/>
          <c:y val="0.88625"/>
          <c:w val="0.67525"/>
          <c:h val="0.108"/>
        </c:manualLayout>
      </c:layout>
      <c:overlay val="0"/>
      <c:spPr>
        <a:solidFill>
          <a:srgbClr val="FFFFFF"/>
        </a:solidFill>
        <a:ln w="3175">
          <a:solidFill>
            <a:srgbClr val="000000"/>
          </a:solid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76"/>
          <c:w val="0.9185"/>
          <c:h val="0.851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220</c:v>
                </c:pt>
                <c:pt idx="1">
                  <c:v>331</c:v>
                </c:pt>
                <c:pt idx="2">
                  <c:v>279</c:v>
                </c:pt>
                <c:pt idx="3">
                  <c:v>819</c:v>
                </c:pt>
                <c:pt idx="4">
                  <c:v>735</c:v>
                </c:pt>
                <c:pt idx="5">
                  <c:v>820</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34</c:v>
                </c:pt>
                <c:pt idx="1">
                  <c:v>524</c:v>
                </c:pt>
                <c:pt idx="2">
                  <c:v>280</c:v>
                </c:pt>
                <c:pt idx="3">
                  <c:v>719</c:v>
                </c:pt>
                <c:pt idx="4">
                  <c:v>773</c:v>
                </c:pt>
                <c:pt idx="5">
                  <c:v>821</c:v>
                </c:pt>
              </c:numCache>
            </c:numRef>
          </c:val>
        </c:ser>
        <c:axId val="55922827"/>
        <c:axId val="11075668"/>
      </c:barChart>
      <c:catAx>
        <c:axId val="5592282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1075668"/>
        <c:crossesAt val="0"/>
        <c:auto val="1"/>
        <c:lblOffset val="100"/>
        <c:tickLblSkip val="1"/>
        <c:noMultiLvlLbl val="0"/>
      </c:catAx>
      <c:valAx>
        <c:axId val="11075668"/>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592282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865"/>
          <c:w val="0.9365"/>
          <c:h val="0.856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1558</c:v>
                </c:pt>
                <c:pt idx="1">
                  <c:v>2336</c:v>
                </c:pt>
                <c:pt idx="2">
                  <c:v>2878</c:v>
                </c:pt>
                <c:pt idx="3">
                  <c:v>6254</c:v>
                </c:pt>
                <c:pt idx="4">
                  <c:v>6923</c:v>
                </c:pt>
                <c:pt idx="5">
                  <c:v>6922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155</c:v>
                </c:pt>
                <c:pt idx="1">
                  <c:v>3973</c:v>
                </c:pt>
                <c:pt idx="2">
                  <c:v>3198</c:v>
                </c:pt>
                <c:pt idx="3">
                  <c:v>6892</c:v>
                </c:pt>
                <c:pt idx="4">
                  <c:v>6184</c:v>
                </c:pt>
                <c:pt idx="5">
                  <c:v>8531</c:v>
                </c:pt>
              </c:numCache>
            </c:numRef>
          </c:val>
        </c:ser>
        <c:axId val="46210357"/>
        <c:axId val="19081070"/>
      </c:barChart>
      <c:catAx>
        <c:axId val="4621035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9081070"/>
        <c:crossesAt val="0"/>
        <c:auto val="1"/>
        <c:lblOffset val="100"/>
        <c:tickLblSkip val="1"/>
        <c:noMultiLvlLbl val="0"/>
      </c:catAx>
      <c:valAx>
        <c:axId val="19081070"/>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62103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5"/>
          <c:y val="-0.03675"/>
          <c:w val="0.8415"/>
          <c:h val="0.9692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c:v>
                </c:pt>
                <c:pt idx="5">
                  <c:v>Saldo en caja**</c:v>
                </c:pt>
              </c:strCache>
            </c:strRef>
          </c:cat>
          <c:val>
            <c:numRef>
              <c:f>'Introducción de datos'!$C$52:$C$57</c:f>
              <c:numCache>
                <c:ptCount val="6"/>
                <c:pt idx="0">
                  <c:v>10089241</c:v>
                </c:pt>
                <c:pt idx="1">
                  <c:v>9601211.77</c:v>
                </c:pt>
                <c:pt idx="2">
                  <c:v>4534953.5</c:v>
                </c:pt>
                <c:pt idx="3">
                  <c:v>4267338.33</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c:v>
                </c:pt>
                <c:pt idx="5">
                  <c:v>Saldo en caja**</c:v>
                </c:pt>
              </c:strCache>
            </c:strRef>
          </c:cat>
          <c:val>
            <c:numRef>
              <c:f>'Introducción de datos'!$D$52:$D$57</c:f>
              <c:numCache>
                <c:ptCount val="6"/>
                <c:pt idx="0">
                  <c:v>1664249</c:v>
                </c:pt>
                <c:pt idx="1">
                  <c:v>1648632.78</c:v>
                </c:pt>
                <c:pt idx="2">
                  <c:v>761007.99</c:v>
                </c:pt>
                <c:pt idx="3">
                  <c:v>1010785.37</c:v>
                </c:pt>
                <c:pt idx="4">
                  <c:v>361683.47</c:v>
                </c:pt>
                <c:pt idx="5">
                  <c:v>623421.41</c:v>
                </c:pt>
              </c:numCache>
            </c:numRef>
          </c:val>
        </c:ser>
        <c:overlap val="100"/>
        <c:axId val="8099003"/>
        <c:axId val="49722628"/>
      </c:barChart>
      <c:catAx>
        <c:axId val="8099003"/>
        <c:scaling>
          <c:orientation val="minMax"/>
        </c:scaling>
        <c:axPos val="b"/>
        <c:delete val="0"/>
        <c:numFmt formatCode="General" sourceLinked="1"/>
        <c:majorTickMark val="out"/>
        <c:minorTickMark val="none"/>
        <c:tickLblPos val="nextTo"/>
        <c:spPr>
          <a:ln w="3175">
            <a:solidFill>
              <a:srgbClr val="808080"/>
            </a:solidFill>
          </a:ln>
        </c:spPr>
        <c:crossAx val="49722628"/>
        <c:crossesAt val="0"/>
        <c:auto val="1"/>
        <c:lblOffset val="100"/>
        <c:tickLblSkip val="2"/>
        <c:noMultiLvlLbl val="0"/>
      </c:catAx>
      <c:valAx>
        <c:axId val="49722628"/>
        <c:scaling>
          <c:orientation val="minMax"/>
        </c:scaling>
        <c:axPos val="l"/>
        <c:delete val="0"/>
        <c:numFmt formatCode="#.##0" sourceLinked="0"/>
        <c:majorTickMark val="out"/>
        <c:minorTickMark val="none"/>
        <c:tickLblPos val="nextTo"/>
        <c:spPr>
          <a:ln w="3175">
            <a:solidFill>
              <a:srgbClr val="808080"/>
            </a:solidFill>
          </a:ln>
        </c:spPr>
        <c:crossAx val="809900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755"/>
          <c:w val="0.84425"/>
          <c:h val="0.89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7461592.9799999995</c:v>
                </c:pt>
                <c:pt idx="1">
                  <c:v>697382.9700000001</c:v>
                </c:pt>
                <c:pt idx="2">
                  <c:v>4772513.09</c:v>
                </c:pt>
              </c:numCache>
            </c:numRef>
          </c:val>
        </c:ser>
        <c:ser>
          <c:idx val="1"/>
          <c:order val="1"/>
          <c:tx>
            <c:strRef>
              <c:f>Financiamiento!$C$34</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6532230.86</c:v>
                </c:pt>
                <c:pt idx="1">
                  <c:v>618111.24</c:v>
                </c:pt>
                <c:pt idx="2">
                  <c:v>4081664.12</c:v>
                </c:pt>
              </c:numCache>
            </c:numRef>
          </c:val>
        </c:ser>
        <c:axId val="63237733"/>
        <c:axId val="58122526"/>
      </c:barChart>
      <c:catAx>
        <c:axId val="632377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8122526"/>
        <c:crossesAt val="0"/>
        <c:auto val="1"/>
        <c:lblOffset val="100"/>
        <c:tickLblSkip val="1"/>
        <c:noMultiLvlLbl val="0"/>
      </c:catAx>
      <c:valAx>
        <c:axId val="5812252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63237733"/>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20225"/>
          <c:w val="0.96375"/>
          <c:h val="0.6815"/>
        </c:manualLayout>
      </c:layout>
      <c:barChart>
        <c:barDir val="bar"/>
        <c:grouping val="percentStacked"/>
        <c:varyColors val="0"/>
        <c:ser>
          <c:idx val="0"/>
          <c:order val="0"/>
          <c:tx>
            <c:strRef>
              <c:f>'Introducción de datos'!$D$81</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datos'!$D$82</c:f>
              <c:numCache>
                <c:ptCount val="1"/>
                <c:pt idx="0">
                  <c:v>6</c:v>
                </c:pt>
              </c:numCache>
            </c:numRef>
          </c:val>
        </c:ser>
        <c:ser>
          <c:idx val="1"/>
          <c:order val="1"/>
          <c:tx>
            <c:strRef>
              <c:f>'Introducción de datos'!$E$81</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datos'!$E$82</c:f>
              <c:numCache>
                <c:ptCount val="1"/>
                <c:pt idx="0">
                  <c:v>0</c:v>
                </c:pt>
              </c:numCache>
            </c:numRef>
          </c:val>
        </c:ser>
        <c:overlap val="100"/>
        <c:gapWidth val="79"/>
        <c:axId val="5522287"/>
        <c:axId val="21721496"/>
      </c:barChart>
      <c:catAx>
        <c:axId val="5522287"/>
        <c:scaling>
          <c:orientation val="minMax"/>
        </c:scaling>
        <c:axPos val="l"/>
        <c:delete val="1"/>
        <c:majorTickMark val="out"/>
        <c:minorTickMark val="none"/>
        <c:tickLblPos val="nextTo"/>
        <c:crossAx val="21721496"/>
        <c:crossesAt val="0"/>
        <c:auto val="1"/>
        <c:lblOffset val="100"/>
        <c:tickLblSkip val="1"/>
        <c:noMultiLvlLbl val="0"/>
      </c:catAx>
      <c:valAx>
        <c:axId val="21721496"/>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522287"/>
        <c:crosses val="max"/>
        <c:crossBetween val="between"/>
        <c:dispUnits/>
      </c:valAx>
      <c:spPr>
        <a:solidFill>
          <a:srgbClr val="FFFFFF"/>
        </a:solidFill>
        <a:ln w="3175">
          <a:noFill/>
        </a:ln>
      </c:spPr>
    </c:plotArea>
    <c:legend>
      <c:legendPos val="r"/>
      <c:layout>
        <c:manualLayout>
          <c:xMode val="edge"/>
          <c:yMode val="edge"/>
          <c:x val="0.25825"/>
          <c:y val="0.80875"/>
          <c:w val="0.437"/>
          <c:h val="0.169"/>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45"/>
          <c:h val="0.72175"/>
        </c:manualLayout>
      </c:layout>
      <c:barChart>
        <c:barDir val="col"/>
        <c:grouping val="clustered"/>
        <c:varyColors val="0"/>
        <c:ser>
          <c:idx val="0"/>
          <c:order val="0"/>
          <c:tx>
            <c:strRef>
              <c:f>'Introducción de datos'!$C$86</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datos'!$C$87</c:f>
              <c:numCache>
                <c:ptCount val="1"/>
                <c:pt idx="0">
                  <c:v>11</c:v>
                </c:pt>
              </c:numCache>
            </c:numRef>
          </c:val>
        </c:ser>
        <c:ser>
          <c:idx val="1"/>
          <c:order val="1"/>
          <c:tx>
            <c:strRef>
              <c:f>'Introducción de datos'!$D$86</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datos'!$D$87</c:f>
              <c:numCache>
                <c:ptCount val="1"/>
                <c:pt idx="0">
                  <c:v>11</c:v>
                </c:pt>
              </c:numCache>
            </c:numRef>
          </c:val>
        </c:ser>
        <c:ser>
          <c:idx val="2"/>
          <c:order val="2"/>
          <c:tx>
            <c:strRef>
              <c:f>'Introducción de datos'!$E$86</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datos'!$E$87</c:f>
              <c:numCache>
                <c:ptCount val="1"/>
                <c:pt idx="0">
                  <c:v>10</c:v>
                </c:pt>
              </c:numCache>
            </c:numRef>
          </c:val>
        </c:ser>
        <c:ser>
          <c:idx val="3"/>
          <c:order val="3"/>
          <c:tx>
            <c:strRef>
              <c:f>'Introducción de datos'!$F$86</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datos'!$F$87</c:f>
              <c:numCache>
                <c:ptCount val="1"/>
                <c:pt idx="0">
                  <c:v>8</c:v>
                </c:pt>
              </c:numCache>
            </c:numRef>
          </c:val>
        </c:ser>
        <c:ser>
          <c:idx val="4"/>
          <c:order val="4"/>
          <c:tx>
            <c:strRef>
              <c:f>'Introducción de datos'!$G$86</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datos'!$G$87</c:f>
              <c:numCache>
                <c:ptCount val="1"/>
                <c:pt idx="0">
                  <c:v>8</c:v>
                </c:pt>
              </c:numCache>
            </c:numRef>
          </c:val>
        </c:ser>
        <c:overlap val="-20"/>
        <c:axId val="54164953"/>
        <c:axId val="55951474"/>
      </c:barChart>
      <c:catAx>
        <c:axId val="54164953"/>
        <c:scaling>
          <c:orientation val="minMax"/>
        </c:scaling>
        <c:axPos val="b"/>
        <c:delete val="0"/>
        <c:numFmt formatCode="General" sourceLinked="1"/>
        <c:majorTickMark val="none"/>
        <c:minorTickMark val="none"/>
        <c:tickLblPos val="none"/>
        <c:spPr>
          <a:ln w="3175">
            <a:solidFill>
              <a:srgbClr val="000000"/>
            </a:solidFill>
          </a:ln>
        </c:spPr>
        <c:crossAx val="55951474"/>
        <c:crossesAt val="0"/>
        <c:auto val="0"/>
        <c:lblOffset val="100"/>
        <c:tickLblSkip val="1"/>
        <c:noMultiLvlLbl val="0"/>
      </c:catAx>
      <c:valAx>
        <c:axId val="559514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164953"/>
        <c:crossesAt val="1"/>
        <c:crossBetween val="between"/>
        <c:dispUnits/>
      </c:valAx>
      <c:spPr>
        <a:noFill/>
        <a:ln>
          <a:noFill/>
        </a:ln>
      </c:spPr>
    </c:plotArea>
    <c:legend>
      <c:legendPos val="r"/>
      <c:layout>
        <c:manualLayout>
          <c:xMode val="edge"/>
          <c:yMode val="edge"/>
          <c:x val="0.00225"/>
          <c:y val="0.76625"/>
          <c:w val="0.89425"/>
          <c:h val="0.081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785"/>
          <c:w val="0.777"/>
          <c:h val="0.767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datos'!$D$75:$D$76</c:f>
              <c:numCache>
                <c:ptCount val="2"/>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datos'!$E$75:$E$76</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datos'!$F$75:$F$76</c:f>
              <c:numCache>
                <c:ptCount val="2"/>
                <c:pt idx="0">
                  <c:v>0</c:v>
                </c:pt>
                <c:pt idx="1">
                  <c:v>0</c:v>
                </c:pt>
              </c:numCache>
            </c:numRef>
          </c:val>
        </c:ser>
        <c:overlap val="100"/>
        <c:gapWidth val="70"/>
        <c:axId val="13625251"/>
        <c:axId val="4687788"/>
      </c:barChart>
      <c:catAx>
        <c:axId val="136252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87788"/>
        <c:crossesAt val="0"/>
        <c:auto val="1"/>
        <c:lblOffset val="100"/>
        <c:tickLblSkip val="1"/>
        <c:noMultiLvlLbl val="0"/>
      </c:catAx>
      <c:valAx>
        <c:axId val="46877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625251"/>
        <c:crossesAt val="1"/>
        <c:crossBetween val="between"/>
        <c:dispUnits/>
      </c:valAx>
      <c:spPr>
        <a:noFill/>
        <a:ln>
          <a:noFill/>
        </a:ln>
      </c:spPr>
    </c:plotArea>
    <c:legend>
      <c:legendPos val="r"/>
      <c:layout>
        <c:manualLayout>
          <c:xMode val="edge"/>
          <c:yMode val="edge"/>
          <c:x val="0"/>
          <c:y val="0.6815"/>
          <c:w val="0.985"/>
          <c:h val="0.1702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335"/>
          <c:w val="0.80975"/>
          <c:h val="0.72325"/>
        </c:manualLayout>
      </c:layout>
      <c:barChart>
        <c:barDir val="bar"/>
        <c:grouping val="percentStacked"/>
        <c:varyColors val="0"/>
        <c:ser>
          <c:idx val="0"/>
          <c:order val="0"/>
          <c:tx>
            <c:strRef>
              <c:f>'Introducción de datos'!$D$91</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datos'!$D$92:$D$93</c:f>
              <c:numCache>
                <c:ptCount val="2"/>
                <c:pt idx="0">
                  <c:v>0</c:v>
                </c:pt>
                <c:pt idx="1">
                  <c:v>16</c:v>
                </c:pt>
              </c:numCache>
            </c:numRef>
          </c:val>
        </c:ser>
        <c:ser>
          <c:idx val="1"/>
          <c:order val="1"/>
          <c:tx>
            <c:strRef>
              <c:f>'Introducción de datos'!$E$91</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datos'!$E$92:$E$93</c:f>
              <c:numCache>
                <c:ptCount val="2"/>
                <c:pt idx="0">
                  <c:v>0</c:v>
                </c:pt>
                <c:pt idx="1">
                  <c:v>0</c:v>
                </c:pt>
              </c:numCache>
            </c:numRef>
          </c:val>
        </c:ser>
        <c:overlap val="100"/>
        <c:gapWidth val="79"/>
        <c:axId val="14559949"/>
        <c:axId val="20767046"/>
      </c:barChart>
      <c:catAx>
        <c:axId val="145599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0767046"/>
        <c:crossesAt val="0"/>
        <c:auto val="1"/>
        <c:lblOffset val="100"/>
        <c:tickLblSkip val="1"/>
        <c:noMultiLvlLbl val="0"/>
      </c:catAx>
      <c:valAx>
        <c:axId val="20767046"/>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4559949"/>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9325"/>
          <c:w val="0.875"/>
          <c:h val="0.67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datos'!$C$102:$N$102</c:f>
              <c:numCache>
                <c:ptCount val="12"/>
                <c:pt idx="0">
                  <c:v>0</c:v>
                </c:pt>
                <c:pt idx="1">
                  <c:v>160268</c:v>
                </c:pt>
                <c:pt idx="2">
                  <c:v>160268</c:v>
                </c:pt>
                <c:pt idx="3">
                  <c:v>1190096</c:v>
                </c:pt>
                <c:pt idx="4">
                  <c:v>1202096</c:v>
                </c:pt>
                <c:pt idx="5">
                  <c:v>1202096</c:v>
                </c:pt>
                <c:pt idx="6">
                  <c:v>1202096</c:v>
                </c:pt>
                <c:pt idx="7">
                  <c:v>1202096</c:v>
                </c:pt>
                <c:pt idx="8">
                  <c:v>1202096</c:v>
                </c:pt>
                <c:pt idx="9">
                  <c:v>1202096</c:v>
                </c:pt>
                <c:pt idx="10">
                  <c:v>1202096</c:v>
                </c:pt>
                <c:pt idx="11">
                  <c:v>1202096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datos'!$C$103:$N$103</c:f>
              <c:numCache>
                <c:ptCount val="12"/>
                <c:pt idx="0">
                  <c:v>0</c:v>
                </c:pt>
                <c:pt idx="1">
                  <c:v>0</c:v>
                </c:pt>
                <c:pt idx="2">
                  <c:v>0</c:v>
                </c:pt>
                <c:pt idx="3">
                  <c:v>48622</c:v>
                </c:pt>
                <c:pt idx="4">
                  <c:v>48622</c:v>
                </c:pt>
                <c:pt idx="5">
                  <c:v>48622</c:v>
                </c:pt>
                <c:pt idx="6">
                  <c:v>48622</c:v>
                </c:pt>
                <c:pt idx="7">
                  <c:v>48622</c:v>
                </c:pt>
                <c:pt idx="8">
                  <c:v>48622</c:v>
                </c:pt>
                <c:pt idx="9">
                  <c:v>48622</c:v>
                </c:pt>
                <c:pt idx="10">
                  <c:v>48622</c:v>
                </c:pt>
                <c:pt idx="11">
                  <c:v>48622</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datos'!$C$104:$N$104</c:f>
              <c:numCache>
                <c:ptCount val="12"/>
                <c:pt idx="0">
                  <c:v>0</c:v>
                </c:pt>
                <c:pt idx="1">
                  <c:v>160268</c:v>
                </c:pt>
                <c:pt idx="2">
                  <c:v>160268</c:v>
                </c:pt>
                <c:pt idx="3">
                  <c:v>856373</c:v>
                </c:pt>
                <c:pt idx="4">
                  <c:v>918596</c:v>
                </c:pt>
                <c:pt idx="5">
                  <c:v>918596</c:v>
                </c:pt>
                <c:pt idx="6">
                  <c:v>918596</c:v>
                </c:pt>
                <c:pt idx="7">
                  <c:v>918596</c:v>
                </c:pt>
                <c:pt idx="8">
                  <c:v>918596</c:v>
                </c:pt>
                <c:pt idx="9">
                  <c:v>918596</c:v>
                </c:pt>
                <c:pt idx="10">
                  <c:v>918596</c:v>
                </c:pt>
                <c:pt idx="11">
                  <c:v>918596</c:v>
                </c:pt>
              </c:numCache>
            </c:numRef>
          </c:val>
          <c:smooth val="0"/>
        </c:ser>
        <c:marker val="1"/>
        <c:axId val="36327767"/>
        <c:axId val="11945792"/>
      </c:lineChart>
      <c:catAx>
        <c:axId val="363277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1945792"/>
        <c:crossesAt val="0"/>
        <c:auto val="1"/>
        <c:lblOffset val="100"/>
        <c:tickLblSkip val="1"/>
        <c:noMultiLvlLbl val="0"/>
      </c:catAx>
      <c:valAx>
        <c:axId val="119457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6327767"/>
        <c:crossesAt val="1"/>
        <c:crossBetween val="midCat"/>
        <c:dispUnits/>
      </c:valAx>
      <c:spPr>
        <a:solidFill>
          <a:srgbClr val="FFFFFF"/>
        </a:solidFill>
        <a:ln w="12700">
          <a:solidFill>
            <a:srgbClr val="808080"/>
          </a:solidFill>
        </a:ln>
      </c:spPr>
    </c:plotArea>
    <c:legend>
      <c:legendPos val="r"/>
      <c:layout>
        <c:manualLayout>
          <c:xMode val="edge"/>
          <c:yMode val="edge"/>
          <c:x val="0"/>
          <c:y val="0.67575"/>
          <c:w val="0.879"/>
          <c:h val="0.2035"/>
        </c:manualLayout>
      </c:layout>
      <c:overlay val="0"/>
      <c:spPr>
        <a:noFill/>
        <a:ln w="3175">
          <a:noFill/>
        </a:ln>
      </c:spPr>
      <c:txPr>
        <a:bodyPr vert="horz" rot="0"/>
        <a:lstStyle/>
        <a:p>
          <a:pPr>
            <a:defRPr lang="en-US" cap="none" sz="45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7625"/>
          <c:w val="0.86075"/>
          <c:h val="0.827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1171</c:v>
                </c:pt>
                <c:pt idx="1">
                  <c:v>1175</c:v>
                </c:pt>
                <c:pt idx="2">
                  <c:v>2196</c:v>
                </c:pt>
                <c:pt idx="3">
                  <c:v>4754</c:v>
                </c:pt>
                <c:pt idx="4">
                  <c:v>5324</c:v>
                </c:pt>
                <c:pt idx="5">
                  <c:v>5320</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44</c:v>
                </c:pt>
                <c:pt idx="1">
                  <c:v>2918</c:v>
                </c:pt>
                <c:pt idx="2">
                  <c:v>2582</c:v>
                </c:pt>
                <c:pt idx="3">
                  <c:v>4017</c:v>
                </c:pt>
                <c:pt idx="4">
                  <c:v>4030</c:v>
                </c:pt>
                <c:pt idx="5">
                  <c:v>7204</c:v>
                </c:pt>
              </c:numCache>
            </c:numRef>
          </c:val>
        </c:ser>
        <c:axId val="56542529"/>
        <c:axId val="66229146"/>
      </c:barChart>
      <c:catAx>
        <c:axId val="5654252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6229146"/>
        <c:crossesAt val="0"/>
        <c:auto val="1"/>
        <c:lblOffset val="100"/>
        <c:tickLblSkip val="1"/>
        <c:noMultiLvlLbl val="0"/>
      </c:catAx>
      <c:valAx>
        <c:axId val="6622914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65425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609600</xdr:colOff>
      <xdr:row>12</xdr:row>
      <xdr:rowOff>0</xdr:rowOff>
    </xdr:to>
    <xdr:sp>
      <xdr:nvSpPr>
        <xdr:cNvPr id="5" name="AutoShape 27">
          <a:hlinkClick r:id="rId3"/>
        </xdr:cNvPr>
        <xdr:cNvSpPr>
          <a:spLocks/>
        </xdr:cNvSpPr>
      </xdr:nvSpPr>
      <xdr:spPr>
        <a:xfrm>
          <a:off x="3448050" y="2466975"/>
          <a:ext cx="104775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638175</xdr:colOff>
      <xdr:row>17</xdr:row>
      <xdr:rowOff>123825</xdr:rowOff>
    </xdr:to>
    <xdr:sp>
      <xdr:nvSpPr>
        <xdr:cNvPr id="8" name="AutoShape 27">
          <a:hlinkClick r:id="rId4"/>
        </xdr:cNvPr>
        <xdr:cNvSpPr>
          <a:spLocks/>
        </xdr:cNvSpPr>
      </xdr:nvSpPr>
      <xdr:spPr>
        <a:xfrm>
          <a:off x="3448050" y="3562350"/>
          <a:ext cx="1076325" cy="2762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609600</xdr:colOff>
      <xdr:row>14</xdr:row>
      <xdr:rowOff>161925</xdr:rowOff>
    </xdr:to>
    <xdr:sp>
      <xdr:nvSpPr>
        <xdr:cNvPr id="11" name="AutoShape 27">
          <a:hlinkClick r:id="rId5"/>
        </xdr:cNvPr>
        <xdr:cNvSpPr>
          <a:spLocks/>
        </xdr:cNvSpPr>
      </xdr:nvSpPr>
      <xdr:spPr>
        <a:xfrm>
          <a:off x="3448050" y="2990850"/>
          <a:ext cx="1047750" cy="3143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371475</xdr:colOff>
      <xdr:row>5</xdr:row>
      <xdr:rowOff>0</xdr:rowOff>
    </xdr:from>
    <xdr:to>
      <xdr:col>7</xdr:col>
      <xdr:colOff>400050</xdr:colOff>
      <xdr:row>6</xdr:row>
      <xdr:rowOff>47625</xdr:rowOff>
    </xdr:to>
    <xdr:sp>
      <xdr:nvSpPr>
        <xdr:cNvPr id="13" name="Rectangle 803"/>
        <xdr:cNvSpPr>
          <a:spLocks/>
        </xdr:cNvSpPr>
      </xdr:nvSpPr>
      <xdr:spPr>
        <a:xfrm>
          <a:off x="2733675" y="1428750"/>
          <a:ext cx="231457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800725" y="2619375"/>
          <a:ext cx="136207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14</xdr:row>
      <xdr:rowOff>114300</xdr:rowOff>
    </xdr:from>
    <xdr:to>
      <xdr:col>11</xdr:col>
      <xdr:colOff>76200</xdr:colOff>
      <xdr:row>16</xdr:row>
      <xdr:rowOff>76200</xdr:rowOff>
    </xdr:to>
    <xdr:sp>
      <xdr:nvSpPr>
        <xdr:cNvPr id="20" name="AutoShape 31">
          <a:hlinkClick r:id="rId7"/>
        </xdr:cNvPr>
        <xdr:cNvSpPr>
          <a:spLocks/>
        </xdr:cNvSpPr>
      </xdr:nvSpPr>
      <xdr:spPr>
        <a:xfrm>
          <a:off x="5772150" y="3257550"/>
          <a:ext cx="1352550" cy="34290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16</xdr:row>
      <xdr:rowOff>0</xdr:rowOff>
    </xdr:from>
    <xdr:to>
      <xdr:col>3</xdr:col>
      <xdr:colOff>476250</xdr:colOff>
      <xdr:row>18</xdr:row>
      <xdr:rowOff>0</xdr:rowOff>
    </xdr:to>
    <xdr:sp>
      <xdr:nvSpPr>
        <xdr:cNvPr id="23" name="AutoShape 31">
          <a:hlinkClick r:id="rId8"/>
        </xdr:cNvPr>
        <xdr:cNvSpPr>
          <a:spLocks/>
        </xdr:cNvSpPr>
      </xdr:nvSpPr>
      <xdr:spPr>
        <a:xfrm>
          <a:off x="628650" y="3524250"/>
          <a:ext cx="1447800" cy="3810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76200</xdr:rowOff>
    </xdr:from>
    <xdr:to>
      <xdr:col>3</xdr:col>
      <xdr:colOff>466725</xdr:colOff>
      <xdr:row>12</xdr:row>
      <xdr:rowOff>0</xdr:rowOff>
    </xdr:to>
    <xdr:sp>
      <xdr:nvSpPr>
        <xdr:cNvPr id="26" name="AutoShape 31">
          <a:hlinkClick r:id="rId9"/>
        </xdr:cNvPr>
        <xdr:cNvSpPr>
          <a:spLocks/>
        </xdr:cNvSpPr>
      </xdr:nvSpPr>
      <xdr:spPr>
        <a:xfrm>
          <a:off x="628650" y="2457450"/>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152400</xdr:rowOff>
    </xdr:to>
    <xdr:sp>
      <xdr:nvSpPr>
        <xdr:cNvPr id="29" name="AutoShape 31">
          <a:hlinkClick r:id="rId10"/>
        </xdr:cNvPr>
        <xdr:cNvSpPr>
          <a:spLocks/>
        </xdr:cNvSpPr>
      </xdr:nvSpPr>
      <xdr:spPr>
        <a:xfrm>
          <a:off x="628650" y="2981325"/>
          <a:ext cx="1438275" cy="3143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114300</xdr:rowOff>
    </xdr:from>
    <xdr:to>
      <xdr:col>4</xdr:col>
      <xdr:colOff>76200</xdr:colOff>
      <xdr:row>10</xdr:row>
      <xdr:rowOff>0</xdr:rowOff>
    </xdr:to>
    <xdr:sp fLocksText="0">
      <xdr:nvSpPr>
        <xdr:cNvPr id="32" name="Text Box 2013"/>
        <xdr:cNvSpPr txBox="1">
          <a:spLocks noChangeArrowheads="1"/>
        </xdr:cNvSpPr>
      </xdr:nvSpPr>
      <xdr:spPr>
        <a:xfrm>
          <a:off x="400050" y="1924050"/>
          <a:ext cx="2038350" cy="457200"/>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638175</xdr:colOff>
      <xdr:row>7</xdr:row>
      <xdr:rowOff>114300</xdr:rowOff>
    </xdr:from>
    <xdr:to>
      <xdr:col>7</xdr:col>
      <xdr:colOff>285750</xdr:colOff>
      <xdr:row>9</xdr:row>
      <xdr:rowOff>114300</xdr:rowOff>
    </xdr:to>
    <xdr:sp fLocksText="0">
      <xdr:nvSpPr>
        <xdr:cNvPr id="34" name="Text Box 2017"/>
        <xdr:cNvSpPr txBox="1">
          <a:spLocks noChangeArrowheads="1"/>
        </xdr:cNvSpPr>
      </xdr:nvSpPr>
      <xdr:spPr>
        <a:xfrm>
          <a:off x="3000375" y="1924050"/>
          <a:ext cx="193357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76200</xdr:colOff>
      <xdr:row>7</xdr:row>
      <xdr:rowOff>114300</xdr:rowOff>
    </xdr:from>
    <xdr:to>
      <xdr:col>11</xdr:col>
      <xdr:colOff>342900</xdr:colOff>
      <xdr:row>9</xdr:row>
      <xdr:rowOff>114300</xdr:rowOff>
    </xdr:to>
    <xdr:sp fLocksText="0">
      <xdr:nvSpPr>
        <xdr:cNvPr id="36" name="Text Box 2019"/>
        <xdr:cNvSpPr txBox="1">
          <a:spLocks noChangeArrowheads="1"/>
        </xdr:cNvSpPr>
      </xdr:nvSpPr>
      <xdr:spPr>
        <a:xfrm>
          <a:off x="5486400" y="1924050"/>
          <a:ext cx="190500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1</xdr:row>
      <xdr:rowOff>0</xdr:rowOff>
    </xdr:to>
    <xdr:sp>
      <xdr:nvSpPr>
        <xdr:cNvPr id="1" name="AutoShape 50">
          <a:hlinkClick r:id="rId1"/>
        </xdr:cNvPr>
        <xdr:cNvSpPr>
          <a:spLocks/>
        </xdr:cNvSpPr>
      </xdr:nvSpPr>
      <xdr:spPr>
        <a:xfrm>
          <a:off x="28575" y="28575"/>
          <a:ext cx="1285875" cy="409575"/>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1190625</xdr:colOff>
      <xdr:row>2</xdr:row>
      <xdr:rowOff>447675</xdr:rowOff>
    </xdr:to>
    <xdr:sp>
      <xdr:nvSpPr>
        <xdr:cNvPr id="1" name="Rectangle 117">
          <a:hlinkClick r:id="rId1"/>
        </xdr:cNvPr>
        <xdr:cNvSpPr>
          <a:spLocks/>
        </xdr:cNvSpPr>
      </xdr:nvSpPr>
      <xdr:spPr>
        <a:xfrm>
          <a:off x="190500" y="590550"/>
          <a:ext cx="100012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76200</xdr:colOff>
      <xdr:row>0</xdr:row>
      <xdr:rowOff>38100</xdr:rowOff>
    </xdr:from>
    <xdr:to>
      <xdr:col>0</xdr:col>
      <xdr:colOff>1009650</xdr:colOff>
      <xdr:row>1</xdr:row>
      <xdr:rowOff>114300</xdr:rowOff>
    </xdr:to>
    <xdr:sp>
      <xdr:nvSpPr>
        <xdr:cNvPr id="2" name="AutoShape 50">
          <a:hlinkClick r:id="rId2"/>
        </xdr:cNvPr>
        <xdr:cNvSpPr>
          <a:spLocks/>
        </xdr:cNvSpPr>
      </xdr:nvSpPr>
      <xdr:spPr>
        <a:xfrm>
          <a:off x="76200" y="38100"/>
          <a:ext cx="93345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29</xdr:row>
      <xdr:rowOff>295275</xdr:rowOff>
    </xdr:from>
    <xdr:to>
      <xdr:col>7</xdr:col>
      <xdr:colOff>581025</xdr:colOff>
      <xdr:row>39</xdr:row>
      <xdr:rowOff>114300</xdr:rowOff>
    </xdr:to>
    <xdr:sp>
      <xdr:nvSpPr>
        <xdr:cNvPr id="1" name="AutoShape 100"/>
        <xdr:cNvSpPr>
          <a:spLocks/>
        </xdr:cNvSpPr>
      </xdr:nvSpPr>
      <xdr:spPr>
        <a:xfrm flipH="1">
          <a:off x="13487400" y="4752975"/>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3638550"/>
        <a:ext cx="4552950" cy="1762125"/>
      </xdr:xfrm>
      <a:graphic>
        <a:graphicData uri="http://schemas.openxmlformats.org/drawingml/2006/chart">
          <c:chart xmlns:c="http://schemas.openxmlformats.org/drawingml/2006/chart" r:id="rId1"/>
        </a:graphicData>
      </a:graphic>
    </xdr:graphicFrame>
    <xdr:clientData/>
  </xdr:twoCellAnchor>
  <xdr:twoCellAnchor>
    <xdr:from>
      <xdr:col>5</xdr:col>
      <xdr:colOff>1352550</xdr:colOff>
      <xdr:row>9</xdr:row>
      <xdr:rowOff>9525</xdr:rowOff>
    </xdr:from>
    <xdr:to>
      <xdr:col>14</xdr:col>
      <xdr:colOff>542925</xdr:colOff>
      <xdr:row>22</xdr:row>
      <xdr:rowOff>76200</xdr:rowOff>
    </xdr:to>
    <xdr:graphicFrame>
      <xdr:nvGraphicFramePr>
        <xdr:cNvPr id="2" name="Chart 2"/>
        <xdr:cNvGraphicFramePr/>
      </xdr:nvGraphicFramePr>
      <xdr:xfrm>
        <a:off x="4276725" y="3543300"/>
        <a:ext cx="6829425"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5</xdr:col>
      <xdr:colOff>1733550</xdr:colOff>
      <xdr:row>31</xdr:row>
      <xdr:rowOff>38100</xdr:rowOff>
    </xdr:to>
    <xdr:graphicFrame>
      <xdr:nvGraphicFramePr>
        <xdr:cNvPr id="3" name="Chart 3"/>
        <xdr:cNvGraphicFramePr/>
      </xdr:nvGraphicFramePr>
      <xdr:xfrm>
        <a:off x="0" y="725805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704850</xdr:colOff>
      <xdr:row>0</xdr:row>
      <xdr:rowOff>333375</xdr:rowOff>
    </xdr:to>
    <xdr:sp>
      <xdr:nvSpPr>
        <xdr:cNvPr id="4" name="AutoShape 50">
          <a:hlinkClick r:id="rId4"/>
        </xdr:cNvPr>
        <xdr:cNvSpPr>
          <a:spLocks/>
        </xdr:cNvSpPr>
      </xdr:nvSpPr>
      <xdr:spPr>
        <a:xfrm>
          <a:off x="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5838825" cy="13811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93382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2028825"/>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943350"/>
        <a:ext cx="660082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35</xdr:row>
      <xdr:rowOff>228600</xdr:rowOff>
    </xdr:to>
    <xdr:graphicFrame>
      <xdr:nvGraphicFramePr>
        <xdr:cNvPr id="5" name="Chart 5"/>
        <xdr:cNvGraphicFramePr/>
      </xdr:nvGraphicFramePr>
      <xdr:xfrm>
        <a:off x="209550" y="6448425"/>
        <a:ext cx="4333875" cy="2847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704850</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18</xdr:col>
      <xdr:colOff>57150</xdr:colOff>
      <xdr:row>18</xdr:row>
      <xdr:rowOff>57150</xdr:rowOff>
    </xdr:to>
    <xdr:graphicFrame>
      <xdr:nvGraphicFramePr>
        <xdr:cNvPr id="2" name="Chart 2"/>
        <xdr:cNvGraphicFramePr/>
      </xdr:nvGraphicFramePr>
      <xdr:xfrm>
        <a:off x="8839200" y="2781300"/>
        <a:ext cx="5381625"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904875</xdr:colOff>
      <xdr:row>1</xdr:row>
      <xdr:rowOff>28575</xdr:rowOff>
    </xdr:to>
    <xdr:sp>
      <xdr:nvSpPr>
        <xdr:cNvPr id="3" name="AutoShape 50">
          <a:hlinkClick r:id="rId3"/>
        </xdr:cNvPr>
        <xdr:cNvSpPr>
          <a:spLocks/>
        </xdr:cNvSpPr>
      </xdr:nvSpPr>
      <xdr:spPr>
        <a:xfrm>
          <a:off x="28575" y="1905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47625" y="47625"/>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695325</xdr:colOff>
      <xdr:row>0</xdr:row>
      <xdr:rowOff>352425</xdr:rowOff>
    </xdr:to>
    <xdr:sp>
      <xdr:nvSpPr>
        <xdr:cNvPr id="1" name="AutoShape 50">
          <a:hlinkClick r:id="rId1"/>
        </xdr:cNvPr>
        <xdr:cNvSpPr>
          <a:spLocks/>
        </xdr:cNvSpPr>
      </xdr:nvSpPr>
      <xdr:spPr>
        <a:xfrm>
          <a:off x="28575" y="28575"/>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H4" sqref="H4"/>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506" t="str">
        <f>+'[1]Información de la subvención'!B3:J3</f>
        <v>Tablero de mando:  Ficticia - VIH / SIDA</v>
      </c>
      <c r="C2" s="506"/>
      <c r="D2" s="506"/>
      <c r="E2" s="506"/>
      <c r="F2" s="506"/>
      <c r="G2" s="506"/>
      <c r="H2" s="506"/>
      <c r="I2" s="506"/>
      <c r="J2" s="506"/>
      <c r="K2" s="506"/>
      <c r="L2" s="506"/>
      <c r="M2" s="1"/>
      <c r="N2" s="1"/>
      <c r="O2" s="1"/>
    </row>
    <row r="4" spans="2:12" ht="21">
      <c r="B4" s="507" t="str">
        <f>+'Introducción de datos'!G6&amp;"  "&amp;+'Introducción de datos'!G8&amp;",  "&amp;+'Introducción de datos'!I8</f>
        <v>VIH / SIDA  Seleccionar,  Seleccionar</v>
      </c>
      <c r="C4" s="507"/>
      <c r="D4" s="507"/>
      <c r="E4" s="507"/>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92" t="str">
        <f>'Información de la subvención'!B3:J3</f>
        <v>Tablero de mando:  El Salvador - VIH / SIDA</v>
      </c>
      <c r="C3" s="792"/>
      <c r="D3" s="792"/>
      <c r="E3" s="792"/>
      <c r="F3" s="792"/>
      <c r="G3" s="792"/>
      <c r="H3" s="792"/>
      <c r="I3" s="248"/>
    </row>
    <row r="6" spans="2:8" ht="18.75">
      <c r="B6" s="793" t="s">
        <v>34</v>
      </c>
      <c r="C6" s="793"/>
      <c r="D6" s="793"/>
      <c r="E6" s="793"/>
      <c r="F6" s="793"/>
      <c r="G6" s="793"/>
      <c r="H6" s="793"/>
    </row>
    <row r="8" spans="2:15" ht="18.75">
      <c r="B8" s="388" t="s">
        <v>35</v>
      </c>
      <c r="C8" s="388" t="s">
        <v>36</v>
      </c>
      <c r="D8" s="388" t="s">
        <v>37</v>
      </c>
      <c r="E8" s="388" t="s">
        <v>38</v>
      </c>
      <c r="F8" s="388" t="s">
        <v>39</v>
      </c>
      <c r="G8" s="388" t="s">
        <v>40</v>
      </c>
      <c r="H8" s="388" t="s">
        <v>41</v>
      </c>
      <c r="I8" s="389" t="s">
        <v>42</v>
      </c>
      <c r="J8" s="389" t="s">
        <v>43</v>
      </c>
      <c r="M8" s="10"/>
      <c r="N8" s="10"/>
      <c r="O8" s="10"/>
    </row>
    <row r="9" spans="2:15" ht="15">
      <c r="B9" s="390" t="s">
        <v>44</v>
      </c>
      <c r="C9" s="390" t="s">
        <v>44</v>
      </c>
      <c r="D9" s="390" t="s">
        <v>44</v>
      </c>
      <c r="E9" s="390" t="s">
        <v>44</v>
      </c>
      <c r="F9" s="390" t="s">
        <v>44</v>
      </c>
      <c r="G9" s="390" t="s">
        <v>44</v>
      </c>
      <c r="H9" s="390" t="s">
        <v>44</v>
      </c>
      <c r="I9" s="391" t="s">
        <v>44</v>
      </c>
      <c r="J9" s="390" t="s">
        <v>44</v>
      </c>
      <c r="M9" s="10"/>
      <c r="N9" s="10"/>
      <c r="O9" s="10"/>
    </row>
    <row r="10" spans="2:15" ht="15">
      <c r="B10" s="392" t="s">
        <v>45</v>
      </c>
      <c r="C10" s="392" t="s">
        <v>204</v>
      </c>
      <c r="D10" s="392" t="s">
        <v>46</v>
      </c>
      <c r="E10" s="392" t="s">
        <v>47</v>
      </c>
      <c r="F10" s="392" t="s">
        <v>16</v>
      </c>
      <c r="G10" s="393" t="s">
        <v>188</v>
      </c>
      <c r="H10" s="394" t="s">
        <v>48</v>
      </c>
      <c r="I10" s="395" t="s">
        <v>268</v>
      </c>
      <c r="J10" s="390" t="s">
        <v>49</v>
      </c>
      <c r="M10" s="10"/>
      <c r="N10" s="10"/>
      <c r="O10" s="10"/>
    </row>
    <row r="11" spans="2:15" ht="15">
      <c r="B11" s="392" t="s">
        <v>50</v>
      </c>
      <c r="C11" s="392" t="s">
        <v>51</v>
      </c>
      <c r="D11" s="392" t="s">
        <v>52</v>
      </c>
      <c r="E11" s="392" t="s">
        <v>183</v>
      </c>
      <c r="F11" s="392" t="s">
        <v>17</v>
      </c>
      <c r="G11" s="393" t="s">
        <v>53</v>
      </c>
      <c r="H11" s="394" t="s">
        <v>54</v>
      </c>
      <c r="I11" s="395" t="s">
        <v>269</v>
      </c>
      <c r="J11" s="390" t="s">
        <v>55</v>
      </c>
      <c r="M11" s="10"/>
      <c r="N11" s="10"/>
      <c r="O11" s="10"/>
    </row>
    <row r="12" spans="2:15" ht="15">
      <c r="B12" s="392" t="s">
        <v>177</v>
      </c>
      <c r="D12" s="392" t="s">
        <v>56</v>
      </c>
      <c r="E12" s="392" t="s">
        <v>57</v>
      </c>
      <c r="F12" s="392" t="s">
        <v>18</v>
      </c>
      <c r="G12" s="393" t="s">
        <v>58</v>
      </c>
      <c r="H12" s="394" t="s">
        <v>59</v>
      </c>
      <c r="I12" s="395" t="s">
        <v>270</v>
      </c>
      <c r="J12" s="390" t="s">
        <v>60</v>
      </c>
      <c r="M12" s="396"/>
      <c r="N12" s="10"/>
      <c r="O12" s="10"/>
    </row>
    <row r="13" spans="2:15" ht="15">
      <c r="B13" s="392" t="s">
        <v>61</v>
      </c>
      <c r="D13" s="392" t="s">
        <v>62</v>
      </c>
      <c r="E13" s="397"/>
      <c r="F13" s="392" t="s">
        <v>19</v>
      </c>
      <c r="G13" s="393" t="s">
        <v>63</v>
      </c>
      <c r="H13" s="394" t="s">
        <v>64</v>
      </c>
      <c r="I13" s="395" t="s">
        <v>271</v>
      </c>
      <c r="J13" s="390" t="s">
        <v>65</v>
      </c>
      <c r="M13" s="396"/>
      <c r="N13" s="10"/>
      <c r="O13" s="10"/>
    </row>
    <row r="14" spans="2:15" ht="15">
      <c r="B14" s="392" t="s">
        <v>66</v>
      </c>
      <c r="D14" s="392" t="s">
        <v>67</v>
      </c>
      <c r="F14" s="392" t="s">
        <v>20</v>
      </c>
      <c r="G14" s="393" t="s">
        <v>68</v>
      </c>
      <c r="H14" s="394" t="s">
        <v>69</v>
      </c>
      <c r="I14" s="395" t="s">
        <v>70</v>
      </c>
      <c r="J14" s="390" t="s">
        <v>71</v>
      </c>
      <c r="M14" s="396"/>
      <c r="N14" s="10"/>
      <c r="O14" s="10"/>
    </row>
    <row r="15" spans="4:15" ht="15">
      <c r="D15" s="392" t="s">
        <v>72</v>
      </c>
      <c r="F15" s="392" t="s">
        <v>21</v>
      </c>
      <c r="H15" s="394" t="s">
        <v>73</v>
      </c>
      <c r="I15" s="395" t="s">
        <v>74</v>
      </c>
      <c r="J15" s="390" t="s">
        <v>75</v>
      </c>
      <c r="M15" s="396"/>
      <c r="N15" s="10"/>
      <c r="O15" s="10"/>
    </row>
    <row r="16" spans="4:15" ht="15">
      <c r="D16" s="392" t="s">
        <v>76</v>
      </c>
      <c r="F16" s="392" t="s">
        <v>22</v>
      </c>
      <c r="H16" s="394" t="s">
        <v>77</v>
      </c>
      <c r="I16" s="395" t="s">
        <v>78</v>
      </c>
      <c r="J16" s="390" t="s">
        <v>79</v>
      </c>
      <c r="M16" s="396"/>
      <c r="N16" s="10"/>
      <c r="O16" s="10"/>
    </row>
    <row r="17" spans="4:15" ht="15">
      <c r="D17" s="392" t="s">
        <v>80</v>
      </c>
      <c r="F17" s="392" t="s">
        <v>23</v>
      </c>
      <c r="H17" s="394" t="s">
        <v>81</v>
      </c>
      <c r="I17" s="395" t="s">
        <v>82</v>
      </c>
      <c r="J17" s="390" t="s">
        <v>83</v>
      </c>
      <c r="M17" s="396"/>
      <c r="N17" s="10"/>
      <c r="O17" s="10"/>
    </row>
    <row r="18" spans="4:15" ht="15">
      <c r="D18" s="392" t="s">
        <v>181</v>
      </c>
      <c r="F18" s="392" t="s">
        <v>208</v>
      </c>
      <c r="H18" s="394" t="s">
        <v>84</v>
      </c>
      <c r="I18" s="395" t="s">
        <v>85</v>
      </c>
      <c r="J18" s="390" t="s">
        <v>86</v>
      </c>
      <c r="M18" s="396"/>
      <c r="N18" s="10"/>
      <c r="O18" s="10"/>
    </row>
    <row r="19" spans="4:15" ht="15">
      <c r="D19" s="392" t="s">
        <v>87</v>
      </c>
      <c r="F19" s="392" t="s">
        <v>209</v>
      </c>
      <c r="H19" s="394" t="s">
        <v>186</v>
      </c>
      <c r="I19" s="395" t="s">
        <v>88</v>
      </c>
      <c r="J19" s="390" t="s">
        <v>89</v>
      </c>
      <c r="M19" s="396"/>
      <c r="N19" s="10"/>
      <c r="O19" s="10"/>
    </row>
    <row r="20" spans="4:15" ht="15">
      <c r="D20" s="398"/>
      <c r="F20" s="392" t="s">
        <v>210</v>
      </c>
      <c r="H20" s="394" t="s">
        <v>90</v>
      </c>
      <c r="I20" s="395" t="s">
        <v>91</v>
      </c>
      <c r="J20" s="390" t="s">
        <v>92</v>
      </c>
      <c r="M20" s="10"/>
      <c r="N20" s="10"/>
      <c r="O20" s="10"/>
    </row>
    <row r="21" spans="4:15" ht="15">
      <c r="D21" s="399"/>
      <c r="F21" s="392" t="s">
        <v>192</v>
      </c>
      <c r="H21" s="399"/>
      <c r="I21" s="395" t="s">
        <v>93</v>
      </c>
      <c r="J21" s="390" t="s">
        <v>94</v>
      </c>
      <c r="M21" s="10"/>
      <c r="N21" s="10"/>
      <c r="O21" s="10"/>
    </row>
    <row r="22" spans="8:15" ht="15">
      <c r="H22" s="399"/>
      <c r="I22" s="395" t="s">
        <v>95</v>
      </c>
      <c r="J22" s="390" t="s">
        <v>96</v>
      </c>
      <c r="M22" s="10"/>
      <c r="N22" s="10"/>
      <c r="O22" s="10"/>
    </row>
    <row r="23" spans="9:15" ht="15">
      <c r="I23" s="395" t="s">
        <v>97</v>
      </c>
      <c r="J23" s="390" t="s">
        <v>98</v>
      </c>
      <c r="M23" s="10"/>
      <c r="N23" s="10"/>
      <c r="O23" s="10"/>
    </row>
    <row r="24" spans="9:15" ht="15">
      <c r="I24" s="395" t="s">
        <v>99</v>
      </c>
      <c r="J24" s="390" t="s">
        <v>100</v>
      </c>
      <c r="M24" s="10"/>
      <c r="N24" s="10"/>
      <c r="O24" s="10"/>
    </row>
    <row r="25" spans="9:10" ht="15">
      <c r="I25" s="400"/>
      <c r="J25" s="390" t="s">
        <v>101</v>
      </c>
    </row>
    <row r="26" spans="9:10" ht="15">
      <c r="I26" s="395" t="s">
        <v>102</v>
      </c>
      <c r="J26" s="390" t="s">
        <v>103</v>
      </c>
    </row>
    <row r="27" spans="9:10" ht="15">
      <c r="I27" s="395" t="s">
        <v>104</v>
      </c>
      <c r="J27" s="390" t="s">
        <v>173</v>
      </c>
    </row>
    <row r="28" spans="9:10" ht="15">
      <c r="I28" s="400" t="s">
        <v>105</v>
      </c>
      <c r="J28" s="390" t="s">
        <v>106</v>
      </c>
    </row>
    <row r="29" spans="9:10" ht="15">
      <c r="I29" s="400" t="s">
        <v>107</v>
      </c>
      <c r="J29" s="390" t="s">
        <v>108</v>
      </c>
    </row>
    <row r="30" spans="9:10" ht="15">
      <c r="I30" s="400" t="s">
        <v>109</v>
      </c>
      <c r="J30" s="390" t="s">
        <v>110</v>
      </c>
    </row>
    <row r="31" ht="15">
      <c r="J31" s="390" t="s">
        <v>111</v>
      </c>
    </row>
    <row r="32" ht="15">
      <c r="J32" s="390" t="s">
        <v>112</v>
      </c>
    </row>
    <row r="33" ht="15">
      <c r="J33" s="390" t="s">
        <v>113</v>
      </c>
    </row>
    <row r="34" ht="15">
      <c r="J34" s="390" t="s">
        <v>114</v>
      </c>
    </row>
    <row r="35" ht="15">
      <c r="J35" s="390" t="s">
        <v>115</v>
      </c>
    </row>
    <row r="36" ht="15">
      <c r="J36" s="390" t="s">
        <v>116</v>
      </c>
    </row>
    <row r="37" ht="15">
      <c r="J37" s="390" t="s">
        <v>117</v>
      </c>
    </row>
    <row r="38" ht="15">
      <c r="J38" s="390" t="s">
        <v>118</v>
      </c>
    </row>
    <row r="39" ht="15">
      <c r="J39" s="390" t="s">
        <v>119</v>
      </c>
    </row>
    <row r="40" ht="15">
      <c r="J40" s="390" t="s">
        <v>120</v>
      </c>
    </row>
    <row r="41" ht="15">
      <c r="J41" s="390" t="s">
        <v>121</v>
      </c>
    </row>
    <row r="42" ht="15">
      <c r="J42" s="390" t="s">
        <v>122</v>
      </c>
    </row>
    <row r="43" ht="15">
      <c r="J43" s="390" t="s">
        <v>123</v>
      </c>
    </row>
    <row r="44" ht="15">
      <c r="J44" s="390" t="s">
        <v>124</v>
      </c>
    </row>
    <row r="45" ht="15">
      <c r="J45" s="390" t="s">
        <v>125</v>
      </c>
    </row>
    <row r="46" ht="15">
      <c r="J46" s="390" t="s">
        <v>126</v>
      </c>
    </row>
    <row r="47" ht="15">
      <c r="J47" s="390" t="s">
        <v>127</v>
      </c>
    </row>
    <row r="48" ht="15">
      <c r="J48" s="390"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dimension ref="B3:M32"/>
  <sheetViews>
    <sheetView zoomScalePageLayoutView="0" workbookViewId="0" topLeftCell="A16">
      <selection activeCell="E19" sqref="E19"/>
    </sheetView>
  </sheetViews>
  <sheetFormatPr defaultColWidth="11.57421875" defaultRowHeight="15"/>
  <cols>
    <col min="1" max="1" width="11.57421875" style="0" customWidth="1"/>
    <col min="2" max="2" width="22.421875" style="0" customWidth="1"/>
    <col min="3" max="4" width="12.57421875" style="0" customWidth="1"/>
    <col min="5" max="5" width="14.421875" style="0" customWidth="1"/>
    <col min="6" max="6" width="20.57421875" style="0" customWidth="1"/>
    <col min="7" max="10" width="11.57421875" style="0" customWidth="1"/>
    <col min="11" max="11" width="15.28125" style="0" customWidth="1"/>
    <col min="12" max="12" width="11.57421875" style="0" customWidth="1"/>
    <col min="13" max="13" width="23.421875" style="0" customWidth="1"/>
  </cols>
  <sheetData>
    <row r="3" ht="15">
      <c r="B3" t="s">
        <v>332</v>
      </c>
    </row>
    <row r="5" spans="2:6" ht="30">
      <c r="B5" s="432" t="s">
        <v>333</v>
      </c>
      <c r="C5" s="433" t="s">
        <v>335</v>
      </c>
      <c r="D5" s="433" t="s">
        <v>336</v>
      </c>
      <c r="E5" s="433" t="s">
        <v>337</v>
      </c>
      <c r="F5" s="434" t="s">
        <v>340</v>
      </c>
    </row>
    <row r="6" spans="2:6" ht="15">
      <c r="B6" s="432" t="s">
        <v>334</v>
      </c>
      <c r="C6" s="432">
        <v>120</v>
      </c>
      <c r="D6" s="432">
        <v>576</v>
      </c>
      <c r="E6" s="432">
        <v>144</v>
      </c>
      <c r="F6" s="432">
        <f>SUM(C6:E6)</f>
        <v>840</v>
      </c>
    </row>
    <row r="7" spans="2:6" ht="15">
      <c r="B7" s="432" t="s">
        <v>322</v>
      </c>
      <c r="C7" s="432"/>
      <c r="D7" s="432">
        <v>18</v>
      </c>
      <c r="E7" s="432"/>
      <c r="F7" s="432">
        <f>SUM(D7:E7)</f>
        <v>18</v>
      </c>
    </row>
    <row r="10" spans="2:6" ht="46.5" customHeight="1">
      <c r="B10" s="433" t="s">
        <v>338</v>
      </c>
      <c r="C10" s="433" t="s">
        <v>335</v>
      </c>
      <c r="D10" s="433" t="s">
        <v>336</v>
      </c>
      <c r="E10" s="433" t="s">
        <v>337</v>
      </c>
      <c r="F10" s="434" t="s">
        <v>339</v>
      </c>
    </row>
    <row r="11" spans="2:6" ht="15">
      <c r="B11" s="432" t="s">
        <v>334</v>
      </c>
      <c r="C11" s="432">
        <f>120/2</f>
        <v>60</v>
      </c>
      <c r="D11" s="432">
        <f>576/2</f>
        <v>288</v>
      </c>
      <c r="E11" s="432">
        <f>144/2</f>
        <v>72</v>
      </c>
      <c r="F11" s="432">
        <f>SUM(C11:E11)</f>
        <v>420</v>
      </c>
    </row>
    <row r="12" spans="2:6" ht="15">
      <c r="B12" s="432" t="s">
        <v>322</v>
      </c>
      <c r="C12" s="432"/>
      <c r="D12" s="432">
        <f>18/2</f>
        <v>9</v>
      </c>
      <c r="E12" s="432"/>
      <c r="F12" s="432">
        <f>SUM(D12:E12)</f>
        <v>9</v>
      </c>
    </row>
    <row r="15" ht="15">
      <c r="B15" t="s">
        <v>364</v>
      </c>
    </row>
    <row r="16" ht="15.75" thickBot="1"/>
    <row r="17" spans="2:13" ht="165.75" thickBot="1">
      <c r="B17" s="447" t="s">
        <v>266</v>
      </c>
      <c r="C17" s="448" t="s">
        <v>363</v>
      </c>
      <c r="D17" s="448" t="s">
        <v>366</v>
      </c>
      <c r="E17" s="449" t="s">
        <v>361</v>
      </c>
      <c r="F17" s="449" t="s">
        <v>365</v>
      </c>
      <c r="G17" s="472" t="s">
        <v>341</v>
      </c>
      <c r="H17" s="449" t="s">
        <v>342</v>
      </c>
      <c r="I17" s="472" t="s">
        <v>343</v>
      </c>
      <c r="J17" s="473" t="s">
        <v>267</v>
      </c>
      <c r="K17" s="489" t="s">
        <v>373</v>
      </c>
      <c r="L17" s="806"/>
      <c r="M17" s="807"/>
    </row>
    <row r="18" spans="2:13" ht="30">
      <c r="B18" s="442" t="s">
        <v>346</v>
      </c>
      <c r="C18" s="440">
        <v>60</v>
      </c>
      <c r="D18" s="440">
        <v>120</v>
      </c>
      <c r="E18" s="480">
        <v>2861</v>
      </c>
      <c r="F18" s="485">
        <v>761828</v>
      </c>
      <c r="G18" s="813">
        <v>4550112</v>
      </c>
      <c r="H18" s="800">
        <f>IF(AND((F18+F19+F20)&gt;0,G18&gt;0),G18/(F18+F19+F20),"")*6</f>
        <v>6.6398804753648255</v>
      </c>
      <c r="I18" s="816">
        <v>5</v>
      </c>
      <c r="J18" s="794">
        <f>IF(AND(H18&gt;0,I18&gt;0),H18-I18,"")</f>
        <v>1.6398804753648255</v>
      </c>
      <c r="K18" s="490">
        <f>F18/E18</f>
        <v>266.280321565886</v>
      </c>
      <c r="L18" s="551" t="s">
        <v>374</v>
      </c>
      <c r="M18" s="551"/>
    </row>
    <row r="19" spans="2:13" ht="30">
      <c r="B19" s="442" t="s">
        <v>347</v>
      </c>
      <c r="C19" s="440">
        <v>288</v>
      </c>
      <c r="D19" s="440">
        <v>576</v>
      </c>
      <c r="E19" s="480">
        <v>2771</v>
      </c>
      <c r="F19" s="485">
        <v>3216887</v>
      </c>
      <c r="G19" s="814"/>
      <c r="H19" s="801" t="e">
        <f>IF(AND(F19&gt;0,G19&gt;0),G19/F19,"")*12</f>
        <v>#VALUE!</v>
      </c>
      <c r="I19" s="804"/>
      <c r="J19" s="795"/>
      <c r="K19" s="491">
        <f>F19/E19</f>
        <v>1160.9119451461565</v>
      </c>
      <c r="L19" s="551"/>
      <c r="M19" s="551"/>
    </row>
    <row r="20" spans="2:13" ht="30">
      <c r="B20" s="442" t="s">
        <v>348</v>
      </c>
      <c r="C20" s="440">
        <v>72</v>
      </c>
      <c r="D20" s="440">
        <v>144</v>
      </c>
      <c r="E20" s="480">
        <v>414</v>
      </c>
      <c r="F20" s="485">
        <v>132906</v>
      </c>
      <c r="G20" s="815"/>
      <c r="H20" s="802" t="e">
        <f>IF(AND(F20&gt;0,G20&gt;0),G20/F20,"")*12</f>
        <v>#VALUE!</v>
      </c>
      <c r="I20" s="805"/>
      <c r="J20" s="796"/>
      <c r="K20" s="491">
        <f>F20/E20</f>
        <v>321.0289855072464</v>
      </c>
      <c r="L20" s="551"/>
      <c r="M20" s="551"/>
    </row>
    <row r="21" spans="2:13" ht="30">
      <c r="B21" s="442" t="s">
        <v>331</v>
      </c>
      <c r="C21" s="483">
        <v>9</v>
      </c>
      <c r="D21" s="440">
        <v>18</v>
      </c>
      <c r="E21" s="480">
        <v>2771</v>
      </c>
      <c r="F21" s="485">
        <v>96069</v>
      </c>
      <c r="G21" s="484">
        <v>167200</v>
      </c>
      <c r="H21" s="470">
        <f>IF(AND(F21&gt;0,G21&gt;0),G21/F21,"")*6</f>
        <v>10.442494457108953</v>
      </c>
      <c r="I21" s="405">
        <v>5</v>
      </c>
      <c r="J21" s="488">
        <f>IF(AND(H21&gt;0,I21&gt;0),H21-I21,"")</f>
        <v>5.442494457108953</v>
      </c>
      <c r="K21" s="491">
        <f>F21/E21</f>
        <v>34.6694334175388</v>
      </c>
      <c r="L21" s="141"/>
      <c r="M21" s="49"/>
    </row>
    <row r="22" spans="2:13" ht="15">
      <c r="B22" s="442" t="s">
        <v>349</v>
      </c>
      <c r="C22" s="440"/>
      <c r="D22" s="440">
        <v>1</v>
      </c>
      <c r="E22" s="481">
        <v>5466</v>
      </c>
      <c r="F22" s="406">
        <f>IF(AND(D22&gt;0,E22&gt;0),(E22*D22),"")</f>
        <v>5466</v>
      </c>
      <c r="G22" s="484">
        <v>1134</v>
      </c>
      <c r="H22" s="470">
        <f>IF(AND(F22&gt;0,G22&gt;0),G22/F22,"")*12</f>
        <v>2.4895718990120748</v>
      </c>
      <c r="I22" s="474">
        <v>5</v>
      </c>
      <c r="J22" s="488">
        <f>IF(AND(H22&gt;0,I22&gt;0),H22-I22,"")</f>
        <v>-2.5104281009879252</v>
      </c>
      <c r="K22" s="491"/>
      <c r="L22" s="141" t="s">
        <v>362</v>
      </c>
      <c r="M22" s="49"/>
    </row>
    <row r="23" spans="2:11" ht="15">
      <c r="B23" s="443" t="s">
        <v>344</v>
      </c>
      <c r="C23" s="440">
        <v>4</v>
      </c>
      <c r="D23" s="440">
        <v>9</v>
      </c>
      <c r="E23" s="480">
        <v>2771</v>
      </c>
      <c r="F23" s="485">
        <v>36477</v>
      </c>
      <c r="G23" s="479">
        <v>113000</v>
      </c>
      <c r="H23" s="470">
        <f>IF(AND(F23&gt;0,G23&gt;0),G23/F23,"")*6</f>
        <v>18.587054856484908</v>
      </c>
      <c r="I23" s="405">
        <v>5</v>
      </c>
      <c r="J23" s="488">
        <f>IF(AND(H23&gt;0,I23&gt;0),H23-I23,"")</f>
        <v>13.587054856484908</v>
      </c>
      <c r="K23" s="491">
        <f aca="true" t="shared" si="0" ref="K23:K29">F23/E23</f>
        <v>13.163839769036448</v>
      </c>
    </row>
    <row r="24" spans="2:11" ht="30">
      <c r="B24" s="444" t="s">
        <v>350</v>
      </c>
      <c r="C24" s="440">
        <v>2</v>
      </c>
      <c r="D24" s="440">
        <v>5</v>
      </c>
      <c r="E24" s="480">
        <v>2861</v>
      </c>
      <c r="F24" s="485">
        <v>32540</v>
      </c>
      <c r="G24" s="797">
        <v>132300</v>
      </c>
      <c r="H24" s="800">
        <f>IF(AND((F24+F25+F26)&gt;0,G24&gt;0),G24/(F24+F25+F26),"")*6</f>
        <v>14.762055306566491</v>
      </c>
      <c r="I24" s="803">
        <v>5</v>
      </c>
      <c r="J24" s="794">
        <f>IF(AND(H24&gt;0,I24&gt;0),H24-I24,"")</f>
        <v>9.762055306566491</v>
      </c>
      <c r="K24" s="491">
        <f t="shared" si="0"/>
        <v>11.373645578469066</v>
      </c>
    </row>
    <row r="25" spans="2:11" ht="15">
      <c r="B25" s="444" t="s">
        <v>351</v>
      </c>
      <c r="C25" s="440">
        <v>2</v>
      </c>
      <c r="D25" s="441">
        <v>4</v>
      </c>
      <c r="E25" s="480">
        <v>2771</v>
      </c>
      <c r="F25" s="485">
        <v>15641</v>
      </c>
      <c r="G25" s="798"/>
      <c r="H25" s="801" t="e">
        <f>IF(AND(F25&gt;0,G25&gt;0),G25/F25,"")*12</f>
        <v>#VALUE!</v>
      </c>
      <c r="I25" s="804"/>
      <c r="J25" s="795"/>
      <c r="K25" s="491">
        <f t="shared" si="0"/>
        <v>5.644532659689642</v>
      </c>
    </row>
    <row r="26" spans="2:11" ht="30">
      <c r="B26" s="444" t="s">
        <v>352</v>
      </c>
      <c r="C26" s="440">
        <v>3</v>
      </c>
      <c r="D26" s="441">
        <v>6</v>
      </c>
      <c r="E26" s="480">
        <v>414</v>
      </c>
      <c r="F26" s="485">
        <v>5592</v>
      </c>
      <c r="G26" s="799"/>
      <c r="H26" s="802" t="e">
        <f>IF(AND(F26&gt;0,G26&gt;0),G26/F26,"")*12</f>
        <v>#VALUE!</v>
      </c>
      <c r="I26" s="805"/>
      <c r="J26" s="796"/>
      <c r="K26" s="491">
        <f t="shared" si="0"/>
        <v>13.507246376811594</v>
      </c>
    </row>
    <row r="27" spans="2:11" ht="30">
      <c r="B27" s="445" t="s">
        <v>353</v>
      </c>
      <c r="C27" s="440">
        <v>4</v>
      </c>
      <c r="D27" s="441">
        <v>8</v>
      </c>
      <c r="E27" s="480">
        <v>2861</v>
      </c>
      <c r="F27" s="485">
        <v>51696</v>
      </c>
      <c r="G27" s="797">
        <v>199800</v>
      </c>
      <c r="H27" s="800">
        <f>IF(AND((F27+F28+F29)&gt;0,G27&gt;0),G27/(F27+F28+F29),"")*6</f>
        <v>10.889668077684718</v>
      </c>
      <c r="I27" s="803">
        <v>5</v>
      </c>
      <c r="J27" s="794">
        <f>IF(AND(H27&gt;0,I27&gt;0),H27-I27,"")</f>
        <v>5.889668077684718</v>
      </c>
      <c r="K27" s="491">
        <f t="shared" si="0"/>
        <v>18.069206571128976</v>
      </c>
    </row>
    <row r="28" spans="2:11" ht="30">
      <c r="B28" s="445" t="s">
        <v>354</v>
      </c>
      <c r="C28" s="440">
        <v>4</v>
      </c>
      <c r="D28" s="441">
        <v>9</v>
      </c>
      <c r="E28" s="480">
        <v>2771</v>
      </c>
      <c r="F28" s="485">
        <v>50086</v>
      </c>
      <c r="G28" s="798"/>
      <c r="H28" s="801" t="e">
        <f>IF(AND(F28&gt;0,G28&gt;0),G28/F28,"")*12</f>
        <v>#VALUE!</v>
      </c>
      <c r="I28" s="804"/>
      <c r="J28" s="795"/>
      <c r="K28" s="491">
        <f t="shared" si="0"/>
        <v>18.075063154095993</v>
      </c>
    </row>
    <row r="29" spans="2:11" ht="30.75" thickBot="1">
      <c r="B29" s="450" t="s">
        <v>355</v>
      </c>
      <c r="C29" s="451">
        <v>4</v>
      </c>
      <c r="D29" s="451">
        <v>9</v>
      </c>
      <c r="E29" s="480">
        <v>414</v>
      </c>
      <c r="F29" s="485">
        <v>8304</v>
      </c>
      <c r="G29" s="809"/>
      <c r="H29" s="810" t="e">
        <f>IF(AND(F29&gt;0,G29&gt;0),G29/F29,"")*12</f>
        <v>#VALUE!</v>
      </c>
      <c r="I29" s="811"/>
      <c r="J29" s="812"/>
      <c r="K29" s="492">
        <f t="shared" si="0"/>
        <v>20.057971014492754</v>
      </c>
    </row>
    <row r="32" spans="2:9" ht="63" customHeight="1">
      <c r="B32" s="808" t="s">
        <v>360</v>
      </c>
      <c r="C32" s="808"/>
      <c r="D32" s="808"/>
      <c r="E32" s="808"/>
      <c r="F32" s="808"/>
      <c r="G32" s="808"/>
      <c r="H32" s="808"/>
      <c r="I32" s="808"/>
    </row>
  </sheetData>
  <sheetProtection/>
  <mergeCells count="15">
    <mergeCell ref="B32:I32"/>
    <mergeCell ref="G27:G29"/>
    <mergeCell ref="H27:H29"/>
    <mergeCell ref="I27:I29"/>
    <mergeCell ref="J27:J29"/>
    <mergeCell ref="G18:G20"/>
    <mergeCell ref="H18:H20"/>
    <mergeCell ref="I18:I20"/>
    <mergeCell ref="J18:J20"/>
    <mergeCell ref="G24:G26"/>
    <mergeCell ref="H24:H26"/>
    <mergeCell ref="I24:I26"/>
    <mergeCell ref="J24:J26"/>
    <mergeCell ref="L17:M17"/>
    <mergeCell ref="L18:M20"/>
  </mergeCells>
  <dataValidations count="1">
    <dataValidation type="list" allowBlank="1" showErrorMessage="1" sqref="B18:B29">
      <formula1>Medicaments</formula1>
      <formula2>0</formula2>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5" zoomScaleNormal="75" zoomScalePageLayoutView="0" workbookViewId="0" topLeftCell="F1">
      <pane ySplit="2" topLeftCell="A3" activePane="bottomLeft" state="frozen"/>
      <selection pane="topLeft" activeCell="B1" sqref="B1"/>
      <selection pane="bottomLeft" activeCell="M8" sqref="M8:O8"/>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11" t="str">
        <f>+"Cuadro de mando:  "&amp;"  "&amp;+'Introducción de datos'!C4&amp;" - "&amp;'Introducción de datos'!G6</f>
        <v>Cuadro de mando:    El Salvador - VIH / SIDA</v>
      </c>
      <c r="C2" s="511"/>
      <c r="D2" s="511"/>
      <c r="E2" s="511"/>
      <c r="F2" s="511"/>
      <c r="G2" s="511"/>
      <c r="H2" s="511"/>
      <c r="I2" s="511"/>
      <c r="J2" s="511"/>
      <c r="K2" s="511"/>
      <c r="L2" s="511"/>
      <c r="M2" s="511"/>
    </row>
    <row r="3" spans="1:13" ht="15.75" customHeight="1">
      <c r="A3" s="6"/>
      <c r="B3" s="7"/>
      <c r="C3" s="7"/>
      <c r="D3" s="7"/>
      <c r="E3" s="7"/>
      <c r="F3" s="7"/>
      <c r="G3" s="7"/>
      <c r="H3" s="7"/>
      <c r="I3" s="7"/>
      <c r="J3" s="7"/>
      <c r="K3" s="8"/>
      <c r="L3" s="8"/>
      <c r="M3" s="6"/>
    </row>
    <row r="5" spans="2:15" ht="23.25">
      <c r="B5" s="512" t="s">
        <v>129</v>
      </c>
      <c r="C5" s="512"/>
      <c r="D5" s="512"/>
      <c r="E5" s="512"/>
      <c r="F5" s="512"/>
      <c r="G5" s="512"/>
      <c r="H5" s="512"/>
      <c r="I5" s="512"/>
      <c r="J5" s="512"/>
      <c r="K5" s="512"/>
      <c r="L5" s="512"/>
      <c r="M5" s="512"/>
      <c r="N5" s="512"/>
      <c r="O5" s="512"/>
    </row>
    <row r="7" spans="2:15" ht="21">
      <c r="B7" s="513" t="s">
        <v>130</v>
      </c>
      <c r="C7" s="513"/>
      <c r="D7" s="513"/>
      <c r="E7" s="513" t="s">
        <v>131</v>
      </c>
      <c r="F7" s="513"/>
      <c r="G7" s="513"/>
      <c r="H7" s="513"/>
      <c r="I7" s="513"/>
      <c r="J7" s="513" t="s">
        <v>132</v>
      </c>
      <c r="K7" s="513"/>
      <c r="L7" s="513"/>
      <c r="M7" s="513" t="s">
        <v>133</v>
      </c>
      <c r="N7" s="513"/>
      <c r="O7" s="513"/>
    </row>
    <row r="8" spans="2:15" ht="92.25" customHeight="1">
      <c r="B8" s="508" t="str">
        <f>+'Introducción de datos'!B27</f>
        <v>F1: Presupuesto y desembolsos del Fondo Mundial</v>
      </c>
      <c r="C8" s="508"/>
      <c r="D8" s="508"/>
      <c r="E8" s="509" t="s">
        <v>134</v>
      </c>
      <c r="F8" s="509"/>
      <c r="G8" s="509"/>
      <c r="H8" s="509"/>
      <c r="I8" s="509"/>
      <c r="J8" s="510" t="s">
        <v>135</v>
      </c>
      <c r="K8" s="510"/>
      <c r="L8" s="510"/>
      <c r="M8" s="510" t="s">
        <v>136</v>
      </c>
      <c r="N8" s="510"/>
      <c r="O8" s="510"/>
    </row>
    <row r="9" spans="2:15" ht="117.75" customHeight="1">
      <c r="B9" s="508" t="str">
        <f>+'Introducción de datos'!B36</f>
        <v>F2: Presupuesto y gastos reales por objetivo de la subvención</v>
      </c>
      <c r="C9" s="508"/>
      <c r="D9" s="508"/>
      <c r="E9" s="515" t="s">
        <v>137</v>
      </c>
      <c r="F9" s="515"/>
      <c r="G9" s="515"/>
      <c r="H9" s="515"/>
      <c r="I9" s="515"/>
      <c r="J9" s="517" t="s">
        <v>138</v>
      </c>
      <c r="K9" s="517"/>
      <c r="L9" s="517"/>
      <c r="M9" s="517" t="s">
        <v>136</v>
      </c>
      <c r="N9" s="517"/>
      <c r="O9" s="517"/>
    </row>
    <row r="10" spans="2:15" ht="233.25" customHeight="1">
      <c r="B10" s="514" t="str">
        <f>+'Introducción de datos'!B49</f>
        <v>F3: Desembolsos y gastos</v>
      </c>
      <c r="C10" s="514"/>
      <c r="D10" s="514"/>
      <c r="E10" s="515" t="s">
        <v>139</v>
      </c>
      <c r="F10" s="515"/>
      <c r="G10" s="515"/>
      <c r="H10" s="515"/>
      <c r="I10" s="515"/>
      <c r="J10" s="516" t="s">
        <v>140</v>
      </c>
      <c r="K10" s="516"/>
      <c r="L10" s="516"/>
      <c r="M10" s="517" t="s">
        <v>141</v>
      </c>
      <c r="N10" s="517"/>
      <c r="O10" s="517"/>
    </row>
    <row r="11" spans="2:60" ht="279.75" customHeight="1">
      <c r="B11" s="514" t="str">
        <f>+'Introducción de datos'!B61</f>
        <v>F4: Último ciclo de información y desembolso del RP</v>
      </c>
      <c r="C11" s="514"/>
      <c r="D11" s="514"/>
      <c r="E11" s="515" t="s">
        <v>142</v>
      </c>
      <c r="F11" s="515"/>
      <c r="G11" s="515"/>
      <c r="H11" s="515"/>
      <c r="I11" s="515"/>
      <c r="J11" s="516" t="s">
        <v>143</v>
      </c>
      <c r="K11" s="516"/>
      <c r="L11" s="516"/>
      <c r="M11" s="517" t="s">
        <v>144</v>
      </c>
      <c r="N11" s="517"/>
      <c r="O11" s="517"/>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18"/>
      <c r="C12" s="518"/>
      <c r="D12" s="518"/>
      <c r="E12" s="519"/>
      <c r="F12" s="519"/>
      <c r="G12" s="519"/>
      <c r="H12" s="519"/>
      <c r="I12" s="519"/>
      <c r="J12" s="519"/>
      <c r="K12" s="519"/>
      <c r="L12" s="519"/>
      <c r="M12" s="519"/>
      <c r="N12" s="519"/>
      <c r="O12" s="519"/>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20"/>
      <c r="C13" s="520"/>
      <c r="D13" s="520"/>
      <c r="E13" s="521"/>
      <c r="F13" s="521"/>
      <c r="G13" s="521"/>
      <c r="H13" s="521"/>
      <c r="I13" s="521"/>
      <c r="J13" s="521"/>
      <c r="K13" s="521"/>
      <c r="L13" s="521"/>
      <c r="M13" s="521"/>
      <c r="N13" s="521"/>
      <c r="O13" s="52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20"/>
      <c r="C14" s="520"/>
      <c r="D14" s="520"/>
      <c r="E14" s="521"/>
      <c r="F14" s="521"/>
      <c r="G14" s="521"/>
      <c r="H14" s="521"/>
      <c r="I14" s="521"/>
      <c r="J14" s="521"/>
      <c r="K14" s="521"/>
      <c r="L14" s="521"/>
      <c r="M14" s="521"/>
      <c r="N14" s="521"/>
      <c r="O14" s="52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20"/>
      <c r="C15" s="520"/>
      <c r="D15" s="520"/>
      <c r="E15" s="521"/>
      <c r="F15" s="521"/>
      <c r="G15" s="521"/>
      <c r="H15" s="521"/>
      <c r="I15" s="521"/>
      <c r="J15" s="521"/>
      <c r="K15" s="521"/>
      <c r="L15" s="521"/>
      <c r="M15" s="521"/>
      <c r="N15" s="521"/>
      <c r="O15" s="52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512" t="s">
        <v>145</v>
      </c>
      <c r="C16" s="512"/>
      <c r="D16" s="512"/>
      <c r="E16" s="512"/>
      <c r="F16" s="512"/>
      <c r="G16" s="512"/>
      <c r="H16" s="512"/>
      <c r="I16" s="512"/>
      <c r="J16" s="512"/>
      <c r="K16" s="512"/>
      <c r="L16" s="512"/>
      <c r="M16" s="512"/>
      <c r="N16" s="512"/>
      <c r="O16" s="512"/>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22" t="s">
        <v>130</v>
      </c>
      <c r="C18" s="522"/>
      <c r="D18" s="522"/>
      <c r="E18" s="522" t="s">
        <v>131</v>
      </c>
      <c r="F18" s="522"/>
      <c r="G18" s="522"/>
      <c r="H18" s="522"/>
      <c r="I18" s="522"/>
      <c r="J18" s="522" t="s">
        <v>132</v>
      </c>
      <c r="K18" s="522"/>
      <c r="L18" s="522"/>
      <c r="M18" s="522" t="s">
        <v>146</v>
      </c>
      <c r="N18" s="522"/>
      <c r="O18" s="522"/>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508" t="str">
        <f>+'Introducción de datos'!B72</f>
        <v>M1: Estado de las condiciones precedentes y acciones con fecha límite</v>
      </c>
      <c r="C19" s="508"/>
      <c r="D19" s="508"/>
      <c r="E19" s="515" t="s">
        <v>147</v>
      </c>
      <c r="F19" s="515"/>
      <c r="G19" s="515"/>
      <c r="H19" s="515"/>
      <c r="I19" s="515"/>
      <c r="J19" s="517" t="s">
        <v>148</v>
      </c>
      <c r="K19" s="517"/>
      <c r="L19" s="517"/>
      <c r="M19" s="517" t="s">
        <v>149</v>
      </c>
      <c r="N19" s="517"/>
      <c r="O19" s="51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508" t="str">
        <f>+'Introducción de datos'!B79</f>
        <v>M2: Estado de los principales puestos directivos del RP</v>
      </c>
      <c r="C20" s="508"/>
      <c r="D20" s="508"/>
      <c r="E20" s="515" t="s">
        <v>150</v>
      </c>
      <c r="F20" s="515"/>
      <c r="G20" s="515"/>
      <c r="H20" s="515"/>
      <c r="I20" s="515"/>
      <c r="J20" s="517" t="s">
        <v>151</v>
      </c>
      <c r="K20" s="517"/>
      <c r="L20" s="517"/>
      <c r="M20" s="517" t="s">
        <v>152</v>
      </c>
      <c r="N20" s="517"/>
      <c r="O20" s="51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508" t="str">
        <f>+'Introducción de datos'!B84</f>
        <v>M3: Acuerdos contractuales (subreceptores) </v>
      </c>
      <c r="C21" s="508"/>
      <c r="D21" s="508"/>
      <c r="E21" s="524" t="s">
        <v>153</v>
      </c>
      <c r="F21" s="524"/>
      <c r="G21" s="524"/>
      <c r="H21" s="524"/>
      <c r="I21" s="524"/>
      <c r="J21" s="517" t="s">
        <v>154</v>
      </c>
      <c r="K21" s="517"/>
      <c r="L21" s="517"/>
      <c r="M21" s="517" t="s">
        <v>155</v>
      </c>
      <c r="N21" s="517"/>
      <c r="O21" s="51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508" t="str">
        <f>+'Introducción de datos'!B89</f>
        <v>M4: Número de informes completos recibidos a tiempo</v>
      </c>
      <c r="C22" s="508"/>
      <c r="D22" s="508"/>
      <c r="E22" s="523" t="s">
        <v>156</v>
      </c>
      <c r="F22" s="523"/>
      <c r="G22" s="523"/>
      <c r="H22" s="523"/>
      <c r="I22" s="523"/>
      <c r="J22" s="516" t="s">
        <v>157</v>
      </c>
      <c r="K22" s="516"/>
      <c r="L22" s="516"/>
      <c r="M22" s="517" t="s">
        <v>158</v>
      </c>
      <c r="N22" s="517"/>
      <c r="O22" s="51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14" t="str">
        <f>+'Introducción de datos'!B96</f>
        <v>M5: Presupuesto y compra de productos y equipo sanitario, medicamentos y productos farmacéuticos</v>
      </c>
      <c r="C23" s="514"/>
      <c r="D23" s="514"/>
      <c r="E23" s="528" t="s">
        <v>159</v>
      </c>
      <c r="F23" s="528"/>
      <c r="G23" s="528"/>
      <c r="H23" s="528"/>
      <c r="I23" s="528"/>
      <c r="J23" s="517" t="s">
        <v>160</v>
      </c>
      <c r="K23" s="517"/>
      <c r="L23" s="517"/>
      <c r="M23" s="517" t="s">
        <v>161</v>
      </c>
      <c r="N23" s="517"/>
      <c r="O23" s="517"/>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14"/>
      <c r="C24" s="514"/>
      <c r="D24" s="514"/>
      <c r="E24" s="529" t="s">
        <v>162</v>
      </c>
      <c r="F24" s="529"/>
      <c r="G24" s="529"/>
      <c r="H24" s="529"/>
      <c r="I24" s="529"/>
      <c r="J24" s="517"/>
      <c r="K24" s="517"/>
      <c r="L24" s="517"/>
      <c r="M24" s="517"/>
      <c r="N24" s="517"/>
      <c r="O24" s="517"/>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508" t="str">
        <f>+'Introducción de datos'!B109</f>
        <v>M6: Diferencia entre existencias actuales y existencias de seguridad</v>
      </c>
      <c r="C25" s="508"/>
      <c r="D25" s="508"/>
      <c r="E25" s="525" t="s">
        <v>163</v>
      </c>
      <c r="F25" s="525"/>
      <c r="G25" s="525"/>
      <c r="H25" s="525"/>
      <c r="I25" s="525"/>
      <c r="J25" s="526" t="s">
        <v>164</v>
      </c>
      <c r="K25" s="526"/>
      <c r="L25" s="526"/>
      <c r="M25" s="527" t="s">
        <v>165</v>
      </c>
      <c r="N25" s="527"/>
      <c r="O25" s="527"/>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512" t="s">
        <v>166</v>
      </c>
      <c r="C30" s="512"/>
      <c r="D30" s="512"/>
      <c r="E30" s="512"/>
      <c r="F30" s="512"/>
      <c r="G30" s="512"/>
      <c r="H30" s="512"/>
      <c r="I30" s="512"/>
      <c r="J30" s="512"/>
      <c r="K30" s="512"/>
      <c r="L30" s="512"/>
      <c r="M30" s="512"/>
      <c r="N30" s="512"/>
      <c r="O30" s="512"/>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33" t="s">
        <v>167</v>
      </c>
      <c r="C32" s="533"/>
      <c r="D32" s="533"/>
      <c r="E32" s="534" t="s">
        <v>168</v>
      </c>
      <c r="F32" s="534"/>
      <c r="G32" s="534"/>
      <c r="H32" s="534"/>
      <c r="I32" s="534"/>
      <c r="J32" s="534" t="s">
        <v>132</v>
      </c>
      <c r="K32" s="534"/>
      <c r="L32" s="534"/>
      <c r="M32" s="534" t="s">
        <v>146</v>
      </c>
      <c r="N32" s="534"/>
      <c r="O32" s="534"/>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30"/>
      <c r="C33" s="530"/>
      <c r="D33" s="530"/>
      <c r="E33" s="531"/>
      <c r="F33" s="531"/>
      <c r="G33" s="531"/>
      <c r="H33" s="531"/>
      <c r="I33" s="531"/>
      <c r="J33" s="532"/>
      <c r="K33" s="532"/>
      <c r="L33" s="532"/>
      <c r="M33" s="532"/>
      <c r="N33" s="532"/>
      <c r="O33" s="532"/>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30"/>
      <c r="C34" s="530"/>
      <c r="D34" s="530"/>
      <c r="E34" s="531"/>
      <c r="F34" s="531"/>
      <c r="G34" s="531"/>
      <c r="H34" s="531"/>
      <c r="I34" s="531"/>
      <c r="J34" s="532"/>
      <c r="K34" s="532"/>
      <c r="L34" s="532"/>
      <c r="M34" s="532"/>
      <c r="N34" s="532"/>
      <c r="O34" s="532"/>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30"/>
      <c r="C35" s="530"/>
      <c r="D35" s="530"/>
      <c r="E35" s="532"/>
      <c r="F35" s="532"/>
      <c r="G35" s="532"/>
      <c r="H35" s="532"/>
      <c r="I35" s="532"/>
      <c r="J35" s="532"/>
      <c r="K35" s="532"/>
      <c r="L35" s="532"/>
      <c r="M35" s="532"/>
      <c r="N35" s="532"/>
      <c r="O35" s="532"/>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36"/>
      <c r="C36" s="536"/>
      <c r="D36" s="536"/>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30"/>
      <c r="C37" s="530"/>
      <c r="D37" s="530"/>
      <c r="E37" s="532"/>
      <c r="F37" s="532"/>
      <c r="G37" s="532"/>
      <c r="H37" s="532"/>
      <c r="I37" s="532"/>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30"/>
      <c r="C38" s="530"/>
      <c r="D38" s="530"/>
      <c r="E38" s="531"/>
      <c r="F38" s="531"/>
      <c r="G38" s="531"/>
      <c r="H38" s="531"/>
      <c r="I38" s="531"/>
      <c r="J38" s="532"/>
      <c r="K38" s="532"/>
      <c r="L38" s="532"/>
      <c r="M38" s="532"/>
      <c r="N38" s="532"/>
      <c r="O38" s="532"/>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35"/>
      <c r="C39" s="535"/>
      <c r="D39" s="535"/>
      <c r="E39" s="532"/>
      <c r="F39" s="532"/>
      <c r="G39" s="532"/>
      <c r="H39" s="532"/>
      <c r="I39" s="532"/>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37"/>
      <c r="C40" s="537"/>
      <c r="D40" s="537"/>
      <c r="E40" s="538"/>
      <c r="F40" s="538"/>
      <c r="G40" s="538"/>
      <c r="H40" s="538"/>
      <c r="I40" s="538"/>
      <c r="J40" s="532"/>
      <c r="K40" s="532"/>
      <c r="L40" s="532"/>
      <c r="M40" s="532"/>
      <c r="N40" s="532"/>
      <c r="O40" s="532"/>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35"/>
      <c r="C41" s="535"/>
      <c r="D41" s="535"/>
      <c r="E41" s="531"/>
      <c r="F41" s="531"/>
      <c r="G41" s="531"/>
      <c r="H41" s="531"/>
      <c r="I41" s="531"/>
      <c r="J41" s="532"/>
      <c r="K41" s="532"/>
      <c r="L41" s="532"/>
      <c r="M41" s="532"/>
      <c r="N41" s="532"/>
      <c r="O41" s="532"/>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35"/>
      <c r="C42" s="535"/>
      <c r="D42" s="535"/>
      <c r="E42" s="532"/>
      <c r="F42" s="532"/>
      <c r="G42" s="532"/>
      <c r="H42" s="532"/>
      <c r="I42" s="532"/>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35"/>
      <c r="C43" s="535"/>
      <c r="D43" s="535"/>
      <c r="E43" s="531"/>
      <c r="F43" s="531"/>
      <c r="G43" s="531"/>
      <c r="H43" s="531"/>
      <c r="I43" s="531"/>
      <c r="J43" s="532"/>
      <c r="K43" s="532"/>
      <c r="L43" s="532"/>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37"/>
      <c r="C44" s="537"/>
      <c r="D44" s="537"/>
      <c r="E44" s="531"/>
      <c r="F44" s="531"/>
      <c r="G44" s="531"/>
      <c r="H44" s="531"/>
      <c r="I44" s="531"/>
      <c r="J44" s="532"/>
      <c r="K44" s="532"/>
      <c r="L44" s="532"/>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37"/>
      <c r="C45" s="537"/>
      <c r="D45" s="537"/>
      <c r="E45" s="531"/>
      <c r="F45" s="531"/>
      <c r="G45" s="531"/>
      <c r="H45" s="531"/>
      <c r="I45" s="531"/>
      <c r="J45" s="532"/>
      <c r="K45" s="532"/>
      <c r="L45" s="532"/>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41"/>
      <c r="C46" s="541"/>
      <c r="D46" s="541"/>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39" t="s">
        <v>169</v>
      </c>
      <c r="C48" s="539"/>
      <c r="D48" s="539"/>
      <c r="E48" s="539"/>
      <c r="F48" s="539"/>
      <c r="G48" s="539"/>
      <c r="H48" s="539"/>
      <c r="I48" s="539"/>
      <c r="J48" s="539"/>
      <c r="K48" s="539"/>
      <c r="L48" s="539"/>
      <c r="M48" s="540" t="s">
        <v>170</v>
      </c>
      <c r="N48" s="540"/>
      <c r="O48" s="540"/>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G11" sqref="G11"/>
    </sheetView>
  </sheetViews>
  <sheetFormatPr defaultColWidth="9.14062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9.140625" style="6" customWidth="1"/>
  </cols>
  <sheetData>
    <row r="1" spans="1:10" ht="21" customHeight="1">
      <c r="A1" s="141"/>
      <c r="B1" s="141"/>
      <c r="C1" s="141"/>
      <c r="D1" s="141"/>
      <c r="E1" s="141"/>
      <c r="F1" s="141"/>
      <c r="G1" s="40"/>
      <c r="H1" s="141"/>
      <c r="I1" s="141"/>
      <c r="J1" s="141"/>
    </row>
    <row r="2" ht="25.5" customHeight="1"/>
    <row r="3" spans="2:20" ht="36">
      <c r="B3" s="545" t="str">
        <f>+"Tablero de mando: "&amp;" "&amp;+'Introducción de datos'!C4&amp;" - "&amp;+'Introducción de datos'!G6</f>
        <v>Tablero de mando:  El Salvador - VIH / SIDA</v>
      </c>
      <c r="C3" s="545"/>
      <c r="D3" s="545"/>
      <c r="E3" s="545"/>
      <c r="F3" s="545"/>
      <c r="G3" s="545"/>
      <c r="H3" s="545"/>
      <c r="I3" s="545"/>
      <c r="J3" s="545"/>
      <c r="K3" s="218"/>
      <c r="L3" s="218"/>
      <c r="M3" s="218"/>
      <c r="N3" s="219"/>
      <c r="O3" s="219"/>
      <c r="P3" s="219"/>
      <c r="Q3" s="219"/>
      <c r="R3" s="219"/>
      <c r="S3" s="219"/>
      <c r="T3" s="219"/>
    </row>
    <row r="4" spans="12:20" ht="15" customHeight="1">
      <c r="L4" s="219"/>
      <c r="M4" s="219"/>
      <c r="N4" s="219"/>
      <c r="O4" s="219"/>
      <c r="P4" s="219"/>
      <c r="Q4" s="219"/>
      <c r="R4" s="219"/>
      <c r="S4" s="219"/>
      <c r="T4" s="219"/>
    </row>
    <row r="5" spans="12:20" ht="15">
      <c r="L5" s="219"/>
      <c r="M5" s="219"/>
      <c r="N5" s="219"/>
      <c r="O5" s="219"/>
      <c r="P5" s="219"/>
      <c r="Q5" s="219"/>
      <c r="R5" s="219"/>
      <c r="S5" s="219"/>
      <c r="T5" s="219"/>
    </row>
    <row r="6" spans="1:21" ht="32.25" customHeight="1">
      <c r="A6" s="220" t="s">
        <v>172</v>
      </c>
      <c r="B6" s="546" t="str">
        <f>+'Introducción de datos'!C4</f>
        <v>El Salvador</v>
      </c>
      <c r="C6" s="546"/>
      <c r="D6" s="547" t="s">
        <v>174</v>
      </c>
      <c r="E6" s="547"/>
      <c r="F6" s="548" t="str">
        <f>+'Introducción de datos'!G4</f>
        <v>INNOVANDO SERVICIOS, REDUCIENDO RIESGOS, RENOVANDO VIDAS EN EL SALVADOR</v>
      </c>
      <c r="G6" s="548"/>
      <c r="H6" s="548"/>
      <c r="I6" s="548"/>
      <c r="J6" s="548"/>
      <c r="K6" s="221"/>
      <c r="L6" s="222"/>
      <c r="M6" s="221"/>
      <c r="N6" s="221"/>
      <c r="O6" s="221"/>
      <c r="P6" s="223"/>
      <c r="Q6" s="224"/>
      <c r="R6" s="224"/>
      <c r="S6" s="224"/>
      <c r="T6" s="224"/>
      <c r="U6" s="224"/>
    </row>
    <row r="7" spans="2:21" ht="8.25" customHeight="1">
      <c r="B7" s="225"/>
      <c r="C7" s="226"/>
      <c r="D7" s="226"/>
      <c r="E7" s="227"/>
      <c r="F7" s="227"/>
      <c r="G7" s="228"/>
      <c r="H7" s="228"/>
      <c r="K7" s="221"/>
      <c r="L7" s="221"/>
      <c r="M7" s="221"/>
      <c r="N7" s="221"/>
      <c r="O7" s="221"/>
      <c r="P7" s="223"/>
      <c r="Q7" s="224"/>
      <c r="R7" s="224"/>
      <c r="S7" s="224"/>
      <c r="T7" s="224"/>
      <c r="U7" s="224"/>
    </row>
    <row r="8" spans="3:21" ht="3.75" customHeight="1">
      <c r="C8" s="229"/>
      <c r="D8" s="229"/>
      <c r="E8" s="229"/>
      <c r="F8" s="229"/>
      <c r="G8" s="229"/>
      <c r="H8" s="229"/>
      <c r="I8" s="229"/>
      <c r="J8" s="229"/>
      <c r="K8" s="221"/>
      <c r="L8" s="221"/>
      <c r="M8" s="221"/>
      <c r="N8" s="221"/>
      <c r="O8" s="230"/>
      <c r="P8" s="223"/>
      <c r="Q8" s="230"/>
      <c r="R8" s="231"/>
      <c r="S8" s="224"/>
      <c r="T8" s="224"/>
      <c r="U8" s="224"/>
    </row>
    <row r="9" spans="1:24" ht="25.5" customHeight="1">
      <c r="A9" s="232" t="s">
        <v>176</v>
      </c>
      <c r="B9" s="233" t="str">
        <f>+'Introducción de datos'!G6</f>
        <v>VIH / SIDA</v>
      </c>
      <c r="C9" s="234" t="s">
        <v>175</v>
      </c>
      <c r="D9" s="235" t="str">
        <f>+'Introducción de datos'!C6</f>
        <v>SLV-H-PLAN</v>
      </c>
      <c r="E9" s="542" t="s">
        <v>282</v>
      </c>
      <c r="F9" s="542"/>
      <c r="G9" s="236">
        <f>+'Introducción de datos'!C10</f>
        <v>41640</v>
      </c>
      <c r="H9" s="232" t="s">
        <v>283</v>
      </c>
      <c r="I9" s="543" t="str">
        <f>+'Introducción de datos'!I6</f>
        <v>12,931,489</v>
      </c>
      <c r="J9" s="543"/>
      <c r="K9" s="221"/>
      <c r="L9" s="221"/>
      <c r="M9" s="221"/>
      <c r="N9" s="221"/>
      <c r="O9" s="230"/>
      <c r="P9" s="223"/>
      <c r="Q9" s="230"/>
      <c r="R9" s="231"/>
      <c r="S9" s="224"/>
      <c r="T9" s="237"/>
      <c r="U9" s="237"/>
      <c r="V9" s="229"/>
      <c r="W9" s="229"/>
      <c r="X9" s="229"/>
    </row>
    <row r="10" spans="1:21" ht="25.5" customHeight="1">
      <c r="A10" s="232" t="s">
        <v>180</v>
      </c>
      <c r="B10" s="238" t="str">
        <f>IF(ISBLANK('Introducción de datos'!G8),"",'Introducción de datos'!G8)</f>
        <v>Seleccionar</v>
      </c>
      <c r="C10" s="234" t="s">
        <v>182</v>
      </c>
      <c r="D10" s="239" t="str">
        <f>+'Introducción de datos'!I8</f>
        <v>Seleccionar</v>
      </c>
      <c r="E10" s="542" t="s">
        <v>284</v>
      </c>
      <c r="F10" s="542"/>
      <c r="G10" s="544" t="str">
        <f>+'Introducción de datos'!C8</f>
        <v>PLAN  INTERNACIONAL</v>
      </c>
      <c r="H10" s="544"/>
      <c r="I10" s="544"/>
      <c r="J10" s="544"/>
      <c r="K10" s="241"/>
      <c r="L10" s="241"/>
      <c r="M10" s="221"/>
      <c r="N10" s="241"/>
      <c r="O10" s="230"/>
      <c r="P10" s="223"/>
      <c r="Q10" s="237"/>
      <c r="R10" s="231"/>
      <c r="S10" s="224"/>
      <c r="T10" s="237"/>
      <c r="U10" s="237"/>
    </row>
    <row r="11" spans="1:21" ht="25.5" customHeight="1">
      <c r="A11" s="232" t="s">
        <v>285</v>
      </c>
      <c r="B11" s="240" t="str">
        <f>'Introducción de datos'!C16</f>
        <v>P6</v>
      </c>
      <c r="C11" s="234" t="s">
        <v>286</v>
      </c>
      <c r="D11" s="242">
        <f>+'Introducción de datos'!E16</f>
        <v>42552</v>
      </c>
      <c r="E11" s="542" t="s">
        <v>287</v>
      </c>
      <c r="F11" s="542"/>
      <c r="G11" s="242">
        <f>+'Introducción de datos'!G16</f>
        <v>42735</v>
      </c>
      <c r="H11" s="232" t="s">
        <v>288</v>
      </c>
      <c r="I11" s="550" t="str">
        <f>+'Introducción de datos'!C12</f>
        <v>B1</v>
      </c>
      <c r="J11" s="550"/>
      <c r="K11" s="243"/>
      <c r="L11" s="241"/>
      <c r="M11" s="221"/>
      <c r="N11" s="241"/>
      <c r="O11" s="241"/>
      <c r="P11" s="223"/>
      <c r="Q11" s="237"/>
      <c r="R11" s="231"/>
      <c r="S11" s="224"/>
      <c r="T11" s="244"/>
      <c r="U11" s="237"/>
    </row>
    <row r="12" spans="1:24" ht="25.5" customHeight="1">
      <c r="A12" s="232" t="s">
        <v>185</v>
      </c>
      <c r="B12" s="544" t="str">
        <f>+'Introducción de datos'!G10</f>
        <v>GRUPO JACOBS</v>
      </c>
      <c r="C12" s="544"/>
      <c r="D12" s="544"/>
      <c r="E12" s="542" t="s">
        <v>189</v>
      </c>
      <c r="F12" s="542"/>
      <c r="G12" s="544" t="str">
        <f>+'Introducción de datos'!G12</f>
        <v>Serena Buccini</v>
      </c>
      <c r="H12" s="544"/>
      <c r="I12" s="544"/>
      <c r="J12" s="544"/>
      <c r="K12" s="241"/>
      <c r="L12" s="241"/>
      <c r="M12" s="221"/>
      <c r="N12" s="241"/>
      <c r="O12" s="224"/>
      <c r="P12" s="223"/>
      <c r="Q12" s="237"/>
      <c r="R12" s="231"/>
      <c r="S12" s="224"/>
      <c r="T12" s="237"/>
      <c r="U12" s="245"/>
      <c r="V12" s="237"/>
      <c r="W12" s="244"/>
      <c r="X12" s="237"/>
    </row>
    <row r="13" spans="1:21" ht="25.5" customHeight="1">
      <c r="A13" s="232" t="s">
        <v>196</v>
      </c>
      <c r="B13" s="544" t="str">
        <f>+'Introducción de datos'!D18</f>
        <v>UCP/PLAN </v>
      </c>
      <c r="C13" s="544"/>
      <c r="D13" s="544"/>
      <c r="E13" s="542" t="s">
        <v>289</v>
      </c>
      <c r="F13" s="542"/>
      <c r="G13" s="549">
        <f>'Introducción de datos'!J16</f>
        <v>42797</v>
      </c>
      <c r="H13" s="549"/>
      <c r="I13" s="549"/>
      <c r="J13" s="549"/>
      <c r="K13" s="224"/>
      <c r="L13" s="246"/>
      <c r="M13" s="246"/>
      <c r="N13" s="246"/>
      <c r="O13" s="224"/>
      <c r="P13" s="246"/>
      <c r="Q13" s="246"/>
      <c r="R13" s="231"/>
      <c r="S13" s="224"/>
      <c r="T13" s="246"/>
      <c r="U13" s="247"/>
    </row>
  </sheetData>
  <sheetProtection/>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conditionalFormatting sqref="I11:J11">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AD173"/>
  <sheetViews>
    <sheetView showGridLines="0" zoomScale="80" zoomScaleNormal="80" zoomScalePageLayoutView="0" workbookViewId="0" topLeftCell="C111">
      <selection activeCell="K117" sqref="K117"/>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9" width="17.5742187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59" t="s">
        <v>171</v>
      </c>
      <c r="C2" s="559"/>
      <c r="D2" s="559"/>
      <c r="E2" s="559"/>
      <c r="F2" s="559"/>
      <c r="G2" s="559"/>
      <c r="H2" s="559"/>
      <c r="I2" s="559"/>
      <c r="J2" s="559"/>
      <c r="K2" s="33"/>
      <c r="L2" s="33"/>
      <c r="M2" s="33"/>
    </row>
    <row r="3" spans="1:13" ht="4.5" customHeight="1">
      <c r="A3" s="6"/>
      <c r="B3" s="6"/>
      <c r="C3" s="6"/>
      <c r="D3" s="6"/>
      <c r="E3" s="6"/>
      <c r="F3" s="6"/>
      <c r="G3" s="6"/>
      <c r="H3" s="6"/>
      <c r="I3" s="6"/>
      <c r="J3" s="6"/>
      <c r="K3" s="6"/>
      <c r="L3" s="6"/>
      <c r="M3" s="6"/>
    </row>
    <row r="4" spans="1:13" ht="28.5" customHeight="1">
      <c r="A4" s="6"/>
      <c r="B4" s="34" t="s">
        <v>172</v>
      </c>
      <c r="C4" s="553" t="s">
        <v>173</v>
      </c>
      <c r="D4" s="553"/>
      <c r="E4" s="557" t="s">
        <v>174</v>
      </c>
      <c r="F4" s="557"/>
      <c r="G4" s="560" t="s">
        <v>318</v>
      </c>
      <c r="H4" s="560"/>
      <c r="I4" s="560"/>
      <c r="J4" s="560"/>
      <c r="K4" s="6"/>
      <c r="L4" s="6"/>
      <c r="M4" s="6"/>
    </row>
    <row r="5" spans="1:13" ht="3" customHeight="1">
      <c r="A5" s="6"/>
      <c r="B5" s="37"/>
      <c r="C5" s="6"/>
      <c r="D5" s="6"/>
      <c r="E5" s="38"/>
      <c r="F5" s="38"/>
      <c r="G5" s="6"/>
      <c r="H5" s="6"/>
      <c r="I5" s="6"/>
      <c r="J5" s="6"/>
      <c r="K5" s="6"/>
      <c r="L5" s="6"/>
      <c r="M5" s="6"/>
    </row>
    <row r="6" spans="1:13" ht="15">
      <c r="A6" s="6"/>
      <c r="B6" s="34" t="s">
        <v>175</v>
      </c>
      <c r="C6" s="552" t="s">
        <v>316</v>
      </c>
      <c r="D6" s="552"/>
      <c r="E6" s="557" t="s">
        <v>176</v>
      </c>
      <c r="F6" s="557"/>
      <c r="G6" s="35" t="s">
        <v>45</v>
      </c>
      <c r="H6" s="39" t="s">
        <v>178</v>
      </c>
      <c r="I6" s="563" t="s">
        <v>356</v>
      </c>
      <c r="J6" s="563"/>
      <c r="K6" s="6"/>
      <c r="L6" s="6"/>
      <c r="M6" s="6"/>
    </row>
    <row r="7" spans="1:13" ht="3" customHeight="1">
      <c r="A7" s="6"/>
      <c r="B7" s="37"/>
      <c r="C7" s="6"/>
      <c r="D7" s="6"/>
      <c r="E7" s="38"/>
      <c r="F7" s="38"/>
      <c r="G7" s="6"/>
      <c r="H7" s="37"/>
      <c r="I7" s="6"/>
      <c r="J7" s="6"/>
      <c r="K7" s="6"/>
      <c r="L7" s="6"/>
      <c r="M7" s="6"/>
    </row>
    <row r="8" spans="1:13" ht="15">
      <c r="A8" s="6"/>
      <c r="B8" s="34" t="s">
        <v>179</v>
      </c>
      <c r="C8" s="552" t="s">
        <v>317</v>
      </c>
      <c r="D8" s="552"/>
      <c r="E8" s="40"/>
      <c r="F8" s="36" t="s">
        <v>180</v>
      </c>
      <c r="G8" s="35" t="s">
        <v>44</v>
      </c>
      <c r="H8" s="36" t="s">
        <v>182</v>
      </c>
      <c r="I8" s="553" t="s">
        <v>44</v>
      </c>
      <c r="J8" s="553"/>
      <c r="K8" s="6"/>
      <c r="L8" s="6"/>
      <c r="M8" s="6"/>
    </row>
    <row r="9" spans="1:13" ht="3" customHeight="1">
      <c r="A9" s="6"/>
      <c r="B9" s="38"/>
      <c r="C9" s="41">
        <v>39825</v>
      </c>
      <c r="D9" s="6"/>
      <c r="E9" s="38"/>
      <c r="F9" s="38"/>
      <c r="G9" s="6"/>
      <c r="H9" s="6"/>
      <c r="I9" s="6"/>
      <c r="J9" s="6"/>
      <c r="K9" s="6"/>
      <c r="L9" s="6"/>
      <c r="M9" s="6"/>
    </row>
    <row r="10" spans="1:13" ht="15">
      <c r="A10" s="6"/>
      <c r="B10" s="34" t="s">
        <v>184</v>
      </c>
      <c r="C10" s="561">
        <v>41640</v>
      </c>
      <c r="D10" s="561"/>
      <c r="E10" s="562" t="s">
        <v>185</v>
      </c>
      <c r="F10" s="562"/>
      <c r="G10" s="553" t="s">
        <v>319</v>
      </c>
      <c r="H10" s="553"/>
      <c r="I10" s="553"/>
      <c r="J10" s="553"/>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554" t="s">
        <v>58</v>
      </c>
      <c r="D12" s="554"/>
      <c r="E12" s="555" t="s">
        <v>189</v>
      </c>
      <c r="F12" s="555"/>
      <c r="G12" s="556" t="s">
        <v>359</v>
      </c>
      <c r="H12" s="556"/>
      <c r="I12" s="556"/>
      <c r="J12" s="556"/>
      <c r="K12" s="6"/>
      <c r="L12" s="6"/>
      <c r="M12" s="6"/>
    </row>
    <row r="13" spans="1:13" ht="5.25" customHeight="1">
      <c r="A13" s="6"/>
      <c r="B13" s="6"/>
      <c r="C13" s="6"/>
      <c r="D13" s="6"/>
      <c r="E13" s="6"/>
      <c r="F13" s="6"/>
      <c r="G13" s="6"/>
      <c r="H13" s="6"/>
      <c r="I13" s="6"/>
      <c r="J13" s="6"/>
      <c r="K13" s="6"/>
      <c r="L13" s="6"/>
      <c r="M13" s="6"/>
    </row>
    <row r="14" spans="1:13" ht="15.75" customHeight="1">
      <c r="A14" s="6"/>
      <c r="B14" s="559" t="s">
        <v>190</v>
      </c>
      <c r="C14" s="559"/>
      <c r="D14" s="559"/>
      <c r="E14" s="559"/>
      <c r="F14" s="559"/>
      <c r="G14" s="559"/>
      <c r="H14" s="559"/>
      <c r="I14" s="559"/>
      <c r="J14" s="559"/>
      <c r="K14" s="6"/>
      <c r="L14" s="6"/>
      <c r="M14" s="6"/>
    </row>
    <row r="15" spans="1:13" ht="3" customHeight="1">
      <c r="A15" s="6"/>
      <c r="B15" s="6"/>
      <c r="C15" s="6"/>
      <c r="D15" s="6"/>
      <c r="E15" s="6"/>
      <c r="F15" s="6"/>
      <c r="G15" s="6"/>
      <c r="H15" s="6"/>
      <c r="I15" s="6"/>
      <c r="J15" s="6"/>
      <c r="K15" s="6"/>
      <c r="L15" s="6"/>
      <c r="M15" s="6"/>
    </row>
    <row r="16" spans="1:13" ht="15">
      <c r="A16" s="6"/>
      <c r="B16" s="34" t="s">
        <v>191</v>
      </c>
      <c r="C16" s="35" t="s">
        <v>21</v>
      </c>
      <c r="D16" s="36" t="s">
        <v>193</v>
      </c>
      <c r="E16" s="42">
        <v>42552</v>
      </c>
      <c r="F16" s="43" t="s">
        <v>194</v>
      </c>
      <c r="G16" s="42">
        <v>42735</v>
      </c>
      <c r="H16" s="564" t="s">
        <v>195</v>
      </c>
      <c r="I16" s="564"/>
      <c r="J16" s="42">
        <v>42797</v>
      </c>
      <c r="K16" s="6"/>
      <c r="L16" s="6"/>
      <c r="M16" s="6"/>
    </row>
    <row r="17" spans="1:13" ht="3" customHeight="1">
      <c r="A17" s="6"/>
      <c r="B17" s="6"/>
      <c r="C17" s="6"/>
      <c r="D17" s="6"/>
      <c r="E17" s="6"/>
      <c r="F17" s="6"/>
      <c r="G17" s="6"/>
      <c r="H17" s="6"/>
      <c r="I17" s="6"/>
      <c r="J17" s="6"/>
      <c r="K17" s="6"/>
      <c r="L17" s="6"/>
      <c r="M17" s="6"/>
    </row>
    <row r="18" spans="1:13" ht="15">
      <c r="A18" s="6"/>
      <c r="B18" s="565" t="s">
        <v>196</v>
      </c>
      <c r="C18" s="565"/>
      <c r="D18" s="566" t="s">
        <v>320</v>
      </c>
      <c r="E18" s="566"/>
      <c r="F18" s="566"/>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59" t="s">
        <v>197</v>
      </c>
      <c r="C21" s="559"/>
      <c r="D21" s="559"/>
      <c r="E21" s="559"/>
      <c r="F21" s="559"/>
      <c r="G21" s="559"/>
      <c r="H21" s="559"/>
      <c r="I21" s="559"/>
      <c r="J21" s="559"/>
      <c r="K21" s="6"/>
      <c r="L21" s="6"/>
      <c r="M21" s="6"/>
    </row>
    <row r="22" spans="1:13" ht="15">
      <c r="A22" s="6"/>
      <c r="B22" s="45" t="s">
        <v>198</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199</v>
      </c>
      <c r="C24" s="47"/>
      <c r="D24" s="557" t="s">
        <v>200</v>
      </c>
      <c r="E24" s="557"/>
      <c r="F24" s="48"/>
      <c r="G24" s="557" t="s">
        <v>201</v>
      </c>
      <c r="H24" s="557"/>
      <c r="I24" s="558"/>
      <c r="J24" s="558"/>
      <c r="K24" s="6"/>
      <c r="L24" s="6"/>
      <c r="M24" s="6"/>
      <c r="N24" s="49"/>
    </row>
    <row r="25" spans="1:29" ht="19.5" thickBot="1">
      <c r="A25" s="6"/>
      <c r="B25" s="50" t="s">
        <v>199</v>
      </c>
      <c r="C25" s="51"/>
      <c r="D25" s="51"/>
      <c r="E25" s="51"/>
      <c r="F25" s="51"/>
      <c r="G25" s="51"/>
      <c r="H25" s="52"/>
      <c r="I25" s="52"/>
      <c r="J25" s="52" t="s">
        <v>202</v>
      </c>
      <c r="K25" s="52"/>
      <c r="L25" s="51"/>
      <c r="M25" s="51"/>
      <c r="N25" s="53"/>
      <c r="AC25" s="54"/>
    </row>
    <row r="26" spans="1:29" ht="15">
      <c r="A26" s="6"/>
      <c r="B26" s="570" t="s">
        <v>203</v>
      </c>
      <c r="C26" s="570"/>
      <c r="D26" s="55" t="s">
        <v>204</v>
      </c>
      <c r="E26" s="56"/>
      <c r="F26" s="56"/>
      <c r="G26" s="56"/>
      <c r="H26" s="56"/>
      <c r="I26" s="56"/>
      <c r="J26" s="57"/>
      <c r="K26" s="56"/>
      <c r="L26" s="56"/>
      <c r="M26" s="56"/>
      <c r="N26" s="58"/>
      <c r="AC26" s="54"/>
    </row>
    <row r="27" spans="1:29" ht="18.75">
      <c r="A27" s="6"/>
      <c r="B27" s="59" t="s">
        <v>205</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71" t="s">
        <v>206</v>
      </c>
      <c r="C29" s="571"/>
      <c r="D29" s="571"/>
      <c r="E29" s="571"/>
      <c r="F29" s="571"/>
      <c r="G29" s="571"/>
      <c r="H29" s="571"/>
      <c r="I29" s="571"/>
      <c r="J29" s="571"/>
      <c r="K29" s="571"/>
      <c r="L29" s="571"/>
      <c r="M29" s="571"/>
      <c r="N29" s="571"/>
      <c r="O29" s="60"/>
      <c r="P29" s="61">
        <f>+C33</f>
        <v>1203071</v>
      </c>
      <c r="Q29" s="62"/>
    </row>
    <row r="30" spans="1:17" ht="45" customHeight="1">
      <c r="A30" s="6"/>
      <c r="B30" s="63" t="s">
        <v>207</v>
      </c>
      <c r="C30" s="64" t="s">
        <v>16</v>
      </c>
      <c r="D30" s="64" t="s">
        <v>17</v>
      </c>
      <c r="E30" s="64" t="s">
        <v>18</v>
      </c>
      <c r="F30" s="64" t="s">
        <v>19</v>
      </c>
      <c r="G30" s="64" t="s">
        <v>20</v>
      </c>
      <c r="H30" s="64" t="s">
        <v>21</v>
      </c>
      <c r="I30" s="64" t="s">
        <v>22</v>
      </c>
      <c r="J30" s="64" t="s">
        <v>23</v>
      </c>
      <c r="K30" s="64" t="s">
        <v>208</v>
      </c>
      <c r="L30" s="64" t="s">
        <v>209</v>
      </c>
      <c r="M30" s="64" t="s">
        <v>210</v>
      </c>
      <c r="N30" s="64" t="s">
        <v>192</v>
      </c>
      <c r="O30" s="60"/>
      <c r="P30" s="61">
        <f>+D33</f>
        <v>3380881</v>
      </c>
      <c r="Q30" s="62"/>
    </row>
    <row r="31" spans="1:17" ht="14.25" customHeight="1">
      <c r="A31" s="6"/>
      <c r="B31" s="65" t="str">
        <f>CONCATENATE("Presupuesto (en ",'Introducción de datos'!$D$26,")")</f>
        <v>Presupuesto (en $)</v>
      </c>
      <c r="C31" s="401">
        <v>1203071</v>
      </c>
      <c r="D31" s="402">
        <v>2177810</v>
      </c>
      <c r="E31" s="402">
        <v>2284432</v>
      </c>
      <c r="F31" s="402">
        <v>3231060</v>
      </c>
      <c r="G31" s="402">
        <v>2098152</v>
      </c>
      <c r="H31" s="402">
        <v>1936964</v>
      </c>
      <c r="I31" s="402"/>
      <c r="J31" s="402"/>
      <c r="K31" s="66"/>
      <c r="L31" s="66"/>
      <c r="M31" s="66"/>
      <c r="N31" s="66"/>
      <c r="O31" s="60"/>
      <c r="P31" s="61">
        <f>+E33</f>
        <v>5665313</v>
      </c>
      <c r="Q31" s="62"/>
    </row>
    <row r="32" spans="1:17" ht="14.25" customHeight="1">
      <c r="A32" s="6"/>
      <c r="B32" s="67" t="str">
        <f>CONCATENATE("Desembolsos por el Fondo Mundial (en ",$D$26,")")</f>
        <v>Desembolsos por el Fondo Mundial (en $)</v>
      </c>
      <c r="C32" s="401">
        <v>4765803</v>
      </c>
      <c r="D32" s="401"/>
      <c r="E32" s="401">
        <v>1649002</v>
      </c>
      <c r="F32" s="401">
        <v>3024864</v>
      </c>
      <c r="G32" s="401">
        <v>649572</v>
      </c>
      <c r="H32" s="401">
        <v>1664249</v>
      </c>
      <c r="I32" s="402"/>
      <c r="J32" s="402"/>
      <c r="K32" s="66"/>
      <c r="L32" s="66"/>
      <c r="M32" s="66"/>
      <c r="N32" s="66"/>
      <c r="O32" s="60"/>
      <c r="P32" s="61">
        <f>+F33</f>
        <v>8896373</v>
      </c>
      <c r="Q32" s="62"/>
    </row>
    <row r="33" spans="1:17" ht="14.25" customHeight="1">
      <c r="A33" s="6"/>
      <c r="B33" s="68" t="s">
        <v>211</v>
      </c>
      <c r="C33" s="69">
        <f>+C31</f>
        <v>1203071</v>
      </c>
      <c r="D33" s="69">
        <f>IF(AND(D31=0,D32=0),0,+C33+D31)</f>
        <v>3380881</v>
      </c>
      <c r="E33" s="69">
        <f aca="true" t="shared" si="0" ref="E33:N33">IF(AND(E31=0,E32=0),0,+D33+E31)</f>
        <v>5665313</v>
      </c>
      <c r="F33" s="69">
        <f t="shared" si="0"/>
        <v>8896373</v>
      </c>
      <c r="G33" s="69">
        <f t="shared" si="0"/>
        <v>10994525</v>
      </c>
      <c r="H33" s="69">
        <f t="shared" si="0"/>
        <v>12931489</v>
      </c>
      <c r="I33" s="69">
        <f t="shared" si="0"/>
        <v>0</v>
      </c>
      <c r="J33" s="404">
        <f t="shared" si="0"/>
        <v>0</v>
      </c>
      <c r="K33" s="69">
        <f t="shared" si="0"/>
        <v>0</v>
      </c>
      <c r="L33" s="69">
        <f t="shared" si="0"/>
        <v>0</v>
      </c>
      <c r="M33" s="69">
        <f t="shared" si="0"/>
        <v>0</v>
      </c>
      <c r="N33" s="69">
        <f t="shared" si="0"/>
        <v>0</v>
      </c>
      <c r="O33" s="60"/>
      <c r="P33" s="61">
        <f>+G33</f>
        <v>10994525</v>
      </c>
      <c r="Q33" s="62"/>
    </row>
    <row r="34" spans="1:17" ht="15" customHeight="1" thickBot="1">
      <c r="A34" s="6"/>
      <c r="B34" s="70" t="s">
        <v>212</v>
      </c>
      <c r="C34" s="71">
        <f>+C32</f>
        <v>4765803</v>
      </c>
      <c r="D34" s="71">
        <f>IF(AND(D31=0,D32=0),0,+C34+D32)</f>
        <v>4765803</v>
      </c>
      <c r="E34" s="71">
        <f aca="true" t="shared" si="1" ref="E34:N34">IF(AND(E31=0,E32=0),0,+D34+E32)</f>
        <v>6414805</v>
      </c>
      <c r="F34" s="71">
        <f t="shared" si="1"/>
        <v>9439669</v>
      </c>
      <c r="G34" s="71">
        <f t="shared" si="1"/>
        <v>10089241</v>
      </c>
      <c r="H34" s="71">
        <f t="shared" si="1"/>
        <v>11753490</v>
      </c>
      <c r="I34" s="71">
        <f t="shared" si="1"/>
        <v>0</v>
      </c>
      <c r="J34" s="71">
        <f t="shared" si="1"/>
        <v>0</v>
      </c>
      <c r="K34" s="71">
        <f t="shared" si="1"/>
        <v>0</v>
      </c>
      <c r="L34" s="71">
        <f t="shared" si="1"/>
        <v>0</v>
      </c>
      <c r="M34" s="71">
        <f t="shared" si="1"/>
        <v>0</v>
      </c>
      <c r="N34" s="71">
        <f t="shared" si="1"/>
        <v>0</v>
      </c>
      <c r="O34" s="60"/>
      <c r="P34" s="61">
        <f>+H33</f>
        <v>12931489</v>
      </c>
      <c r="Q34" s="62"/>
    </row>
    <row r="35" spans="1:17" ht="15">
      <c r="A35" s="6"/>
      <c r="B35" s="6"/>
      <c r="C35" s="72">
        <f>+IF(AND(C30=$C$16,C33&lt;&gt;0),C34/C33,0)</f>
        <v>0</v>
      </c>
      <c r="D35" s="72">
        <f aca="true" t="shared" si="2" ref="D35:N35">+IF(AND(D30=$C$16,D33&lt;&gt;0),D34/D33,0)</f>
        <v>0</v>
      </c>
      <c r="E35" s="72">
        <f t="shared" si="2"/>
        <v>0</v>
      </c>
      <c r="F35" s="72">
        <f t="shared" si="2"/>
        <v>0</v>
      </c>
      <c r="G35" s="72">
        <f t="shared" si="2"/>
        <v>0</v>
      </c>
      <c r="H35" s="72">
        <f t="shared" si="2"/>
        <v>0.9089046126088032</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213</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214</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215</v>
      </c>
      <c r="C39" s="86">
        <f>497515.09+1416724.19+1295419.47+2042589.19+1111486.4+1097858.64</f>
        <v>7461592.9799999995</v>
      </c>
      <c r="D39" s="87">
        <f>6532230.86</f>
        <v>6532230.86</v>
      </c>
      <c r="E39" s="435"/>
      <c r="F39" s="88"/>
      <c r="G39" s="89"/>
      <c r="H39" s="6"/>
      <c r="I39" s="6"/>
      <c r="J39" s="90"/>
      <c r="K39" s="91"/>
      <c r="N39"/>
      <c r="Y39" s="49"/>
      <c r="Z39" s="5"/>
    </row>
    <row r="40" spans="1:26" ht="14.25" customHeight="1">
      <c r="A40" s="6"/>
      <c r="B40" s="85" t="s">
        <v>216</v>
      </c>
      <c r="C40" s="86">
        <f>4915.01+129746.77+138106.38+152386.88+160994.14+111233.79</f>
        <v>697382.9700000001</v>
      </c>
      <c r="D40" s="87">
        <v>618111.24</v>
      </c>
      <c r="E40" s="435"/>
      <c r="F40" s="88"/>
      <c r="G40" s="89"/>
      <c r="H40" s="6"/>
      <c r="I40" s="6"/>
      <c r="J40" s="6"/>
      <c r="K40" s="91"/>
      <c r="N40"/>
      <c r="Y40" s="49"/>
      <c r="Z40" s="5"/>
    </row>
    <row r="41" spans="1:26" ht="15">
      <c r="A41" s="6"/>
      <c r="B41" s="93" t="s">
        <v>217</v>
      </c>
      <c r="C41" s="86">
        <f>700640.85+631339.09+850906.57+1036083.93+825671.23+727871.42</f>
        <v>4772513.09</v>
      </c>
      <c r="D41" s="87">
        <v>4081664.12</v>
      </c>
      <c r="E41" s="435"/>
      <c r="F41" s="94"/>
      <c r="G41" s="6"/>
      <c r="H41" s="6"/>
      <c r="I41" s="6"/>
      <c r="J41" s="6"/>
      <c r="K41" s="91"/>
      <c r="N41"/>
      <c r="Y41" s="49"/>
      <c r="Z41" s="5"/>
    </row>
    <row r="42" spans="1:26" ht="15" customHeight="1">
      <c r="A42" s="6"/>
      <c r="B42" s="85"/>
      <c r="C42" s="86"/>
      <c r="D42" s="87"/>
      <c r="E42" s="476"/>
      <c r="F42" s="95"/>
      <c r="G42" s="6"/>
      <c r="H42" s="6"/>
      <c r="I42" s="6"/>
      <c r="J42" s="6"/>
      <c r="K42" s="49"/>
      <c r="N42"/>
      <c r="Y42" s="49"/>
      <c r="Z42" s="5"/>
    </row>
    <row r="43" spans="1:26" ht="15">
      <c r="A43" s="6"/>
      <c r="B43" s="85"/>
      <c r="C43" s="86"/>
      <c r="D43" s="87"/>
      <c r="E43" s="92"/>
      <c r="F43" s="96"/>
      <c r="G43" s="6"/>
      <c r="H43" s="6"/>
      <c r="I43" s="6"/>
      <c r="J43" s="6"/>
      <c r="K43" s="49"/>
      <c r="N43"/>
      <c r="Y43" s="49"/>
      <c r="Z43" s="5"/>
    </row>
    <row r="44" spans="1:26" ht="15">
      <c r="A44" s="6"/>
      <c r="B44" s="85"/>
      <c r="C44" s="97"/>
      <c r="D44" s="98"/>
      <c r="E44" s="92"/>
      <c r="F44" s="99"/>
      <c r="G44" s="6"/>
      <c r="H44" s="6"/>
      <c r="I44" s="6"/>
      <c r="J44" s="6"/>
      <c r="K44" s="49"/>
      <c r="N44"/>
      <c r="Y44" s="49"/>
      <c r="Z44" s="5"/>
    </row>
    <row r="45" spans="1:26" ht="15">
      <c r="A45" s="6"/>
      <c r="B45" s="100"/>
      <c r="C45" s="97"/>
      <c r="D45" s="98"/>
      <c r="E45" s="92"/>
      <c r="F45" s="96"/>
      <c r="G45" s="92"/>
      <c r="H45" s="92"/>
      <c r="I45" s="92"/>
      <c r="J45" s="92"/>
      <c r="K45" s="49"/>
      <c r="N45"/>
      <c r="Y45" s="5"/>
      <c r="Z45" s="5"/>
    </row>
    <row r="46" spans="1:26" ht="15.75" thickBot="1">
      <c r="A46" s="6"/>
      <c r="B46" s="101"/>
      <c r="C46" s="97"/>
      <c r="D46" s="98"/>
      <c r="E46" s="92"/>
      <c r="F46" s="92"/>
      <c r="G46" s="92"/>
      <c r="H46" s="92"/>
      <c r="I46" s="92"/>
      <c r="J46" s="92"/>
      <c r="K46" s="49"/>
      <c r="N46"/>
      <c r="Y46" s="5"/>
      <c r="Z46" s="5"/>
    </row>
    <row r="47" spans="1:26" ht="15.75" thickBot="1">
      <c r="A47" s="6"/>
      <c r="B47" s="102" t="s">
        <v>218</v>
      </c>
      <c r="C47" s="403">
        <f>SUM(C39:C43)</f>
        <v>12931489.04</v>
      </c>
      <c r="D47" s="103">
        <f>SUM(D39:D43)</f>
        <v>11232006.22</v>
      </c>
      <c r="E47" s="104"/>
      <c r="F47" s="572" t="str">
        <f ca="1">+IF((ROUND(C47,0)=ROUND(OFFSET(B33,0,RIGHT('Introducción de datos'!$C$16,LEN('Introducción de datos'!$C$16)-1),1,1),0)),"OK: Datos corresponden","Atención: Datos no corresponden")</f>
        <v>OK: Datos corresponden</v>
      </c>
      <c r="G47" s="572"/>
      <c r="H47" s="572"/>
      <c r="I47" s="572"/>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219</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46.5" customHeight="1">
      <c r="A51" s="6"/>
      <c r="B51" s="463"/>
      <c r="C51" s="464" t="s">
        <v>220</v>
      </c>
      <c r="D51" s="464" t="s">
        <v>221</v>
      </c>
      <c r="E51" s="465" t="str">
        <f>CONCATENATE("Total gastado y desembolso (en ",D26,")")</f>
        <v>Total gastado y desembolso (en $)</v>
      </c>
      <c r="F51" s="6"/>
      <c r="G51" s="108"/>
      <c r="H51" s="82"/>
      <c r="I51" s="109"/>
      <c r="J51" s="109"/>
      <c r="K51" s="109"/>
      <c r="L51" s="109"/>
      <c r="M51" s="110"/>
      <c r="N51" s="110"/>
      <c r="O51" s="61">
        <f>+M33</f>
        <v>0</v>
      </c>
      <c r="P51" s="62"/>
      <c r="AB51" s="49"/>
    </row>
    <row r="52" spans="1:28" ht="15">
      <c r="A52" s="6"/>
      <c r="B52" s="466" t="s">
        <v>222</v>
      </c>
      <c r="C52" s="461">
        <v>10089241</v>
      </c>
      <c r="D52" s="461">
        <v>1664249</v>
      </c>
      <c r="E52" s="477">
        <f aca="true" t="shared" si="3" ref="E52:E57">+D52+C52</f>
        <v>11753490</v>
      </c>
      <c r="F52" s="6"/>
      <c r="G52" s="111"/>
      <c r="H52" s="112"/>
      <c r="I52" s="475"/>
      <c r="J52" s="114"/>
      <c r="K52" s="114"/>
      <c r="L52" s="115"/>
      <c r="M52" s="115"/>
      <c r="N52" s="115"/>
      <c r="O52" s="62"/>
      <c r="P52" s="62"/>
      <c r="AB52" s="49"/>
    </row>
    <row r="53" spans="1:28" ht="15">
      <c r="A53" s="6"/>
      <c r="B53" s="466" t="s">
        <v>223</v>
      </c>
      <c r="C53" s="461">
        <v>9601211.77</v>
      </c>
      <c r="D53" s="462">
        <v>1648632.78</v>
      </c>
      <c r="E53" s="477">
        <f t="shared" si="3"/>
        <v>11249844.549999999</v>
      </c>
      <c r="F53" s="436"/>
      <c r="G53" s="435"/>
      <c r="H53" s="112"/>
      <c r="I53" s="113"/>
      <c r="J53" s="114"/>
      <c r="K53" s="114"/>
      <c r="L53" s="115"/>
      <c r="M53" s="117"/>
      <c r="N53" s="117"/>
      <c r="O53" s="62"/>
      <c r="P53" s="62"/>
      <c r="AB53" s="49"/>
    </row>
    <row r="54" spans="1:28" ht="15">
      <c r="A54" s="6"/>
      <c r="B54" s="466" t="s">
        <v>224</v>
      </c>
      <c r="C54" s="461">
        <v>4534953.5</v>
      </c>
      <c r="D54" s="462">
        <v>761007.99</v>
      </c>
      <c r="E54" s="477">
        <f t="shared" si="3"/>
        <v>5295961.49</v>
      </c>
      <c r="F54" s="6"/>
      <c r="G54" s="111"/>
      <c r="H54" s="112"/>
      <c r="I54" s="113"/>
      <c r="J54" s="114"/>
      <c r="K54" s="114"/>
      <c r="L54" s="115"/>
      <c r="M54" s="115"/>
      <c r="N54" s="115"/>
      <c r="AB54" s="49"/>
    </row>
    <row r="55" spans="1:28" ht="15">
      <c r="A55" s="6"/>
      <c r="B55" s="466" t="s">
        <v>225</v>
      </c>
      <c r="C55" s="461">
        <v>4267338.33</v>
      </c>
      <c r="D55" s="462">
        <v>1010785.37</v>
      </c>
      <c r="E55" s="477">
        <f t="shared" si="3"/>
        <v>5278123.7</v>
      </c>
      <c r="F55" s="6"/>
      <c r="G55" s="111"/>
      <c r="H55" s="112"/>
      <c r="I55" s="113"/>
      <c r="J55" s="114"/>
      <c r="K55" s="114"/>
      <c r="L55" s="115"/>
      <c r="M55" s="115"/>
      <c r="N55" s="115"/>
      <c r="AB55" s="49"/>
    </row>
    <row r="56" spans="1:28" ht="15">
      <c r="A56" s="6"/>
      <c r="B56" s="494" t="s">
        <v>384</v>
      </c>
      <c r="C56" s="495"/>
      <c r="D56" s="496">
        <v>361683.47</v>
      </c>
      <c r="E56" s="477">
        <f t="shared" si="3"/>
        <v>361683.47</v>
      </c>
      <c r="F56" s="6"/>
      <c r="G56" s="111"/>
      <c r="H56" s="112"/>
      <c r="I56" s="113"/>
      <c r="J56" s="114"/>
      <c r="K56" s="114"/>
      <c r="L56" s="115"/>
      <c r="M56" s="115"/>
      <c r="N56" s="115"/>
      <c r="AB56" s="49"/>
    </row>
    <row r="57" spans="1:28" ht="15.75" thickBot="1">
      <c r="A57" s="6"/>
      <c r="B57" s="467" t="s">
        <v>358</v>
      </c>
      <c r="C57" s="468"/>
      <c r="D57" s="469">
        <v>623421.41</v>
      </c>
      <c r="E57" s="478">
        <f t="shared" si="3"/>
        <v>623421.41</v>
      </c>
      <c r="F57" s="436"/>
      <c r="G57" s="116"/>
      <c r="H57" s="118"/>
      <c r="I57" s="119"/>
      <c r="J57" s="119"/>
      <c r="K57" s="119"/>
      <c r="L57" s="115"/>
      <c r="M57" s="117"/>
      <c r="N57" s="117"/>
      <c r="AB57" s="49"/>
    </row>
    <row r="58" spans="1:29" ht="5.25" customHeight="1">
      <c r="A58" s="6"/>
      <c r="B58" s="460"/>
      <c r="C58" s="6"/>
      <c r="D58" s="6"/>
      <c r="E58" s="6"/>
      <c r="F58" s="6"/>
      <c r="G58" s="6"/>
      <c r="H58" s="6"/>
      <c r="I58" s="6"/>
      <c r="J58" s="6"/>
      <c r="K58" s="6"/>
      <c r="L58" s="6"/>
      <c r="M58" s="6"/>
      <c r="AC58" s="49"/>
    </row>
    <row r="59" spans="1:13" ht="15">
      <c r="A59" s="6"/>
      <c r="B59" s="460" t="s">
        <v>377</v>
      </c>
      <c r="C59" s="6"/>
      <c r="D59" s="6"/>
      <c r="E59" s="6"/>
      <c r="F59" s="6"/>
      <c r="G59" s="6"/>
      <c r="H59" s="6"/>
      <c r="I59" s="6"/>
      <c r="J59" s="6"/>
      <c r="K59" s="6"/>
      <c r="L59" s="6"/>
      <c r="M59" s="6"/>
    </row>
    <row r="60" spans="1:13" ht="15">
      <c r="A60" s="6"/>
      <c r="B60" s="460" t="s">
        <v>378</v>
      </c>
      <c r="C60" s="6"/>
      <c r="D60" s="6"/>
      <c r="E60" s="6"/>
      <c r="F60" s="6"/>
      <c r="G60" s="6"/>
      <c r="H60" s="6"/>
      <c r="I60" s="6"/>
      <c r="J60" s="6"/>
      <c r="K60" s="6"/>
      <c r="L60" s="6"/>
      <c r="M60" s="6"/>
    </row>
    <row r="61" spans="1:13" ht="18.75">
      <c r="A61" s="6"/>
      <c r="B61" s="59" t="s">
        <v>226</v>
      </c>
      <c r="C61" s="6"/>
      <c r="D61" s="6"/>
      <c r="E61" s="6"/>
      <c r="F61" s="6"/>
      <c r="G61" s="6"/>
      <c r="H61" s="6"/>
      <c r="I61" s="6"/>
      <c r="J61" s="6"/>
      <c r="K61" s="6"/>
      <c r="L61" s="6"/>
      <c r="M61" s="6"/>
    </row>
    <row r="62" spans="1:13" ht="15.75" thickBot="1">
      <c r="A62" s="6"/>
      <c r="B62" s="6"/>
      <c r="C62" s="6"/>
      <c r="D62" s="6"/>
      <c r="E62" s="6"/>
      <c r="F62" s="6"/>
      <c r="G62" s="6"/>
      <c r="H62" s="6"/>
      <c r="I62" s="6"/>
      <c r="J62" s="6"/>
      <c r="K62" s="6"/>
      <c r="L62" s="6"/>
      <c r="M62" s="6"/>
    </row>
    <row r="63" spans="1:13" ht="14.25" customHeight="1">
      <c r="A63" s="6"/>
      <c r="B63" s="573" t="s">
        <v>227</v>
      </c>
      <c r="C63" s="573"/>
      <c r="D63" s="573"/>
      <c r="E63" s="6"/>
      <c r="F63" s="6"/>
      <c r="G63" s="6"/>
      <c r="H63" s="6"/>
      <c r="I63" s="6"/>
      <c r="J63" s="6"/>
      <c r="K63" s="6"/>
      <c r="L63" s="6"/>
      <c r="M63" s="5"/>
    </row>
    <row r="64" spans="1:13" ht="15">
      <c r="A64" s="6"/>
      <c r="B64" s="120"/>
      <c r="C64" s="121" t="s">
        <v>228</v>
      </c>
      <c r="D64" s="122" t="s">
        <v>229</v>
      </c>
      <c r="E64" s="6"/>
      <c r="F64" s="6"/>
      <c r="G64" s="6"/>
      <c r="H64" s="6"/>
      <c r="I64" s="6"/>
      <c r="J64" s="6"/>
      <c r="K64" s="6"/>
      <c r="L64" s="6"/>
      <c r="M64" s="5"/>
    </row>
    <row r="65" spans="1:13" ht="15">
      <c r="A65" s="6"/>
      <c r="B65" s="123" t="s">
        <v>357</v>
      </c>
      <c r="C65" s="124">
        <v>60</v>
      </c>
      <c r="D65" s="125">
        <v>59</v>
      </c>
      <c r="E65" s="6"/>
      <c r="F65" s="6"/>
      <c r="G65" s="6"/>
      <c r="H65" s="6"/>
      <c r="I65" s="6"/>
      <c r="J65" s="6"/>
      <c r="K65" s="6"/>
      <c r="L65" s="6"/>
      <c r="M65" s="5"/>
    </row>
    <row r="66" spans="1:13" ht="15">
      <c r="A66" s="6"/>
      <c r="B66" s="126" t="s">
        <v>230</v>
      </c>
      <c r="C66" s="124">
        <v>45</v>
      </c>
      <c r="D66" s="125">
        <v>25</v>
      </c>
      <c r="E66" s="6"/>
      <c r="F66" s="6"/>
      <c r="G66" s="6"/>
      <c r="H66" s="112"/>
      <c r="I66" s="112"/>
      <c r="J66" s="6"/>
      <c r="K66" s="6"/>
      <c r="L66" s="6"/>
      <c r="M66" s="5"/>
    </row>
    <row r="67" spans="1:13" ht="15.75" thickBot="1">
      <c r="A67" s="6"/>
      <c r="B67" s="127" t="s">
        <v>231</v>
      </c>
      <c r="C67" s="128">
        <v>15</v>
      </c>
      <c r="D67" s="129">
        <v>15</v>
      </c>
      <c r="E67" s="6"/>
      <c r="F67" s="6"/>
      <c r="G67" s="6"/>
      <c r="H67" s="112"/>
      <c r="I67" s="112"/>
      <c r="J67" s="6"/>
      <c r="K67" s="6"/>
      <c r="L67" s="6"/>
      <c r="M67" s="5"/>
    </row>
    <row r="68" spans="1:13" ht="15">
      <c r="A68" s="6"/>
      <c r="B68" s="471" t="s">
        <v>379</v>
      </c>
      <c r="C68" s="6"/>
      <c r="D68" s="6"/>
      <c r="E68" s="6"/>
      <c r="F68" s="6"/>
      <c r="G68" s="6"/>
      <c r="H68" s="6"/>
      <c r="I68" s="6"/>
      <c r="J68" s="6"/>
      <c r="K68" s="6"/>
      <c r="L68" s="6"/>
      <c r="M68" s="6"/>
    </row>
    <row r="69" spans="1:24" ht="15.75" thickBot="1">
      <c r="A69" s="6"/>
      <c r="B69" s="6"/>
      <c r="C69" s="6"/>
      <c r="D69" s="6"/>
      <c r="E69" s="6"/>
      <c r="F69" s="6"/>
      <c r="G69" s="6"/>
      <c r="H69" s="6"/>
      <c r="I69" s="6"/>
      <c r="J69" s="6"/>
      <c r="K69" s="6"/>
      <c r="L69" s="130"/>
      <c r="M69" s="6"/>
      <c r="W69" s="10"/>
      <c r="X69" s="10"/>
    </row>
    <row r="70" spans="1:24" ht="19.5" thickBot="1">
      <c r="A70" s="6"/>
      <c r="B70" s="131" t="s">
        <v>232</v>
      </c>
      <c r="C70" s="132"/>
      <c r="D70" s="132"/>
      <c r="E70" s="132"/>
      <c r="F70" s="132"/>
      <c r="G70" s="132"/>
      <c r="H70" s="133" t="s">
        <v>233</v>
      </c>
      <c r="I70" s="132"/>
      <c r="J70" s="134"/>
      <c r="K70" s="134"/>
      <c r="L70" s="135"/>
      <c r="M70" s="136"/>
      <c r="N70" s="137"/>
      <c r="Q70" s="54"/>
      <c r="W70" s="10"/>
      <c r="X70" s="10"/>
    </row>
    <row r="71" spans="1:24" ht="18.75">
      <c r="A71" s="6"/>
      <c r="B71" s="138"/>
      <c r="C71" s="139"/>
      <c r="D71" s="139"/>
      <c r="E71" s="139"/>
      <c r="F71" s="139"/>
      <c r="G71" s="139"/>
      <c r="H71" s="139"/>
      <c r="I71" s="139"/>
      <c r="J71" s="139"/>
      <c r="K71" s="140"/>
      <c r="L71" s="140"/>
      <c r="M71" s="139"/>
      <c r="N71" s="137"/>
      <c r="Q71" s="54"/>
      <c r="W71" s="10"/>
      <c r="X71" s="10"/>
    </row>
    <row r="72" spans="1:24" ht="18.75">
      <c r="A72" s="6"/>
      <c r="B72" s="138" t="s">
        <v>234</v>
      </c>
      <c r="C72" s="139"/>
      <c r="D72" s="139"/>
      <c r="E72" s="139"/>
      <c r="F72" s="139"/>
      <c r="G72" s="139"/>
      <c r="H72" s="139"/>
      <c r="I72" s="139"/>
      <c r="J72" s="139"/>
      <c r="K72" s="140"/>
      <c r="L72" s="140"/>
      <c r="M72" s="139"/>
      <c r="N72" s="137"/>
      <c r="Q72" s="54"/>
      <c r="W72" s="10"/>
      <c r="X72" s="10"/>
    </row>
    <row r="73" spans="1:24" ht="15.75" thickBot="1">
      <c r="A73" s="6"/>
      <c r="B73" s="141"/>
      <c r="C73" s="142"/>
      <c r="D73" s="142"/>
      <c r="E73" s="142"/>
      <c r="F73" s="142"/>
      <c r="G73" s="142"/>
      <c r="H73" s="141"/>
      <c r="I73" s="142"/>
      <c r="J73" s="141"/>
      <c r="K73" s="141"/>
      <c r="L73" s="141"/>
      <c r="M73" s="141"/>
      <c r="N73" s="49"/>
      <c r="O73" s="10"/>
      <c r="P73" s="10"/>
      <c r="Q73" s="10"/>
      <c r="X73" s="10"/>
    </row>
    <row r="74" spans="1:17" ht="75">
      <c r="A74" s="6"/>
      <c r="B74" s="567"/>
      <c r="C74" s="567"/>
      <c r="D74" s="143" t="s">
        <v>235</v>
      </c>
      <c r="E74" s="144" t="s">
        <v>236</v>
      </c>
      <c r="F74" s="144" t="s">
        <v>237</v>
      </c>
      <c r="G74" s="145" t="s">
        <v>218</v>
      </c>
      <c r="H74" s="146"/>
      <c r="I74" s="147"/>
      <c r="J74" s="92"/>
      <c r="K74" s="141"/>
      <c r="L74" s="141"/>
      <c r="M74" s="141"/>
      <c r="N74" s="49"/>
      <c r="O74" s="10"/>
      <c r="P74" s="10"/>
      <c r="Q74" s="10"/>
    </row>
    <row r="75" spans="1:17" ht="15">
      <c r="A75" s="6"/>
      <c r="B75" s="568" t="s">
        <v>238</v>
      </c>
      <c r="C75" s="568"/>
      <c r="D75" s="149"/>
      <c r="E75" s="149">
        <v>0</v>
      </c>
      <c r="F75" s="149">
        <v>0</v>
      </c>
      <c r="G75" s="150">
        <f>SUM(D75:F75)</f>
        <v>0</v>
      </c>
      <c r="H75" s="96"/>
      <c r="I75" s="151"/>
      <c r="J75" s="151"/>
      <c r="K75" s="141"/>
      <c r="L75" s="141"/>
      <c r="M75" s="141"/>
      <c r="N75" s="49"/>
      <c r="O75" s="10"/>
      <c r="P75" s="10"/>
      <c r="Q75" s="10"/>
    </row>
    <row r="76" spans="1:17" ht="15.75" thickBot="1">
      <c r="A76" s="6"/>
      <c r="B76" s="569" t="s">
        <v>239</v>
      </c>
      <c r="C76" s="569"/>
      <c r="D76" s="153"/>
      <c r="E76" s="153">
        <v>0</v>
      </c>
      <c r="F76" s="153">
        <v>0</v>
      </c>
      <c r="G76" s="154">
        <f>SUM(D76:F76)</f>
        <v>0</v>
      </c>
      <c r="H76" s="96"/>
      <c r="I76" s="92"/>
      <c r="J76" s="92"/>
      <c r="K76" s="141"/>
      <c r="L76" s="141"/>
      <c r="M76" s="141"/>
      <c r="N76" s="10"/>
      <c r="O76" s="10"/>
      <c r="P76" s="10"/>
      <c r="Q76" s="10"/>
    </row>
    <row r="77" spans="1:17" ht="15">
      <c r="A77" s="6"/>
      <c r="B77" s="141"/>
      <c r="C77" s="141"/>
      <c r="D77" s="141"/>
      <c r="E77" s="141"/>
      <c r="F77" s="141"/>
      <c r="G77" s="141"/>
      <c r="H77" s="141"/>
      <c r="I77" s="141"/>
      <c r="J77" s="141"/>
      <c r="K77" s="141"/>
      <c r="L77" s="141"/>
      <c r="M77" s="141"/>
      <c r="N77" s="10"/>
      <c r="O77" s="10"/>
      <c r="P77" s="10"/>
      <c r="Q77" s="10"/>
    </row>
    <row r="78" spans="1:17" ht="15">
      <c r="A78" s="6"/>
      <c r="B78" s="141"/>
      <c r="C78" s="141"/>
      <c r="D78" s="141"/>
      <c r="E78" s="141"/>
      <c r="F78" s="141"/>
      <c r="G78" s="141"/>
      <c r="H78" s="141"/>
      <c r="I78" s="141"/>
      <c r="J78" s="141"/>
      <c r="K78" s="141"/>
      <c r="L78" s="141"/>
      <c r="M78" s="141"/>
      <c r="N78" s="10"/>
      <c r="Q78" s="10"/>
    </row>
    <row r="79" spans="1:17" ht="18.75">
      <c r="A79" s="6"/>
      <c r="B79" s="138" t="s">
        <v>240</v>
      </c>
      <c r="C79" s="141"/>
      <c r="D79" s="141"/>
      <c r="E79" s="141"/>
      <c r="F79" s="141"/>
      <c r="G79" s="141"/>
      <c r="H79" s="141"/>
      <c r="I79" s="141"/>
      <c r="J79" s="141"/>
      <c r="K79" s="141"/>
      <c r="L79" s="141"/>
      <c r="M79" s="141"/>
      <c r="N79" s="10"/>
      <c r="Q79" s="10"/>
    </row>
    <row r="80" spans="1:17" ht="15.75" thickBot="1">
      <c r="A80" s="6"/>
      <c r="B80" s="141"/>
      <c r="C80" s="141"/>
      <c r="D80" s="141"/>
      <c r="E80" s="141"/>
      <c r="F80" s="141"/>
      <c r="G80" s="141"/>
      <c r="H80" s="141"/>
      <c r="I80" s="141"/>
      <c r="J80" s="141"/>
      <c r="K80" s="141"/>
      <c r="L80" s="141"/>
      <c r="M80" s="141"/>
      <c r="N80" s="10"/>
      <c r="Q80" s="10"/>
    </row>
    <row r="81" spans="1:17" ht="15">
      <c r="A81" s="6"/>
      <c r="B81" s="155"/>
      <c r="C81" s="156" t="s">
        <v>241</v>
      </c>
      <c r="D81" s="156" t="s">
        <v>242</v>
      </c>
      <c r="E81" s="157" t="s">
        <v>243</v>
      </c>
      <c r="F81" s="92"/>
      <c r="G81" s="92"/>
      <c r="H81" s="92"/>
      <c r="I81" s="147"/>
      <c r="J81" s="141"/>
      <c r="K81" s="141"/>
      <c r="L81" s="141"/>
      <c r="M81" s="141"/>
      <c r="N81" s="10"/>
      <c r="Q81" s="10"/>
    </row>
    <row r="82" spans="1:17" ht="15.75" thickBot="1">
      <c r="A82" s="6"/>
      <c r="B82" s="152" t="s">
        <v>244</v>
      </c>
      <c r="C82" s="158">
        <v>6</v>
      </c>
      <c r="D82" s="158">
        <v>6</v>
      </c>
      <c r="E82" s="159">
        <f>+C82-D82</f>
        <v>0</v>
      </c>
      <c r="F82" s="160"/>
      <c r="G82" s="161"/>
      <c r="H82" s="92"/>
      <c r="I82" s="151"/>
      <c r="J82" s="141"/>
      <c r="K82" s="141"/>
      <c r="L82" s="141"/>
      <c r="M82" s="141"/>
      <c r="N82" s="10"/>
      <c r="Q82" s="10"/>
    </row>
    <row r="83" spans="1:17" ht="15">
      <c r="A83" s="6"/>
      <c r="B83" s="141"/>
      <c r="C83" s="141"/>
      <c r="D83" s="141"/>
      <c r="E83" s="141"/>
      <c r="F83" s="141"/>
      <c r="G83" s="141"/>
      <c r="H83" s="141"/>
      <c r="I83" s="141"/>
      <c r="J83" s="141"/>
      <c r="K83" s="141"/>
      <c r="L83" s="141"/>
      <c r="M83" s="141"/>
      <c r="N83" s="10"/>
      <c r="Q83" s="10"/>
    </row>
    <row r="84" spans="1:17" ht="18.75">
      <c r="A84" s="6"/>
      <c r="B84" s="138" t="s">
        <v>245</v>
      </c>
      <c r="C84" s="141"/>
      <c r="D84" s="141"/>
      <c r="E84" s="141"/>
      <c r="F84" s="141"/>
      <c r="G84" s="141"/>
      <c r="H84" s="141"/>
      <c r="I84" s="141"/>
      <c r="J84" s="141"/>
      <c r="K84" s="141"/>
      <c r="L84" s="141"/>
      <c r="M84" s="141"/>
      <c r="N84" s="10"/>
      <c r="Q84" s="10"/>
    </row>
    <row r="85" spans="1:17" ht="15.75" thickBot="1">
      <c r="A85" s="6"/>
      <c r="B85" s="141"/>
      <c r="C85" s="141"/>
      <c r="D85" s="141"/>
      <c r="E85" s="141"/>
      <c r="F85" s="141"/>
      <c r="G85" s="141"/>
      <c r="H85" s="141"/>
      <c r="I85" s="141"/>
      <c r="J85" s="141"/>
      <c r="K85" s="141"/>
      <c r="L85" s="141"/>
      <c r="M85" s="141"/>
      <c r="N85" s="10"/>
      <c r="Q85" s="10"/>
    </row>
    <row r="86" spans="1:17" ht="30">
      <c r="A86" s="6"/>
      <c r="B86" s="155"/>
      <c r="C86" s="156" t="s">
        <v>246</v>
      </c>
      <c r="D86" s="156" t="s">
        <v>247</v>
      </c>
      <c r="E86" s="156" t="s">
        <v>248</v>
      </c>
      <c r="F86" s="156" t="s">
        <v>249</v>
      </c>
      <c r="G86" s="162" t="s">
        <v>250</v>
      </c>
      <c r="H86" s="437"/>
      <c r="I86" s="147"/>
      <c r="J86" s="141"/>
      <c r="K86" s="141"/>
      <c r="L86" s="141"/>
      <c r="M86" s="141"/>
      <c r="N86" s="10"/>
      <c r="Q86" s="10"/>
    </row>
    <row r="87" spans="1:17" ht="15.75" thickBot="1">
      <c r="A87" s="6"/>
      <c r="B87" s="152" t="s">
        <v>251</v>
      </c>
      <c r="C87" s="158">
        <v>11</v>
      </c>
      <c r="D87" s="158">
        <v>11</v>
      </c>
      <c r="E87" s="158">
        <v>10</v>
      </c>
      <c r="F87" s="158">
        <v>8</v>
      </c>
      <c r="G87" s="163">
        <v>8</v>
      </c>
      <c r="H87" s="164"/>
      <c r="I87" s="96"/>
      <c r="J87" s="141"/>
      <c r="K87" s="141"/>
      <c r="L87" s="141"/>
      <c r="M87" s="141"/>
      <c r="N87" s="10"/>
      <c r="Q87" s="10"/>
    </row>
    <row r="88" spans="1:17" ht="15">
      <c r="A88" s="6"/>
      <c r="B88" s="141" t="s">
        <v>380</v>
      </c>
      <c r="C88" s="141"/>
      <c r="D88" s="141"/>
      <c r="E88" s="141"/>
      <c r="F88" s="141"/>
      <c r="G88" s="141"/>
      <c r="H88" s="141"/>
      <c r="J88" s="141"/>
      <c r="K88" s="141"/>
      <c r="L88" s="141"/>
      <c r="M88" s="141"/>
      <c r="N88" s="10"/>
      <c r="Q88" s="10"/>
    </row>
    <row r="89" spans="1:17" ht="18.75">
      <c r="A89" s="6"/>
      <c r="B89" s="138" t="s">
        <v>252</v>
      </c>
      <c r="C89" s="141"/>
      <c r="D89" s="141"/>
      <c r="E89" s="141"/>
      <c r="F89" s="141"/>
      <c r="G89" s="141"/>
      <c r="H89" s="141"/>
      <c r="I89" s="141"/>
      <c r="J89" s="141"/>
      <c r="K89" s="141"/>
      <c r="L89" s="141"/>
      <c r="M89" s="141"/>
      <c r="N89" s="10"/>
      <c r="Q89" s="10"/>
    </row>
    <row r="90" spans="1:17" ht="15.75" thickBot="1">
      <c r="A90" s="6"/>
      <c r="B90" s="141"/>
      <c r="C90" s="141"/>
      <c r="D90" s="141"/>
      <c r="E90" s="141"/>
      <c r="F90" s="141"/>
      <c r="G90" s="141"/>
      <c r="H90" s="141"/>
      <c r="I90" s="141"/>
      <c r="J90" s="141"/>
      <c r="K90" s="141"/>
      <c r="L90" s="141"/>
      <c r="M90" s="141"/>
      <c r="N90" s="10"/>
      <c r="Q90" s="10"/>
    </row>
    <row r="91" spans="1:30" ht="15">
      <c r="A91" s="6"/>
      <c r="B91" s="155"/>
      <c r="C91" s="165" t="s">
        <v>253</v>
      </c>
      <c r="D91" s="165" t="s">
        <v>254</v>
      </c>
      <c r="E91" s="166" t="s">
        <v>255</v>
      </c>
      <c r="F91" s="141"/>
      <c r="G91" s="141"/>
      <c r="H91" s="141"/>
      <c r="I91" s="141"/>
      <c r="J91" s="10"/>
      <c r="K91" s="10"/>
      <c r="L91" s="10"/>
      <c r="N91"/>
      <c r="AA91" s="5"/>
      <c r="AD91"/>
    </row>
    <row r="92" spans="1:30" ht="15">
      <c r="A92" s="6"/>
      <c r="B92" s="148" t="s">
        <v>256</v>
      </c>
      <c r="C92" s="149">
        <v>0</v>
      </c>
      <c r="D92" s="167">
        <v>0</v>
      </c>
      <c r="E92" s="168">
        <f>C92-D92</f>
        <v>0</v>
      </c>
      <c r="F92" s="141"/>
      <c r="G92" s="141"/>
      <c r="H92" s="141"/>
      <c r="I92" s="141"/>
      <c r="J92" s="10"/>
      <c r="K92" s="10"/>
      <c r="L92" s="10"/>
      <c r="N92"/>
      <c r="AA92" s="5"/>
      <c r="AD92"/>
    </row>
    <row r="93" spans="1:30" ht="15.75" thickBot="1">
      <c r="A93" s="6"/>
      <c r="B93" s="152" t="s">
        <v>321</v>
      </c>
      <c r="C93" s="153">
        <v>16</v>
      </c>
      <c r="D93" s="169">
        <v>16</v>
      </c>
      <c r="E93" s="168">
        <f>C93-D93</f>
        <v>0</v>
      </c>
      <c r="F93" s="141"/>
      <c r="G93" s="141"/>
      <c r="H93" s="141"/>
      <c r="I93" s="141"/>
      <c r="J93" s="10"/>
      <c r="K93" s="10"/>
      <c r="L93" s="10"/>
      <c r="N93"/>
      <c r="AA93" s="5"/>
      <c r="AD93"/>
    </row>
    <row r="94" spans="1:17" ht="15">
      <c r="A94" s="6"/>
      <c r="B94" s="141" t="s">
        <v>381</v>
      </c>
      <c r="C94" s="141"/>
      <c r="D94" s="141"/>
      <c r="E94" s="141"/>
      <c r="F94" s="141"/>
      <c r="G94" s="141"/>
      <c r="H94" s="141"/>
      <c r="I94" s="141"/>
      <c r="J94" s="141"/>
      <c r="K94" s="141"/>
      <c r="L94" s="141"/>
      <c r="M94" s="141"/>
      <c r="N94" s="10"/>
      <c r="Q94" s="10"/>
    </row>
    <row r="95" spans="1:17" ht="15">
      <c r="A95" s="6"/>
      <c r="B95" s="141"/>
      <c r="C95" s="141"/>
      <c r="D95" s="141"/>
      <c r="E95" s="141"/>
      <c r="F95" s="141"/>
      <c r="G95" s="141"/>
      <c r="H95" s="141"/>
      <c r="I95" s="141"/>
      <c r="J95" s="141"/>
      <c r="K95" s="141"/>
      <c r="L95" s="141"/>
      <c r="M95" s="141"/>
      <c r="N95" s="10"/>
      <c r="Q95" s="10"/>
    </row>
    <row r="96" spans="1:17" ht="18.75">
      <c r="A96" s="6"/>
      <c r="B96" s="138" t="s">
        <v>257</v>
      </c>
      <c r="C96" s="141"/>
      <c r="D96" s="141"/>
      <c r="E96" s="141"/>
      <c r="F96" s="141"/>
      <c r="G96" s="141"/>
      <c r="H96" s="141"/>
      <c r="I96" s="141"/>
      <c r="J96" s="141"/>
      <c r="K96" s="141"/>
      <c r="L96" s="141"/>
      <c r="M96" s="141"/>
      <c r="N96" s="10"/>
      <c r="Q96" s="10"/>
    </row>
    <row r="97" spans="1:17" ht="15.75" thickBot="1">
      <c r="A97" s="6"/>
      <c r="B97" s="141"/>
      <c r="C97" s="141"/>
      <c r="D97" s="141"/>
      <c r="E97" s="141"/>
      <c r="F97" s="141"/>
      <c r="G97" s="141"/>
      <c r="H97" s="141"/>
      <c r="I97" s="92"/>
      <c r="J97" s="92"/>
      <c r="K97" s="92"/>
      <c r="L97" s="92"/>
      <c r="M97" s="92"/>
      <c r="N97" s="49"/>
      <c r="Q97" s="10"/>
    </row>
    <row r="98" spans="1:17" ht="15">
      <c r="A98" s="6"/>
      <c r="B98" s="170"/>
      <c r="C98" s="171" t="s">
        <v>16</v>
      </c>
      <c r="D98" s="171" t="s">
        <v>17</v>
      </c>
      <c r="E98" s="171" t="s">
        <v>18</v>
      </c>
      <c r="F98" s="171" t="s">
        <v>19</v>
      </c>
      <c r="G98" s="171" t="s">
        <v>20</v>
      </c>
      <c r="H98" s="171" t="s">
        <v>21</v>
      </c>
      <c r="I98" s="171" t="s">
        <v>22</v>
      </c>
      <c r="J98" s="171" t="s">
        <v>23</v>
      </c>
      <c r="K98" s="171" t="s">
        <v>208</v>
      </c>
      <c r="L98" s="171" t="s">
        <v>209</v>
      </c>
      <c r="M98" s="171" t="s">
        <v>210</v>
      </c>
      <c r="N98" s="172" t="s">
        <v>192</v>
      </c>
      <c r="Q98" s="10"/>
    </row>
    <row r="99" spans="1:17" ht="15" customHeight="1">
      <c r="A99" s="6"/>
      <c r="B99" s="173" t="s">
        <v>258</v>
      </c>
      <c r="C99" s="174">
        <v>0</v>
      </c>
      <c r="D99" s="174">
        <v>160268</v>
      </c>
      <c r="E99" s="174">
        <v>0</v>
      </c>
      <c r="F99" s="174">
        <v>1029828</v>
      </c>
      <c r="G99" s="174">
        <v>12000</v>
      </c>
      <c r="H99" s="174"/>
      <c r="I99" s="174"/>
      <c r="J99" s="174"/>
      <c r="K99" s="175"/>
      <c r="L99" s="175"/>
      <c r="M99" s="175"/>
      <c r="N99" s="175"/>
      <c r="Q99" s="10"/>
    </row>
    <row r="100" spans="1:17" ht="15" customHeight="1">
      <c r="A100" s="6"/>
      <c r="B100" s="173" t="s">
        <v>259</v>
      </c>
      <c r="C100" s="174">
        <v>0</v>
      </c>
      <c r="D100" s="174">
        <v>0</v>
      </c>
      <c r="E100" s="174">
        <v>0</v>
      </c>
      <c r="F100" s="174">
        <v>48622</v>
      </c>
      <c r="G100" s="174"/>
      <c r="H100" s="174"/>
      <c r="I100" s="174"/>
      <c r="J100" s="174"/>
      <c r="K100" s="175"/>
      <c r="L100" s="175"/>
      <c r="M100" s="175"/>
      <c r="N100" s="175"/>
      <c r="Q100" s="10"/>
    </row>
    <row r="101" spans="1:17" ht="15" customHeight="1">
      <c r="A101" s="6"/>
      <c r="B101" s="173" t="s">
        <v>260</v>
      </c>
      <c r="C101" s="174"/>
      <c r="D101" s="174">
        <v>160268</v>
      </c>
      <c r="E101" s="174">
        <v>0</v>
      </c>
      <c r="F101" s="174">
        <v>696105</v>
      </c>
      <c r="G101" s="174">
        <v>62223</v>
      </c>
      <c r="H101" s="174"/>
      <c r="I101" s="174"/>
      <c r="J101" s="174"/>
      <c r="K101" s="175"/>
      <c r="L101" s="175"/>
      <c r="M101" s="175"/>
      <c r="N101" s="175"/>
      <c r="Q101" s="10"/>
    </row>
    <row r="102" spans="1:17" ht="15" customHeight="1">
      <c r="A102" s="6"/>
      <c r="B102" s="176" t="s">
        <v>261</v>
      </c>
      <c r="C102" s="177">
        <f>+C99</f>
        <v>0</v>
      </c>
      <c r="D102" s="177">
        <f>+C102+D99</f>
        <v>160268</v>
      </c>
      <c r="E102" s="177">
        <f aca="true" t="shared" si="4" ref="E102:L102">+D102+E99</f>
        <v>160268</v>
      </c>
      <c r="F102" s="177">
        <f t="shared" si="4"/>
        <v>1190096</v>
      </c>
      <c r="G102" s="177">
        <f t="shared" si="4"/>
        <v>1202096</v>
      </c>
      <c r="H102" s="177">
        <f t="shared" si="4"/>
        <v>1202096</v>
      </c>
      <c r="I102" s="177">
        <f t="shared" si="4"/>
        <v>1202096</v>
      </c>
      <c r="J102" s="177">
        <f t="shared" si="4"/>
        <v>1202096</v>
      </c>
      <c r="K102" s="177">
        <f t="shared" si="4"/>
        <v>1202096</v>
      </c>
      <c r="L102" s="177">
        <f t="shared" si="4"/>
        <v>1202096</v>
      </c>
      <c r="M102" s="178">
        <f aca="true" t="shared" si="5" ref="M102:N104">+L102+M99</f>
        <v>1202096</v>
      </c>
      <c r="N102" s="178">
        <f t="shared" si="5"/>
        <v>1202096</v>
      </c>
      <c r="Q102" s="10"/>
    </row>
    <row r="103" spans="1:17" ht="15" customHeight="1">
      <c r="A103" s="6"/>
      <c r="B103" s="176" t="s">
        <v>262</v>
      </c>
      <c r="C103" s="177">
        <f>+C100</f>
        <v>0</v>
      </c>
      <c r="D103" s="177">
        <f aca="true" t="shared" si="6" ref="D103:L103">+C103+D100</f>
        <v>0</v>
      </c>
      <c r="E103" s="177">
        <f>+D103+E100</f>
        <v>0</v>
      </c>
      <c r="F103" s="177">
        <f t="shared" si="6"/>
        <v>48622</v>
      </c>
      <c r="G103" s="177">
        <f t="shared" si="6"/>
        <v>48622</v>
      </c>
      <c r="H103" s="177">
        <f t="shared" si="6"/>
        <v>48622</v>
      </c>
      <c r="I103" s="177">
        <f t="shared" si="6"/>
        <v>48622</v>
      </c>
      <c r="J103" s="177">
        <f t="shared" si="6"/>
        <v>48622</v>
      </c>
      <c r="K103" s="177">
        <f t="shared" si="6"/>
        <v>48622</v>
      </c>
      <c r="L103" s="177">
        <f t="shared" si="6"/>
        <v>48622</v>
      </c>
      <c r="M103" s="178">
        <f t="shared" si="5"/>
        <v>48622</v>
      </c>
      <c r="N103" s="178">
        <f t="shared" si="5"/>
        <v>48622</v>
      </c>
      <c r="Q103" s="10"/>
    </row>
    <row r="104" spans="1:17" ht="15">
      <c r="A104" s="6"/>
      <c r="B104" s="179" t="s">
        <v>263</v>
      </c>
      <c r="C104" s="180">
        <f>+C101</f>
        <v>0</v>
      </c>
      <c r="D104" s="177">
        <f aca="true" t="shared" si="7" ref="D104:L104">+C104+D101</f>
        <v>160268</v>
      </c>
      <c r="E104" s="177">
        <f t="shared" si="7"/>
        <v>160268</v>
      </c>
      <c r="F104" s="177">
        <f t="shared" si="7"/>
        <v>856373</v>
      </c>
      <c r="G104" s="177">
        <f t="shared" si="7"/>
        <v>918596</v>
      </c>
      <c r="H104" s="177">
        <f t="shared" si="7"/>
        <v>918596</v>
      </c>
      <c r="I104" s="177">
        <f t="shared" si="7"/>
        <v>918596</v>
      </c>
      <c r="J104" s="177">
        <f t="shared" si="7"/>
        <v>918596</v>
      </c>
      <c r="K104" s="177">
        <f t="shared" si="7"/>
        <v>918596</v>
      </c>
      <c r="L104" s="177">
        <f t="shared" si="7"/>
        <v>918596</v>
      </c>
      <c r="M104" s="178">
        <f t="shared" si="5"/>
        <v>918596</v>
      </c>
      <c r="N104" s="178">
        <f t="shared" si="5"/>
        <v>918596</v>
      </c>
      <c r="Q104" s="10"/>
    </row>
    <row r="105" spans="1:17" ht="11.25" customHeight="1">
      <c r="A105" s="6"/>
      <c r="B105" s="6"/>
      <c r="C105" s="141"/>
      <c r="D105" s="141"/>
      <c r="E105" s="438"/>
      <c r="F105" s="141"/>
      <c r="G105" s="141"/>
      <c r="H105" s="141"/>
      <c r="I105" s="92"/>
      <c r="J105" s="181"/>
      <c r="K105" s="182"/>
      <c r="L105" s="92"/>
      <c r="M105" s="183"/>
      <c r="N105" s="49"/>
      <c r="Q105" s="10"/>
    </row>
    <row r="106" spans="1:17" ht="15">
      <c r="A106" s="6"/>
      <c r="B106" s="184" t="s">
        <v>382</v>
      </c>
      <c r="C106" s="141"/>
      <c r="D106" s="141"/>
      <c r="E106" s="141"/>
      <c r="F106" s="141"/>
      <c r="G106" s="141"/>
      <c r="H106" s="141"/>
      <c r="I106" s="92"/>
      <c r="J106" s="181"/>
      <c r="K106" s="182"/>
      <c r="L106" s="92"/>
      <c r="M106" s="183"/>
      <c r="N106" s="49"/>
      <c r="Q106" s="10"/>
    </row>
    <row r="107" spans="1:17" ht="15">
      <c r="A107" s="6"/>
      <c r="B107" s="5"/>
      <c r="C107" s="141"/>
      <c r="D107" s="141"/>
      <c r="E107" s="141"/>
      <c r="F107" s="141"/>
      <c r="G107" s="141"/>
      <c r="H107" s="141"/>
      <c r="I107" s="92"/>
      <c r="J107" s="181"/>
      <c r="K107" s="183"/>
      <c r="L107" s="92"/>
      <c r="M107" s="183"/>
      <c r="N107" s="49"/>
      <c r="Q107" s="10"/>
    </row>
    <row r="108" spans="1:14" ht="15">
      <c r="A108" s="6"/>
      <c r="B108" s="6"/>
      <c r="C108" s="6"/>
      <c r="D108" s="6"/>
      <c r="E108" s="6"/>
      <c r="F108" s="6"/>
      <c r="G108" s="6"/>
      <c r="H108" s="6"/>
      <c r="I108" s="92"/>
      <c r="J108" s="92"/>
      <c r="K108" s="92"/>
      <c r="L108" s="92"/>
      <c r="M108" s="92"/>
      <c r="N108" s="49"/>
    </row>
    <row r="109" spans="1:14" ht="18.75">
      <c r="A109" s="6"/>
      <c r="B109" s="138" t="s">
        <v>264</v>
      </c>
      <c r="C109" s="6"/>
      <c r="D109" s="6"/>
      <c r="E109" s="6"/>
      <c r="F109" s="6"/>
      <c r="G109" s="6"/>
      <c r="H109" s="6"/>
      <c r="I109" s="92"/>
      <c r="J109" s="92"/>
      <c r="K109" s="92"/>
      <c r="L109" s="92"/>
      <c r="M109" s="92"/>
      <c r="N109" s="49"/>
    </row>
    <row r="110" spans="1:17" ht="15.75" thickBot="1">
      <c r="A110" s="6"/>
      <c r="B110" s="6"/>
      <c r="C110" s="92"/>
      <c r="D110" s="92"/>
      <c r="E110" s="92"/>
      <c r="F110" s="92"/>
      <c r="G110" s="141"/>
      <c r="H110" s="141"/>
      <c r="I110" s="141"/>
      <c r="J110" s="92"/>
      <c r="K110" s="141"/>
      <c r="L110" s="92"/>
      <c r="M110" s="92"/>
      <c r="N110" s="49"/>
      <c r="O110" s="10"/>
      <c r="Q110" s="49"/>
    </row>
    <row r="111" spans="1:16" ht="121.5" customHeight="1">
      <c r="A111" s="6"/>
      <c r="B111" s="446" t="s">
        <v>265</v>
      </c>
      <c r="C111" s="447" t="s">
        <v>266</v>
      </c>
      <c r="D111" s="448" t="s">
        <v>363</v>
      </c>
      <c r="E111" s="448" t="s">
        <v>367</v>
      </c>
      <c r="F111" s="449" t="s">
        <v>368</v>
      </c>
      <c r="G111" s="486" t="s">
        <v>369</v>
      </c>
      <c r="H111" s="472" t="s">
        <v>341</v>
      </c>
      <c r="I111" s="449" t="s">
        <v>370</v>
      </c>
      <c r="J111" s="472" t="s">
        <v>343</v>
      </c>
      <c r="K111" s="473" t="s">
        <v>267</v>
      </c>
      <c r="L111" s="141"/>
      <c r="M111" s="49"/>
      <c r="N111" s="49"/>
      <c r="P111" s="49"/>
    </row>
    <row r="112" spans="1:16" ht="29.25" customHeight="1" thickBot="1">
      <c r="A112" s="6"/>
      <c r="B112" s="640" t="s">
        <v>45</v>
      </c>
      <c r="C112" s="442" t="s">
        <v>346</v>
      </c>
      <c r="D112" s="440">
        <v>60</v>
      </c>
      <c r="E112" s="440">
        <v>120</v>
      </c>
      <c r="F112" s="497">
        <v>8914</v>
      </c>
      <c r="G112" s="498">
        <v>526507</v>
      </c>
      <c r="H112" s="575">
        <v>4550112</v>
      </c>
      <c r="I112" s="578">
        <f>IF(AND((G112+G113+G114)&gt;0,H112&gt;0),H112/(G112+G113+G114),"")*6</f>
        <v>8.813156007099419</v>
      </c>
      <c r="J112" s="581">
        <v>5</v>
      </c>
      <c r="K112" s="584">
        <f>IF(AND(I112&gt;0,J112&gt;0),I112-J112,"")</f>
        <v>3.813156007099419</v>
      </c>
      <c r="L112" s="551"/>
      <c r="M112" s="551"/>
      <c r="N112" s="49"/>
      <c r="P112" s="49"/>
    </row>
    <row r="113" spans="1:16" ht="30.75" thickBot="1">
      <c r="A113" s="6"/>
      <c r="B113" s="640"/>
      <c r="C113" s="442" t="s">
        <v>347</v>
      </c>
      <c r="D113" s="440">
        <v>288</v>
      </c>
      <c r="E113" s="440">
        <v>576</v>
      </c>
      <c r="F113" s="497">
        <v>7794</v>
      </c>
      <c r="G113" s="498">
        <v>2494216</v>
      </c>
      <c r="H113" s="576"/>
      <c r="I113" s="579" t="e">
        <f>IF(AND(G113&gt;0,H113&gt;0),H113/G113,"")*12</f>
        <v>#VALUE!</v>
      </c>
      <c r="J113" s="582"/>
      <c r="K113" s="585"/>
      <c r="L113" s="551"/>
      <c r="M113" s="551"/>
      <c r="N113" s="49"/>
      <c r="P113" s="49"/>
    </row>
    <row r="114" spans="1:16" ht="31.5" customHeight="1" thickBot="1">
      <c r="A114" s="6"/>
      <c r="B114" s="640"/>
      <c r="C114" s="442" t="s">
        <v>348</v>
      </c>
      <c r="D114" s="440">
        <v>72</v>
      </c>
      <c r="E114" s="440">
        <v>144</v>
      </c>
      <c r="F114" s="497">
        <v>1023</v>
      </c>
      <c r="G114" s="498">
        <v>76995</v>
      </c>
      <c r="H114" s="577"/>
      <c r="I114" s="580" t="e">
        <f>IF(AND(G114&gt;0,H114&gt;0),H114/G114,"")*12</f>
        <v>#VALUE!</v>
      </c>
      <c r="J114" s="583"/>
      <c r="K114" s="586"/>
      <c r="L114" s="551"/>
      <c r="M114" s="551"/>
      <c r="N114" s="49"/>
      <c r="P114" s="49"/>
    </row>
    <row r="115" spans="1:14" ht="30.75" thickBot="1">
      <c r="A115" s="6"/>
      <c r="B115" s="640"/>
      <c r="C115" s="442" t="s">
        <v>331</v>
      </c>
      <c r="D115" s="483">
        <v>9</v>
      </c>
      <c r="E115" s="440">
        <v>18</v>
      </c>
      <c r="F115" s="497">
        <v>7794</v>
      </c>
      <c r="G115" s="498">
        <v>76980</v>
      </c>
      <c r="H115" s="499">
        <v>167200</v>
      </c>
      <c r="I115" s="500">
        <f>IF(AND(G115&gt;0,H115&gt;0),H115/G115,"")*6</f>
        <v>13.0319563522993</v>
      </c>
      <c r="J115" s="501">
        <v>5</v>
      </c>
      <c r="K115" s="502">
        <f>IF(AND(I115&gt;0,J115&gt;0),I115-J115,"")</f>
        <v>8.0319563522993</v>
      </c>
      <c r="L115" s="141"/>
      <c r="M115" s="49"/>
      <c r="N115" s="49"/>
    </row>
    <row r="116" spans="1:14" ht="15.75" thickBot="1">
      <c r="A116" s="6"/>
      <c r="B116" s="640"/>
      <c r="C116" s="442" t="s">
        <v>349</v>
      </c>
      <c r="D116" s="440"/>
      <c r="E116" s="440">
        <v>1</v>
      </c>
      <c r="F116" s="497">
        <v>6002</v>
      </c>
      <c r="G116" s="503">
        <f>IF(AND(E116&gt;0,F116&gt;0),(F116*E116),"")</f>
        <v>6002</v>
      </c>
      <c r="H116" s="499">
        <v>7441</v>
      </c>
      <c r="I116" s="500">
        <f>IF(AND(G116&gt;0,H116&gt;0),H116/G116,"")*12</f>
        <v>14.877040986337889</v>
      </c>
      <c r="J116" s="501">
        <v>5</v>
      </c>
      <c r="K116" s="502">
        <f>IF(AND(I116&gt;0,J116&gt;0),I116-J116,"")</f>
        <v>9.877040986337889</v>
      </c>
      <c r="L116" s="141"/>
      <c r="M116" s="49"/>
      <c r="N116" s="49"/>
    </row>
    <row r="117" spans="1:16" ht="15.75" thickBot="1">
      <c r="A117" s="6"/>
      <c r="B117" s="640"/>
      <c r="C117" s="443" t="s">
        <v>344</v>
      </c>
      <c r="D117" s="440">
        <v>4</v>
      </c>
      <c r="E117" s="440">
        <v>9</v>
      </c>
      <c r="F117" s="497">
        <v>7794</v>
      </c>
      <c r="G117" s="498">
        <v>47123</v>
      </c>
      <c r="H117" s="499">
        <v>113000</v>
      </c>
      <c r="I117" s="500">
        <f>IF(AND(G117&gt;0,H117&gt;0),H117/G117,"")*6</f>
        <v>14.387878530653822</v>
      </c>
      <c r="J117" s="501">
        <v>5</v>
      </c>
      <c r="K117" s="502">
        <f>IF(AND(I117&gt;0,J117&gt;0),I117-J117,"")</f>
        <v>9.387878530653822</v>
      </c>
      <c r="L117" s="141"/>
      <c r="M117" s="49"/>
      <c r="N117" s="49"/>
      <c r="P117" s="49"/>
    </row>
    <row r="118" spans="1:16" ht="30.75" thickBot="1">
      <c r="A118" s="6"/>
      <c r="B118" s="640"/>
      <c r="C118" s="444" t="s">
        <v>350</v>
      </c>
      <c r="D118" s="440">
        <v>2</v>
      </c>
      <c r="E118" s="440">
        <v>5</v>
      </c>
      <c r="F118" s="497">
        <v>8914</v>
      </c>
      <c r="G118" s="498">
        <v>24919</v>
      </c>
      <c r="H118" s="638">
        <v>132300</v>
      </c>
      <c r="I118" s="578">
        <f>IF(AND((G118+G119+G120)&gt;0,H118&gt;0),H118/(G118+G119+G120),"")*6</f>
        <v>16.726368578532597</v>
      </c>
      <c r="J118" s="639">
        <v>5</v>
      </c>
      <c r="K118" s="584">
        <f>IF(AND(I118&gt;0,J118&gt;0),I118-J118,"")</f>
        <v>11.726368578532597</v>
      </c>
      <c r="L118" s="141"/>
      <c r="M118" s="49"/>
      <c r="N118" s="49"/>
      <c r="P118" s="49"/>
    </row>
    <row r="119" spans="1:16" ht="33" customHeight="1" thickBot="1">
      <c r="A119" s="6"/>
      <c r="B119" s="640"/>
      <c r="C119" s="444" t="s">
        <v>351</v>
      </c>
      <c r="D119" s="440">
        <v>2</v>
      </c>
      <c r="E119" s="441">
        <v>4</v>
      </c>
      <c r="F119" s="497">
        <v>7794</v>
      </c>
      <c r="G119" s="498">
        <v>19331</v>
      </c>
      <c r="H119" s="576"/>
      <c r="I119" s="579" t="e">
        <f>IF(AND(G119&gt;0,H119&gt;0),H119/G119,"")*12</f>
        <v>#VALUE!</v>
      </c>
      <c r="J119" s="582"/>
      <c r="K119" s="585"/>
      <c r="L119" s="141"/>
      <c r="M119" s="439"/>
      <c r="N119" s="49"/>
      <c r="P119" s="49"/>
    </row>
    <row r="120" spans="1:16" ht="30.75" thickBot="1">
      <c r="A120" s="6"/>
      <c r="B120" s="640"/>
      <c r="C120" s="444" t="s">
        <v>352</v>
      </c>
      <c r="D120" s="440">
        <v>3</v>
      </c>
      <c r="E120" s="441">
        <v>6</v>
      </c>
      <c r="F120" s="497">
        <v>1023</v>
      </c>
      <c r="G120" s="498">
        <v>3208</v>
      </c>
      <c r="H120" s="576"/>
      <c r="I120" s="579" t="e">
        <f>IF(AND(G120&gt;0,H120&gt;0),H120/G120,"")*12</f>
        <v>#VALUE!</v>
      </c>
      <c r="J120" s="582"/>
      <c r="K120" s="585"/>
      <c r="L120" s="141"/>
      <c r="M120" s="49"/>
      <c r="N120" s="49"/>
      <c r="P120" s="49"/>
    </row>
    <row r="121" spans="1:16" ht="30.75" thickBot="1">
      <c r="A121" s="6"/>
      <c r="B121" s="640"/>
      <c r="C121" s="445" t="s">
        <v>353</v>
      </c>
      <c r="D121" s="440">
        <v>4</v>
      </c>
      <c r="E121" s="441">
        <v>8</v>
      </c>
      <c r="F121" s="497">
        <v>8914</v>
      </c>
      <c r="G121" s="498">
        <v>46014</v>
      </c>
      <c r="H121" s="629">
        <v>199800</v>
      </c>
      <c r="I121" s="631">
        <f>IF(AND((G121+G122+G123)&gt;0,H121&gt;0),H121/(G121+G122+G123),"")*6</f>
        <v>12.492314746308473</v>
      </c>
      <c r="J121" s="633">
        <v>5</v>
      </c>
      <c r="K121" s="635">
        <f>IF(AND(I121&gt;0,J121&gt;0),I121-J121,"")</f>
        <v>7.492314746308473</v>
      </c>
      <c r="L121" s="141"/>
      <c r="M121" s="49"/>
      <c r="N121" s="49"/>
      <c r="P121" s="49"/>
    </row>
    <row r="122" spans="1:16" ht="30.75" thickBot="1">
      <c r="A122" s="6"/>
      <c r="B122" s="640"/>
      <c r="C122" s="445" t="s">
        <v>354</v>
      </c>
      <c r="D122" s="440">
        <v>4</v>
      </c>
      <c r="E122" s="441">
        <v>9</v>
      </c>
      <c r="F122" s="497">
        <v>7794</v>
      </c>
      <c r="G122" s="498">
        <v>44168</v>
      </c>
      <c r="H122" s="629"/>
      <c r="I122" s="631"/>
      <c r="J122" s="633"/>
      <c r="K122" s="635"/>
      <c r="L122" s="141"/>
      <c r="M122" s="49"/>
      <c r="N122" s="49"/>
      <c r="P122" s="49"/>
    </row>
    <row r="123" spans="1:16" ht="30.75" thickBot="1">
      <c r="A123" s="6"/>
      <c r="B123" s="641"/>
      <c r="C123" s="450" t="s">
        <v>355</v>
      </c>
      <c r="D123" s="451">
        <v>4</v>
      </c>
      <c r="E123" s="451">
        <v>9</v>
      </c>
      <c r="F123" s="504">
        <v>1023</v>
      </c>
      <c r="G123" s="505">
        <v>5781</v>
      </c>
      <c r="H123" s="630"/>
      <c r="I123" s="632"/>
      <c r="J123" s="634"/>
      <c r="K123" s="636"/>
      <c r="L123" s="141"/>
      <c r="M123" s="49"/>
      <c r="N123" s="49"/>
      <c r="P123" s="49"/>
    </row>
    <row r="124" spans="1:17" ht="15">
      <c r="A124" s="6"/>
      <c r="B124" s="493" t="s">
        <v>371</v>
      </c>
      <c r="C124" s="493"/>
      <c r="D124" s="185"/>
      <c r="E124" s="6"/>
      <c r="F124" s="6"/>
      <c r="G124" s="141"/>
      <c r="H124" s="141"/>
      <c r="I124" s="141"/>
      <c r="J124" s="6"/>
      <c r="K124" s="6"/>
      <c r="L124" s="141"/>
      <c r="M124" s="141"/>
      <c r="N124" s="49"/>
      <c r="O124" s="10"/>
      <c r="Q124" s="49"/>
    </row>
    <row r="125" spans="1:13" ht="35.25" customHeight="1">
      <c r="A125" s="6"/>
      <c r="B125" s="637" t="s">
        <v>372</v>
      </c>
      <c r="C125" s="637"/>
      <c r="L125" s="6"/>
      <c r="M125" s="6"/>
    </row>
    <row r="126" spans="1:15" ht="19.5" thickBot="1">
      <c r="A126" s="6"/>
      <c r="B126" s="186" t="s">
        <v>272</v>
      </c>
      <c r="C126" s="187"/>
      <c r="D126" s="187"/>
      <c r="E126" s="188"/>
      <c r="F126" s="188"/>
      <c r="G126" s="188"/>
      <c r="H126" s="189"/>
      <c r="I126" s="190"/>
      <c r="J126" s="191"/>
      <c r="K126" s="192" t="s">
        <v>273</v>
      </c>
      <c r="L126" s="188"/>
      <c r="M126" s="193"/>
      <c r="N126" s="194"/>
      <c r="O126" s="5"/>
    </row>
    <row r="127" spans="1:15" ht="15.75" thickBot="1">
      <c r="A127" s="6"/>
      <c r="B127" s="6"/>
      <c r="C127" s="6"/>
      <c r="D127" s="6"/>
      <c r="E127" s="6"/>
      <c r="F127" s="6"/>
      <c r="G127" s="6"/>
      <c r="H127" s="6"/>
      <c r="I127" s="6"/>
      <c r="J127" s="6"/>
      <c r="K127" s="6"/>
      <c r="L127" s="6"/>
      <c r="M127" s="6"/>
      <c r="N127"/>
      <c r="O127" s="5"/>
    </row>
    <row r="128" spans="1:17" ht="25.5">
      <c r="A128" s="6"/>
      <c r="B128" s="574" t="s">
        <v>274</v>
      </c>
      <c r="C128" s="574"/>
      <c r="D128" s="574"/>
      <c r="E128" s="195" t="s">
        <v>275</v>
      </c>
      <c r="F128" s="196" t="s">
        <v>276</v>
      </c>
      <c r="G128" s="197"/>
      <c r="H128" s="198" t="s">
        <v>16</v>
      </c>
      <c r="I128" s="198" t="s">
        <v>17</v>
      </c>
      <c r="J128" s="198" t="s">
        <v>18</v>
      </c>
      <c r="K128" s="198" t="s">
        <v>19</v>
      </c>
      <c r="L128" s="198" t="s">
        <v>20</v>
      </c>
      <c r="M128" s="198" t="s">
        <v>21</v>
      </c>
      <c r="N128" s="198" t="s">
        <v>22</v>
      </c>
      <c r="O128" s="198" t="s">
        <v>23</v>
      </c>
      <c r="P128" s="198" t="s">
        <v>208</v>
      </c>
      <c r="Q128" s="198" t="s">
        <v>209</v>
      </c>
    </row>
    <row r="129" spans="1:17" ht="15">
      <c r="A129" s="6"/>
      <c r="B129" s="199"/>
      <c r="C129" s="200"/>
      <c r="D129" s="200"/>
      <c r="E129" s="201"/>
      <c r="F129" s="202"/>
      <c r="G129" s="203"/>
      <c r="H129" s="407"/>
      <c r="I129" s="407"/>
      <c r="J129" s="407"/>
      <c r="K129" s="407"/>
      <c r="L129" s="407"/>
      <c r="M129" s="407"/>
      <c r="N129" s="407"/>
      <c r="O129" s="407"/>
      <c r="P129" s="407"/>
      <c r="Q129" s="408"/>
    </row>
    <row r="130" spans="1:17" ht="15" customHeight="1">
      <c r="A130" s="587" t="s">
        <v>277</v>
      </c>
      <c r="B130" s="588" t="s">
        <v>323</v>
      </c>
      <c r="C130" s="589"/>
      <c r="D130" s="590"/>
      <c r="E130" s="594" t="s">
        <v>329</v>
      </c>
      <c r="F130" s="596" t="s">
        <v>278</v>
      </c>
      <c r="G130" s="416" t="s">
        <v>279</v>
      </c>
      <c r="H130" s="204">
        <v>1558</v>
      </c>
      <c r="I130" s="204">
        <v>2336</v>
      </c>
      <c r="J130" s="204">
        <v>2878</v>
      </c>
      <c r="K130" s="410">
        <v>6254</v>
      </c>
      <c r="L130" s="205">
        <v>6923</v>
      </c>
      <c r="M130" s="409">
        <v>6922</v>
      </c>
      <c r="N130" s="418"/>
      <c r="O130" s="418"/>
      <c r="P130" s="411"/>
      <c r="Q130" s="411"/>
    </row>
    <row r="131" spans="1:17" ht="15">
      <c r="A131" s="587"/>
      <c r="B131" s="591"/>
      <c r="C131" s="592"/>
      <c r="D131" s="593"/>
      <c r="E131" s="595"/>
      <c r="F131" s="597"/>
      <c r="G131" s="416" t="s">
        <v>280</v>
      </c>
      <c r="H131" s="204">
        <v>155</v>
      </c>
      <c r="I131" s="204">
        <v>3973</v>
      </c>
      <c r="J131" s="204">
        <v>3198</v>
      </c>
      <c r="K131" s="410">
        <v>6892</v>
      </c>
      <c r="L131" s="204">
        <v>6184</v>
      </c>
      <c r="M131" s="409">
        <v>8531</v>
      </c>
      <c r="N131" s="418"/>
      <c r="O131" s="418"/>
      <c r="P131" s="411"/>
      <c r="Q131" s="411"/>
    </row>
    <row r="132" spans="1:17" ht="15" customHeight="1">
      <c r="A132" s="587"/>
      <c r="B132" s="598" t="s">
        <v>324</v>
      </c>
      <c r="C132" s="599"/>
      <c r="D132" s="600"/>
      <c r="E132" s="594" t="s">
        <v>329</v>
      </c>
      <c r="F132" s="596" t="s">
        <v>278</v>
      </c>
      <c r="G132" s="417" t="s">
        <v>279</v>
      </c>
      <c r="H132" s="204">
        <v>1171</v>
      </c>
      <c r="I132" s="204">
        <v>1175</v>
      </c>
      <c r="J132" s="204">
        <v>2196</v>
      </c>
      <c r="K132" s="410">
        <v>4754</v>
      </c>
      <c r="L132" s="204">
        <v>5324</v>
      </c>
      <c r="M132" s="409">
        <v>5320</v>
      </c>
      <c r="N132" s="419"/>
      <c r="O132" s="419"/>
      <c r="P132" s="412"/>
      <c r="Q132" s="412"/>
    </row>
    <row r="133" spans="1:17" ht="15">
      <c r="A133" s="587"/>
      <c r="B133" s="601"/>
      <c r="C133" s="602"/>
      <c r="D133" s="603"/>
      <c r="E133" s="595"/>
      <c r="F133" s="597"/>
      <c r="G133" s="417" t="s">
        <v>280</v>
      </c>
      <c r="H133" s="204">
        <v>44</v>
      </c>
      <c r="I133" s="204">
        <v>2918</v>
      </c>
      <c r="J133" s="204">
        <v>2582</v>
      </c>
      <c r="K133" s="410">
        <v>4017</v>
      </c>
      <c r="L133" s="204">
        <v>4030</v>
      </c>
      <c r="M133" s="409">
        <v>7204</v>
      </c>
      <c r="N133" s="419"/>
      <c r="O133" s="419"/>
      <c r="P133" s="412"/>
      <c r="Q133" s="412"/>
    </row>
    <row r="134" spans="1:17" ht="15" customHeight="1">
      <c r="A134" s="587"/>
      <c r="B134" s="588" t="s">
        <v>325</v>
      </c>
      <c r="C134" s="589"/>
      <c r="D134" s="590"/>
      <c r="E134" s="594" t="s">
        <v>329</v>
      </c>
      <c r="F134" s="596" t="s">
        <v>278</v>
      </c>
      <c r="G134" s="416" t="s">
        <v>279</v>
      </c>
      <c r="H134" s="204">
        <v>220</v>
      </c>
      <c r="I134" s="204">
        <v>331</v>
      </c>
      <c r="J134" s="204">
        <v>279</v>
      </c>
      <c r="K134" s="410">
        <v>819</v>
      </c>
      <c r="L134" s="204">
        <v>735</v>
      </c>
      <c r="M134" s="409">
        <v>820</v>
      </c>
      <c r="N134" s="418"/>
      <c r="O134" s="418"/>
      <c r="P134" s="411"/>
      <c r="Q134" s="411"/>
    </row>
    <row r="135" spans="1:17" ht="15">
      <c r="A135" s="587"/>
      <c r="B135" s="591"/>
      <c r="C135" s="592"/>
      <c r="D135" s="593"/>
      <c r="E135" s="595"/>
      <c r="F135" s="597"/>
      <c r="G135" s="416" t="s">
        <v>280</v>
      </c>
      <c r="H135" s="204">
        <v>34</v>
      </c>
      <c r="I135" s="204">
        <v>524</v>
      </c>
      <c r="J135" s="204">
        <v>280</v>
      </c>
      <c r="K135" s="410">
        <v>719</v>
      </c>
      <c r="L135" s="204">
        <v>773</v>
      </c>
      <c r="M135" s="414">
        <v>821</v>
      </c>
      <c r="N135" s="418"/>
      <c r="O135" s="418"/>
      <c r="P135" s="411"/>
      <c r="Q135" s="411"/>
    </row>
    <row r="136" spans="1:17" ht="15" customHeight="1">
      <c r="A136" s="6"/>
      <c r="B136" s="598" t="s">
        <v>326</v>
      </c>
      <c r="C136" s="599"/>
      <c r="D136" s="600"/>
      <c r="E136" s="594" t="s">
        <v>330</v>
      </c>
      <c r="F136" s="596" t="s">
        <v>278</v>
      </c>
      <c r="G136" s="417" t="s">
        <v>279</v>
      </c>
      <c r="H136" s="204">
        <v>453</v>
      </c>
      <c r="I136" s="204">
        <v>410</v>
      </c>
      <c r="J136" s="204">
        <v>179</v>
      </c>
      <c r="K136" s="410">
        <v>1005</v>
      </c>
      <c r="L136" s="204">
        <v>1098</v>
      </c>
      <c r="M136" s="409">
        <v>1098</v>
      </c>
      <c r="N136" s="418"/>
      <c r="O136" s="418"/>
      <c r="P136" s="412"/>
      <c r="Q136" s="412"/>
    </row>
    <row r="137" spans="1:17" ht="15">
      <c r="A137" s="6"/>
      <c r="B137" s="601"/>
      <c r="C137" s="602"/>
      <c r="D137" s="603"/>
      <c r="E137" s="595"/>
      <c r="F137" s="597"/>
      <c r="G137" s="417" t="s">
        <v>280</v>
      </c>
      <c r="H137" s="204">
        <v>273</v>
      </c>
      <c r="I137" s="204">
        <v>1901</v>
      </c>
      <c r="J137" s="204">
        <v>1803</v>
      </c>
      <c r="K137" s="410">
        <v>3097</v>
      </c>
      <c r="L137" s="204">
        <v>799</v>
      </c>
      <c r="M137" s="414">
        <v>1190</v>
      </c>
      <c r="N137" s="418"/>
      <c r="O137" s="418"/>
      <c r="P137" s="412"/>
      <c r="Q137" s="412"/>
    </row>
    <row r="138" spans="1:17" ht="15" customHeight="1">
      <c r="A138" s="6"/>
      <c r="B138" s="604" t="s">
        <v>327</v>
      </c>
      <c r="C138" s="605"/>
      <c r="D138" s="606"/>
      <c r="E138" s="594" t="s">
        <v>330</v>
      </c>
      <c r="F138" s="596" t="s">
        <v>278</v>
      </c>
      <c r="G138" s="416" t="s">
        <v>279</v>
      </c>
      <c r="H138" s="204">
        <v>1200</v>
      </c>
      <c r="I138" s="204">
        <v>176</v>
      </c>
      <c r="J138" s="204">
        <v>351</v>
      </c>
      <c r="K138" s="410">
        <v>840</v>
      </c>
      <c r="L138" s="204">
        <v>1535</v>
      </c>
      <c r="M138" s="409">
        <v>1537</v>
      </c>
      <c r="N138" s="418"/>
      <c r="O138" s="418"/>
      <c r="P138" s="411"/>
      <c r="Q138" s="411"/>
    </row>
    <row r="139" spans="1:17" ht="15">
      <c r="A139" s="6"/>
      <c r="B139" s="607"/>
      <c r="C139" s="608"/>
      <c r="D139" s="609"/>
      <c r="E139" s="595"/>
      <c r="F139" s="597"/>
      <c r="G139" s="416" t="s">
        <v>280</v>
      </c>
      <c r="H139" s="204">
        <v>276</v>
      </c>
      <c r="I139" s="204">
        <v>2624</v>
      </c>
      <c r="J139" s="204">
        <v>1247</v>
      </c>
      <c r="K139" s="410">
        <v>829</v>
      </c>
      <c r="L139" s="204">
        <v>1746</v>
      </c>
      <c r="M139" s="414">
        <v>1312</v>
      </c>
      <c r="N139" s="418"/>
      <c r="O139" s="418"/>
      <c r="P139" s="411"/>
      <c r="Q139" s="411"/>
    </row>
    <row r="140" spans="1:17" ht="15" customHeight="1">
      <c r="A140" s="6"/>
      <c r="B140" s="598" t="s">
        <v>328</v>
      </c>
      <c r="C140" s="599"/>
      <c r="D140" s="600"/>
      <c r="E140" s="594" t="s">
        <v>330</v>
      </c>
      <c r="F140" s="596" t="s">
        <v>278</v>
      </c>
      <c r="G140" s="417" t="s">
        <v>279</v>
      </c>
      <c r="H140" s="204">
        <v>225</v>
      </c>
      <c r="I140" s="204">
        <v>51</v>
      </c>
      <c r="J140" s="204">
        <v>193</v>
      </c>
      <c r="K140" s="410">
        <v>296</v>
      </c>
      <c r="L140" s="204">
        <v>269</v>
      </c>
      <c r="M140" s="409">
        <v>310</v>
      </c>
      <c r="N140" s="420"/>
      <c r="O140" s="420"/>
      <c r="P140" s="413"/>
      <c r="Q140" s="413"/>
    </row>
    <row r="141" spans="1:17" ht="15">
      <c r="A141" s="6"/>
      <c r="B141" s="601"/>
      <c r="C141" s="602"/>
      <c r="D141" s="603"/>
      <c r="E141" s="595"/>
      <c r="F141" s="597"/>
      <c r="G141" s="417" t="s">
        <v>280</v>
      </c>
      <c r="H141" s="204">
        <v>90</v>
      </c>
      <c r="I141" s="204">
        <v>243</v>
      </c>
      <c r="J141" s="204">
        <v>62</v>
      </c>
      <c r="K141" s="410">
        <v>321</v>
      </c>
      <c r="L141" s="204">
        <v>349</v>
      </c>
      <c r="M141" s="409">
        <v>241</v>
      </c>
      <c r="N141" s="420"/>
      <c r="O141" s="420"/>
      <c r="P141" s="413"/>
      <c r="Q141" s="413"/>
    </row>
    <row r="142" spans="1:17" ht="14.25" customHeight="1">
      <c r="A142" s="6"/>
      <c r="B142" s="588"/>
      <c r="C142" s="589"/>
      <c r="D142" s="590"/>
      <c r="E142" s="594"/>
      <c r="F142" s="596" t="s">
        <v>278</v>
      </c>
      <c r="G142" s="416" t="s">
        <v>279</v>
      </c>
      <c r="H142" s="204"/>
      <c r="I142" s="204"/>
      <c r="J142" s="204"/>
      <c r="K142" s="410"/>
      <c r="L142" s="204"/>
      <c r="M142" s="409"/>
      <c r="N142" s="419"/>
      <c r="O142" s="419"/>
      <c r="P142" s="411"/>
      <c r="Q142" s="411"/>
    </row>
    <row r="143" spans="1:17" ht="15">
      <c r="A143" s="6"/>
      <c r="B143" s="591"/>
      <c r="C143" s="592"/>
      <c r="D143" s="593"/>
      <c r="E143" s="595"/>
      <c r="F143" s="597"/>
      <c r="G143" s="416" t="s">
        <v>280</v>
      </c>
      <c r="H143" s="204"/>
      <c r="I143" s="204"/>
      <c r="J143" s="204"/>
      <c r="K143" s="410"/>
      <c r="L143" s="204"/>
      <c r="M143" s="409"/>
      <c r="N143" s="419"/>
      <c r="O143" s="419"/>
      <c r="P143" s="411"/>
      <c r="Q143" s="411"/>
    </row>
    <row r="144" spans="1:17" ht="14.25" customHeight="1">
      <c r="A144" s="6"/>
      <c r="B144" s="588"/>
      <c r="C144" s="589"/>
      <c r="D144" s="590"/>
      <c r="E144" s="594"/>
      <c r="F144" s="596" t="s">
        <v>278</v>
      </c>
      <c r="G144" s="417" t="s">
        <v>279</v>
      </c>
      <c r="H144" s="204"/>
      <c r="I144" s="204"/>
      <c r="J144" s="204"/>
      <c r="K144" s="410"/>
      <c r="L144" s="204"/>
      <c r="M144" s="409"/>
      <c r="N144" s="418"/>
      <c r="O144" s="418"/>
      <c r="P144" s="413"/>
      <c r="Q144" s="413"/>
    </row>
    <row r="145" spans="1:17" ht="15">
      <c r="A145" s="6"/>
      <c r="B145" s="591"/>
      <c r="C145" s="592"/>
      <c r="D145" s="593"/>
      <c r="E145" s="595"/>
      <c r="F145" s="597"/>
      <c r="G145" s="417" t="s">
        <v>280</v>
      </c>
      <c r="H145" s="204"/>
      <c r="I145" s="204"/>
      <c r="J145" s="204"/>
      <c r="K145" s="410"/>
      <c r="L145" s="204"/>
      <c r="M145" s="414"/>
      <c r="N145" s="418"/>
      <c r="O145" s="418"/>
      <c r="P145" s="413"/>
      <c r="Q145" s="413"/>
    </row>
    <row r="146" spans="1:17" ht="14.25" customHeight="1">
      <c r="A146" s="6"/>
      <c r="B146" s="588"/>
      <c r="C146" s="589"/>
      <c r="D146" s="590"/>
      <c r="E146" s="594"/>
      <c r="F146" s="596" t="s">
        <v>278</v>
      </c>
      <c r="G146" s="416" t="s">
        <v>279</v>
      </c>
      <c r="H146" s="204"/>
      <c r="I146" s="204"/>
      <c r="J146" s="204"/>
      <c r="K146" s="410"/>
      <c r="L146" s="205"/>
      <c r="M146" s="409"/>
      <c r="N146" s="418"/>
      <c r="O146" s="418"/>
      <c r="P146" s="411"/>
      <c r="Q146" s="411"/>
    </row>
    <row r="147" spans="1:17" ht="15">
      <c r="A147" s="6"/>
      <c r="B147" s="591"/>
      <c r="C147" s="592"/>
      <c r="D147" s="593"/>
      <c r="E147" s="595"/>
      <c r="F147" s="597"/>
      <c r="G147" s="416" t="s">
        <v>280</v>
      </c>
      <c r="H147" s="204"/>
      <c r="I147" s="204"/>
      <c r="J147" s="204"/>
      <c r="K147" s="410"/>
      <c r="L147" s="205"/>
      <c r="M147" s="414"/>
      <c r="N147" s="418"/>
      <c r="O147" s="418"/>
      <c r="P147" s="411"/>
      <c r="Q147" s="411"/>
    </row>
    <row r="148" spans="1:17" ht="14.25" customHeight="1">
      <c r="A148" s="6"/>
      <c r="B148" s="610"/>
      <c r="C148" s="611"/>
      <c r="D148" s="612"/>
      <c r="E148" s="594"/>
      <c r="F148" s="596" t="s">
        <v>278</v>
      </c>
      <c r="G148" s="417" t="s">
        <v>279</v>
      </c>
      <c r="H148" s="204"/>
      <c r="I148" s="204"/>
      <c r="J148" s="204"/>
      <c r="K148" s="410"/>
      <c r="L148" s="204"/>
      <c r="M148" s="409"/>
      <c r="N148" s="420"/>
      <c r="O148" s="420"/>
      <c r="P148" s="413"/>
      <c r="Q148" s="413"/>
    </row>
    <row r="149" spans="1:17" ht="15">
      <c r="A149" s="6"/>
      <c r="B149" s="613"/>
      <c r="C149" s="614"/>
      <c r="D149" s="615"/>
      <c r="E149" s="595"/>
      <c r="F149" s="597"/>
      <c r="G149" s="417" t="s">
        <v>280</v>
      </c>
      <c r="H149" s="204"/>
      <c r="I149" s="204"/>
      <c r="J149" s="204"/>
      <c r="K149" s="410"/>
      <c r="L149" s="204"/>
      <c r="M149" s="414"/>
      <c r="N149" s="420"/>
      <c r="O149" s="420"/>
      <c r="P149" s="413"/>
      <c r="Q149" s="413"/>
    </row>
    <row r="150" spans="1:17" ht="15" customHeight="1">
      <c r="A150" s="6"/>
      <c r="B150" s="616"/>
      <c r="C150" s="617"/>
      <c r="D150" s="618"/>
      <c r="E150" s="594"/>
      <c r="F150" s="596" t="s">
        <v>278</v>
      </c>
      <c r="G150" s="416" t="s">
        <v>279</v>
      </c>
      <c r="H150" s="204"/>
      <c r="I150" s="204"/>
      <c r="J150" s="204"/>
      <c r="K150" s="410"/>
      <c r="L150" s="204"/>
      <c r="M150" s="409"/>
      <c r="N150" s="420"/>
      <c r="O150" s="420"/>
      <c r="P150" s="413"/>
      <c r="Q150" s="413"/>
    </row>
    <row r="151" spans="1:17" ht="15">
      <c r="A151" s="6"/>
      <c r="B151" s="619"/>
      <c r="C151" s="620"/>
      <c r="D151" s="621"/>
      <c r="E151" s="595"/>
      <c r="F151" s="597"/>
      <c r="G151" s="416" t="s">
        <v>280</v>
      </c>
      <c r="H151" s="204"/>
      <c r="I151" s="204"/>
      <c r="J151" s="204"/>
      <c r="K151" s="410"/>
      <c r="L151" s="204"/>
      <c r="M151" s="414"/>
      <c r="N151" s="420"/>
      <c r="O151" s="420"/>
      <c r="P151" s="413"/>
      <c r="Q151" s="413"/>
    </row>
    <row r="152" spans="1:17" ht="15" customHeight="1">
      <c r="A152" s="6"/>
      <c r="B152" s="598"/>
      <c r="C152" s="599"/>
      <c r="D152" s="600"/>
      <c r="E152" s="594"/>
      <c r="F152" s="596" t="s">
        <v>278</v>
      </c>
      <c r="G152" s="417" t="s">
        <v>279</v>
      </c>
      <c r="H152" s="204"/>
      <c r="I152" s="204"/>
      <c r="J152" s="204"/>
      <c r="K152" s="410"/>
      <c r="L152" s="204"/>
      <c r="M152" s="409"/>
      <c r="N152" s="420"/>
      <c r="O152" s="420"/>
      <c r="P152" s="413"/>
      <c r="Q152" s="413"/>
    </row>
    <row r="153" spans="1:17" ht="15">
      <c r="A153" s="6"/>
      <c r="B153" s="601"/>
      <c r="C153" s="602"/>
      <c r="D153" s="603"/>
      <c r="E153" s="595"/>
      <c r="F153" s="597"/>
      <c r="G153" s="417" t="s">
        <v>280</v>
      </c>
      <c r="H153" s="204"/>
      <c r="I153" s="204"/>
      <c r="J153" s="204"/>
      <c r="K153" s="410"/>
      <c r="L153" s="204"/>
      <c r="M153" s="409"/>
      <c r="N153" s="418"/>
      <c r="O153" s="418"/>
      <c r="P153" s="413"/>
      <c r="Q153" s="413"/>
    </row>
    <row r="154" spans="1:17" ht="15" customHeight="1">
      <c r="A154" s="6"/>
      <c r="B154" s="616"/>
      <c r="C154" s="617"/>
      <c r="D154" s="618"/>
      <c r="E154" s="594"/>
      <c r="F154" s="596" t="s">
        <v>278</v>
      </c>
      <c r="G154" s="416" t="s">
        <v>279</v>
      </c>
      <c r="H154" s="204"/>
      <c r="I154" s="204"/>
      <c r="J154" s="204"/>
      <c r="K154" s="410"/>
      <c r="L154" s="204"/>
      <c r="M154" s="409"/>
      <c r="N154" s="418"/>
      <c r="O154" s="418"/>
      <c r="P154" s="413"/>
      <c r="Q154" s="413"/>
    </row>
    <row r="155" spans="1:17" ht="15">
      <c r="A155" s="6"/>
      <c r="B155" s="619"/>
      <c r="C155" s="620"/>
      <c r="D155" s="621"/>
      <c r="E155" s="595"/>
      <c r="F155" s="597"/>
      <c r="G155" s="416" t="s">
        <v>280</v>
      </c>
      <c r="H155" s="204"/>
      <c r="I155" s="204"/>
      <c r="J155" s="204"/>
      <c r="K155" s="410"/>
      <c r="L155" s="204"/>
      <c r="M155" s="414"/>
      <c r="N155" s="418"/>
      <c r="O155" s="418"/>
      <c r="P155" s="413"/>
      <c r="Q155" s="413"/>
    </row>
    <row r="156" spans="1:17" ht="15" customHeight="1">
      <c r="A156" s="6"/>
      <c r="B156" s="598"/>
      <c r="C156" s="599"/>
      <c r="D156" s="600"/>
      <c r="E156" s="594"/>
      <c r="F156" s="596" t="s">
        <v>278</v>
      </c>
      <c r="G156" s="417" t="s">
        <v>279</v>
      </c>
      <c r="H156" s="204"/>
      <c r="I156" s="204"/>
      <c r="J156" s="204"/>
      <c r="K156" s="410"/>
      <c r="L156" s="204"/>
      <c r="M156" s="409"/>
      <c r="N156" s="420"/>
      <c r="O156" s="420"/>
      <c r="P156" s="413"/>
      <c r="Q156" s="413"/>
    </row>
    <row r="157" spans="1:17" ht="15">
      <c r="A157" s="6"/>
      <c r="B157" s="601"/>
      <c r="C157" s="602"/>
      <c r="D157" s="603"/>
      <c r="E157" s="595"/>
      <c r="F157" s="597"/>
      <c r="G157" s="417" t="s">
        <v>280</v>
      </c>
      <c r="H157" s="204"/>
      <c r="I157" s="204"/>
      <c r="J157" s="204"/>
      <c r="K157" s="410"/>
      <c r="L157" s="204"/>
      <c r="M157" s="414"/>
      <c r="N157" s="420"/>
      <c r="O157" s="420"/>
      <c r="P157" s="413"/>
      <c r="Q157" s="413"/>
    </row>
    <row r="158" spans="1:17" ht="15" customHeight="1">
      <c r="A158" s="6"/>
      <c r="B158" s="616"/>
      <c r="C158" s="617"/>
      <c r="D158" s="618"/>
      <c r="E158" s="594"/>
      <c r="F158" s="596" t="s">
        <v>278</v>
      </c>
      <c r="G158" s="416" t="s">
        <v>279</v>
      </c>
      <c r="H158" s="204"/>
      <c r="I158" s="204"/>
      <c r="J158" s="204"/>
      <c r="K158" s="410"/>
      <c r="L158" s="204"/>
      <c r="M158" s="415"/>
      <c r="N158" s="419"/>
      <c r="O158" s="419"/>
      <c r="P158" s="413"/>
      <c r="Q158" s="413"/>
    </row>
    <row r="159" spans="1:17" ht="15">
      <c r="A159" s="6"/>
      <c r="B159" s="619"/>
      <c r="C159" s="620"/>
      <c r="D159" s="621"/>
      <c r="E159" s="595"/>
      <c r="F159" s="597"/>
      <c r="G159" s="416" t="s">
        <v>280</v>
      </c>
      <c r="H159" s="204"/>
      <c r="I159" s="204"/>
      <c r="J159" s="204"/>
      <c r="K159" s="410"/>
      <c r="L159" s="204"/>
      <c r="M159" s="415"/>
      <c r="N159" s="419"/>
      <c r="O159" s="419"/>
      <c r="P159" s="413"/>
      <c r="Q159" s="413"/>
    </row>
    <row r="160" spans="1:17" ht="15" customHeight="1">
      <c r="A160" s="6"/>
      <c r="B160" s="598"/>
      <c r="C160" s="599"/>
      <c r="D160" s="600"/>
      <c r="E160" s="594"/>
      <c r="F160" s="596" t="s">
        <v>278</v>
      </c>
      <c r="G160" s="417" t="s">
        <v>279</v>
      </c>
      <c r="H160" s="204"/>
      <c r="I160" s="204"/>
      <c r="J160" s="204"/>
      <c r="K160" s="410"/>
      <c r="L160" s="204"/>
      <c r="M160" s="415"/>
      <c r="N160" s="420"/>
      <c r="O160" s="420"/>
      <c r="P160" s="413"/>
      <c r="Q160" s="413"/>
    </row>
    <row r="161" spans="1:17" ht="15">
      <c r="A161" s="6"/>
      <c r="B161" s="601"/>
      <c r="C161" s="602"/>
      <c r="D161" s="603"/>
      <c r="E161" s="595"/>
      <c r="F161" s="597"/>
      <c r="G161" s="417" t="s">
        <v>280</v>
      </c>
      <c r="H161" s="204"/>
      <c r="I161" s="204"/>
      <c r="J161" s="204"/>
      <c r="K161" s="410"/>
      <c r="L161" s="204"/>
      <c r="M161" s="415"/>
      <c r="N161" s="420"/>
      <c r="O161" s="420"/>
      <c r="P161" s="413"/>
      <c r="Q161" s="413"/>
    </row>
    <row r="162" spans="1:17" ht="15">
      <c r="A162" s="6"/>
      <c r="B162" s="6"/>
      <c r="C162" s="6"/>
      <c r="D162" s="6"/>
      <c r="E162" s="6"/>
      <c r="F162" s="6"/>
      <c r="G162" s="141"/>
      <c r="H162" s="6"/>
      <c r="I162" s="6"/>
      <c r="J162" s="6"/>
      <c r="K162" s="6"/>
      <c r="L162" s="6"/>
      <c r="M162" s="6"/>
      <c r="N162" s="6"/>
      <c r="P162" s="5"/>
      <c r="Q162" s="5"/>
    </row>
    <row r="163" spans="1:17" ht="15">
      <c r="A163" s="6"/>
      <c r="B163" s="6"/>
      <c r="C163" s="6"/>
      <c r="D163" s="6"/>
      <c r="E163" s="6"/>
      <c r="F163" s="6"/>
      <c r="G163" s="141"/>
      <c r="H163" s="6"/>
      <c r="I163" s="6"/>
      <c r="J163" s="6"/>
      <c r="K163" s="6"/>
      <c r="L163" s="6"/>
      <c r="M163" s="6"/>
      <c r="N163" s="6"/>
      <c r="P163" s="5"/>
      <c r="Q163" s="5"/>
    </row>
    <row r="164" spans="1:17" ht="15">
      <c r="A164" s="6"/>
      <c r="B164" s="6"/>
      <c r="C164" s="6"/>
      <c r="D164" s="6"/>
      <c r="E164" s="6"/>
      <c r="F164" s="6"/>
      <c r="G164" s="141"/>
      <c r="H164" s="6"/>
      <c r="I164" s="6"/>
      <c r="J164" s="6"/>
      <c r="K164" s="6"/>
      <c r="L164" s="6"/>
      <c r="M164" s="6"/>
      <c r="N164" s="6"/>
      <c r="P164" s="5"/>
      <c r="Q164" s="5"/>
    </row>
    <row r="165" spans="1:17" ht="14.25" customHeight="1">
      <c r="A165" s="6"/>
      <c r="B165" s="6"/>
      <c r="C165" s="6"/>
      <c r="D165" s="6"/>
      <c r="E165" s="6"/>
      <c r="F165" s="6"/>
      <c r="G165" s="141"/>
      <c r="H165" s="6"/>
      <c r="I165" s="6"/>
      <c r="J165" s="6"/>
      <c r="K165" s="6"/>
      <c r="L165" s="6"/>
      <c r="M165" s="6"/>
      <c r="N165" s="6"/>
      <c r="P165" s="5"/>
      <c r="Q165" s="5"/>
    </row>
    <row r="166" spans="1:17" ht="16.5" thickBot="1">
      <c r="A166" s="6"/>
      <c r="B166" s="206"/>
      <c r="C166" s="6"/>
      <c r="D166" s="6"/>
      <c r="E166" s="6"/>
      <c r="F166" s="6"/>
      <c r="G166" s="141"/>
      <c r="H166" s="6"/>
      <c r="I166" s="6"/>
      <c r="J166" s="6"/>
      <c r="K166" s="6"/>
      <c r="L166" s="6"/>
      <c r="M166" s="6"/>
      <c r="N166" s="6"/>
      <c r="P166" s="5"/>
      <c r="Q166" s="5"/>
    </row>
    <row r="167" spans="1:17" ht="25.5">
      <c r="A167" s="6"/>
      <c r="B167" s="207" t="s">
        <v>281</v>
      </c>
      <c r="C167" s="6"/>
      <c r="D167" s="6"/>
      <c r="E167" s="208" t="s">
        <v>275</v>
      </c>
      <c r="F167" s="209" t="s">
        <v>276</v>
      </c>
      <c r="G167" s="197"/>
      <c r="H167" s="198" t="str">
        <f aca="true" t="shared" si="8" ref="H167:N167">C30</f>
        <v>P1</v>
      </c>
      <c r="I167" s="198" t="str">
        <f t="shared" si="8"/>
        <v>P2</v>
      </c>
      <c r="J167" s="198" t="str">
        <f t="shared" si="8"/>
        <v>P3</v>
      </c>
      <c r="K167" s="198" t="str">
        <f t="shared" si="8"/>
        <v>P4</v>
      </c>
      <c r="L167" s="198" t="str">
        <f t="shared" si="8"/>
        <v>P5</v>
      </c>
      <c r="M167" s="198" t="str">
        <f t="shared" si="8"/>
        <v>P6</v>
      </c>
      <c r="N167" s="198" t="str">
        <f t="shared" si="8"/>
        <v>P7</v>
      </c>
      <c r="O167" s="198" t="str">
        <f>L30</f>
        <v>P10</v>
      </c>
      <c r="P167" s="198" t="str">
        <f>M30</f>
        <v>P11</v>
      </c>
      <c r="Q167" s="198" t="str">
        <f>N30</f>
        <v>P12</v>
      </c>
    </row>
    <row r="168" spans="1:17" ht="14.25" customHeight="1" thickBot="1">
      <c r="A168" s="6"/>
      <c r="B168" s="625" t="str">
        <f>IF(ISBLANK(B130),"",(B130))</f>
        <v>% Y Número de personas HSH alcanzadas con el paquete básico de prevención de VIH</v>
      </c>
      <c r="C168" s="625"/>
      <c r="D168" s="625"/>
      <c r="E168" s="623" t="str">
        <f>IF(ISBLANK(E130),"",(E130))</f>
        <v>TOP TEN</v>
      </c>
      <c r="F168" s="624" t="str">
        <f>IF(ISBLANK(F130),"",(F130))</f>
        <v>Yes</v>
      </c>
      <c r="G168" s="210" t="s">
        <v>279</v>
      </c>
      <c r="H168" s="211">
        <f aca="true" t="shared" si="9" ref="H168:H173">H130</f>
        <v>1558</v>
      </c>
      <c r="I168" s="211">
        <f aca="true" t="shared" si="10" ref="I168:I173">+I130</f>
        <v>2336</v>
      </c>
      <c r="J168" s="211">
        <f aca="true" t="shared" si="11" ref="J168:J173">J136</f>
        <v>179</v>
      </c>
      <c r="K168" s="211">
        <f aca="true" t="shared" si="12" ref="K168:K173">+K130</f>
        <v>6254</v>
      </c>
      <c r="L168" s="211">
        <f aca="true" t="shared" si="13" ref="L168:L173">L136</f>
        <v>1098</v>
      </c>
      <c r="M168" s="211">
        <f aca="true" t="shared" si="14" ref="M168:M173">+M130</f>
        <v>6922</v>
      </c>
      <c r="N168" s="212">
        <f aca="true" t="shared" si="15" ref="N168:Q173">N130</f>
        <v>0</v>
      </c>
      <c r="O168" s="212">
        <f t="shared" si="15"/>
        <v>0</v>
      </c>
      <c r="P168" s="212">
        <f t="shared" si="15"/>
        <v>0</v>
      </c>
      <c r="Q168" s="212">
        <f t="shared" si="15"/>
        <v>0</v>
      </c>
    </row>
    <row r="169" spans="1:17" ht="15.75" thickBot="1">
      <c r="A169" s="6"/>
      <c r="B169" s="625"/>
      <c r="C169" s="625"/>
      <c r="D169" s="625"/>
      <c r="E169" s="623"/>
      <c r="F169" s="624"/>
      <c r="G169" s="213" t="s">
        <v>280</v>
      </c>
      <c r="H169" s="211">
        <f t="shared" si="9"/>
        <v>155</v>
      </c>
      <c r="I169" s="211">
        <f t="shared" si="10"/>
        <v>3973</v>
      </c>
      <c r="J169" s="211">
        <f t="shared" si="11"/>
        <v>1803</v>
      </c>
      <c r="K169" s="211">
        <f t="shared" si="12"/>
        <v>6892</v>
      </c>
      <c r="L169" s="211">
        <f t="shared" si="13"/>
        <v>799</v>
      </c>
      <c r="M169" s="211">
        <f t="shared" si="14"/>
        <v>8531</v>
      </c>
      <c r="N169" s="212">
        <f t="shared" si="15"/>
        <v>0</v>
      </c>
      <c r="O169" s="212">
        <f t="shared" si="15"/>
        <v>0</v>
      </c>
      <c r="P169" s="212">
        <f t="shared" si="15"/>
        <v>0</v>
      </c>
      <c r="Q169" s="212">
        <f t="shared" si="15"/>
        <v>0</v>
      </c>
    </row>
    <row r="170" spans="1:17" ht="15.75" thickBot="1">
      <c r="A170" s="6"/>
      <c r="B170" s="626" t="str">
        <f>IF(ISBLANK(B132),"",(B132))</f>
        <v>% Y Número de personas TS alcanzadas con el paquete básico de prevención de VIH</v>
      </c>
      <c r="C170" s="626"/>
      <c r="D170" s="626"/>
      <c r="E170" s="627" t="str">
        <f>IF(ISBLANK(E132),"",(E132))</f>
        <v>TOP TEN</v>
      </c>
      <c r="F170" s="628" t="str">
        <f>IF(ISBLANK(F132),"",(F132))</f>
        <v>Yes</v>
      </c>
      <c r="G170" s="214" t="s">
        <v>279</v>
      </c>
      <c r="H170" s="211">
        <f t="shared" si="9"/>
        <v>1171</v>
      </c>
      <c r="I170" s="211">
        <f t="shared" si="10"/>
        <v>1175</v>
      </c>
      <c r="J170" s="211">
        <f t="shared" si="11"/>
        <v>351</v>
      </c>
      <c r="K170" s="211">
        <f t="shared" si="12"/>
        <v>4754</v>
      </c>
      <c r="L170" s="211">
        <f t="shared" si="13"/>
        <v>1535</v>
      </c>
      <c r="M170" s="211">
        <f t="shared" si="14"/>
        <v>5320</v>
      </c>
      <c r="N170" s="215">
        <f t="shared" si="15"/>
        <v>0</v>
      </c>
      <c r="O170" s="215">
        <f t="shared" si="15"/>
        <v>0</v>
      </c>
      <c r="P170" s="215">
        <f t="shared" si="15"/>
        <v>0</v>
      </c>
      <c r="Q170" s="215">
        <f t="shared" si="15"/>
        <v>0</v>
      </c>
    </row>
    <row r="171" spans="1:17" ht="14.25" customHeight="1" thickBot="1">
      <c r="A171" s="6"/>
      <c r="B171" s="626"/>
      <c r="C171" s="626"/>
      <c r="D171" s="626"/>
      <c r="E171" s="627"/>
      <c r="F171" s="628"/>
      <c r="G171" s="214" t="s">
        <v>280</v>
      </c>
      <c r="H171" s="211">
        <f t="shared" si="9"/>
        <v>44</v>
      </c>
      <c r="I171" s="211">
        <f t="shared" si="10"/>
        <v>2918</v>
      </c>
      <c r="J171" s="211">
        <f t="shared" si="11"/>
        <v>1247</v>
      </c>
      <c r="K171" s="211">
        <f t="shared" si="12"/>
        <v>4017</v>
      </c>
      <c r="L171" s="211">
        <f t="shared" si="13"/>
        <v>1746</v>
      </c>
      <c r="M171" s="211">
        <f t="shared" si="14"/>
        <v>7204</v>
      </c>
      <c r="N171" s="215">
        <f t="shared" si="15"/>
        <v>0</v>
      </c>
      <c r="O171" s="215">
        <f t="shared" si="15"/>
        <v>0</v>
      </c>
      <c r="P171" s="215">
        <f t="shared" si="15"/>
        <v>0</v>
      </c>
      <c r="Q171" s="215">
        <f t="shared" si="15"/>
        <v>0</v>
      </c>
    </row>
    <row r="172" spans="1:17" ht="14.25" customHeight="1" thickBot="1">
      <c r="A172" s="6"/>
      <c r="B172" s="622" t="str">
        <f>IF(ISBLANK(B134),"",(B134))</f>
        <v>% Y Número de personas TRANS alcanzadas con el paquete básico de prevención de VIH</v>
      </c>
      <c r="C172" s="622"/>
      <c r="D172" s="622"/>
      <c r="E172" s="623" t="str">
        <f>IF(ISBLANK(E134),"",(E134))</f>
        <v>TOP TEN</v>
      </c>
      <c r="F172" s="624" t="str">
        <f>IF(ISBLANK(F134),"",(F134))</f>
        <v>Yes</v>
      </c>
      <c r="G172" s="213" t="s">
        <v>279</v>
      </c>
      <c r="H172" s="211">
        <f t="shared" si="9"/>
        <v>220</v>
      </c>
      <c r="I172" s="211">
        <f t="shared" si="10"/>
        <v>331</v>
      </c>
      <c r="J172" s="211">
        <f t="shared" si="11"/>
        <v>193</v>
      </c>
      <c r="K172" s="211">
        <f t="shared" si="12"/>
        <v>819</v>
      </c>
      <c r="L172" s="211">
        <f t="shared" si="13"/>
        <v>269</v>
      </c>
      <c r="M172" s="211">
        <f t="shared" si="14"/>
        <v>820</v>
      </c>
      <c r="N172" s="212">
        <f t="shared" si="15"/>
        <v>0</v>
      </c>
      <c r="O172" s="212">
        <f t="shared" si="15"/>
        <v>0</v>
      </c>
      <c r="P172" s="212">
        <f t="shared" si="15"/>
        <v>0</v>
      </c>
      <c r="Q172" s="212">
        <f t="shared" si="15"/>
        <v>0</v>
      </c>
    </row>
    <row r="173" spans="1:17" ht="15" customHeight="1" thickBot="1">
      <c r="A173" s="6"/>
      <c r="B173" s="622"/>
      <c r="C173" s="622"/>
      <c r="D173" s="622"/>
      <c r="E173" s="623"/>
      <c r="F173" s="624"/>
      <c r="G173" s="216" t="s">
        <v>280</v>
      </c>
      <c r="H173" s="217">
        <f t="shared" si="9"/>
        <v>34</v>
      </c>
      <c r="I173" s="211">
        <f t="shared" si="10"/>
        <v>524</v>
      </c>
      <c r="J173" s="217">
        <f t="shared" si="11"/>
        <v>62</v>
      </c>
      <c r="K173" s="211">
        <f t="shared" si="12"/>
        <v>719</v>
      </c>
      <c r="L173" s="217">
        <f t="shared" si="13"/>
        <v>349</v>
      </c>
      <c r="M173" s="211">
        <f t="shared" si="14"/>
        <v>821</v>
      </c>
      <c r="N173" s="212">
        <f t="shared" si="15"/>
        <v>0</v>
      </c>
      <c r="O173" s="212">
        <f t="shared" si="15"/>
        <v>0</v>
      </c>
      <c r="P173" s="212">
        <f t="shared" si="15"/>
        <v>0</v>
      </c>
      <c r="Q173" s="212">
        <f t="shared" si="15"/>
        <v>0</v>
      </c>
    </row>
  </sheetData>
  <sheetProtection selectLockedCells="1" selectUnlockedCells="1"/>
  <mergeCells count="104">
    <mergeCell ref="H121:H123"/>
    <mergeCell ref="I121:I123"/>
    <mergeCell ref="J121:J123"/>
    <mergeCell ref="K121:K123"/>
    <mergeCell ref="B125:C125"/>
    <mergeCell ref="H118:H120"/>
    <mergeCell ref="J118:J120"/>
    <mergeCell ref="B112:B123"/>
    <mergeCell ref="K118:K120"/>
    <mergeCell ref="I118:I120"/>
    <mergeCell ref="B172:D173"/>
    <mergeCell ref="E172:E173"/>
    <mergeCell ref="F172:F173"/>
    <mergeCell ref="B168:D169"/>
    <mergeCell ref="E168:E169"/>
    <mergeCell ref="F168:F169"/>
    <mergeCell ref="B170:D171"/>
    <mergeCell ref="E170:E171"/>
    <mergeCell ref="F170:F171"/>
    <mergeCell ref="B158:D159"/>
    <mergeCell ref="E158:E159"/>
    <mergeCell ref="F158:F159"/>
    <mergeCell ref="B160:D161"/>
    <mergeCell ref="E160:E161"/>
    <mergeCell ref="F160:F161"/>
    <mergeCell ref="B154:D155"/>
    <mergeCell ref="E154:E155"/>
    <mergeCell ref="F154:F155"/>
    <mergeCell ref="B156:D157"/>
    <mergeCell ref="E156:E157"/>
    <mergeCell ref="F156:F157"/>
    <mergeCell ref="B150:D151"/>
    <mergeCell ref="E150:E151"/>
    <mergeCell ref="F150:F151"/>
    <mergeCell ref="B152:D153"/>
    <mergeCell ref="E152:E153"/>
    <mergeCell ref="F152:F153"/>
    <mergeCell ref="B146:D147"/>
    <mergeCell ref="E146:E147"/>
    <mergeCell ref="F146:F147"/>
    <mergeCell ref="B148:D149"/>
    <mergeCell ref="E148:E149"/>
    <mergeCell ref="F148:F149"/>
    <mergeCell ref="B142:D143"/>
    <mergeCell ref="E142:E143"/>
    <mergeCell ref="F142:F143"/>
    <mergeCell ref="B144:D145"/>
    <mergeCell ref="E144:E145"/>
    <mergeCell ref="F144:F145"/>
    <mergeCell ref="B138:D139"/>
    <mergeCell ref="E138:E139"/>
    <mergeCell ref="F138:F139"/>
    <mergeCell ref="B140:D141"/>
    <mergeCell ref="E140:E141"/>
    <mergeCell ref="F140:F141"/>
    <mergeCell ref="B136:D137"/>
    <mergeCell ref="E136:E137"/>
    <mergeCell ref="F136:F137"/>
    <mergeCell ref="F130:F131"/>
    <mergeCell ref="B132:D133"/>
    <mergeCell ref="E132:E133"/>
    <mergeCell ref="F132:F133"/>
    <mergeCell ref="A130:A135"/>
    <mergeCell ref="B130:D131"/>
    <mergeCell ref="E130:E131"/>
    <mergeCell ref="B134:D135"/>
    <mergeCell ref="E134:E135"/>
    <mergeCell ref="F134:F135"/>
    <mergeCell ref="B76:C76"/>
    <mergeCell ref="B26:C26"/>
    <mergeCell ref="B29:N29"/>
    <mergeCell ref="F47:I47"/>
    <mergeCell ref="B63:D63"/>
    <mergeCell ref="B128:D128"/>
    <mergeCell ref="H112:H114"/>
    <mergeCell ref="I112:I114"/>
    <mergeCell ref="J112:J114"/>
    <mergeCell ref="K112:K114"/>
    <mergeCell ref="H16:I16"/>
    <mergeCell ref="B18:C18"/>
    <mergeCell ref="D18:F18"/>
    <mergeCell ref="B21:J21"/>
    <mergeCell ref="B74:C74"/>
    <mergeCell ref="B75:C75"/>
    <mergeCell ref="B2:J2"/>
    <mergeCell ref="C4:D4"/>
    <mergeCell ref="E4:F4"/>
    <mergeCell ref="G4:J4"/>
    <mergeCell ref="C10:D10"/>
    <mergeCell ref="E10:F10"/>
    <mergeCell ref="G10:J10"/>
    <mergeCell ref="C6:D6"/>
    <mergeCell ref="E6:F6"/>
    <mergeCell ref="I6:J6"/>
    <mergeCell ref="L112:M114"/>
    <mergeCell ref="C8:D8"/>
    <mergeCell ref="I8:J8"/>
    <mergeCell ref="C12:D12"/>
    <mergeCell ref="E12:F12"/>
    <mergeCell ref="G12:J12"/>
    <mergeCell ref="D24:E24"/>
    <mergeCell ref="G24:H24"/>
    <mergeCell ref="I24:J24"/>
    <mergeCell ref="B14:J14"/>
  </mergeCells>
  <conditionalFormatting sqref="B34 B32 C33:N33">
    <cfRule type="expression" priority="6" dxfId="45" stopIfTrue="1">
      <formula>+AND(B31&gt;=#REF!,B31&lt;=#REF!)</formula>
    </cfRule>
  </conditionalFormatting>
  <conditionalFormatting sqref="C34:N34">
    <cfRule type="expression" priority="7" dxfId="45" stopIfTrue="1">
      <formula>+AND(C32&gt;=#REF!,C32&lt;=#REF!)</formula>
    </cfRule>
  </conditionalFormatting>
  <conditionalFormatting sqref="C30:N30 C98:N98">
    <cfRule type="cellIs" priority="8" dxfId="46" operator="equal" stopIfTrue="1">
      <formula>$C$16</formula>
    </cfRule>
  </conditionalFormatting>
  <conditionalFormatting sqref="C12:D12">
    <cfRule type="cellIs" priority="9" dxfId="47" operator="equal" stopIfTrue="1">
      <formula>"C"</formula>
    </cfRule>
    <cfRule type="cellIs" priority="10" dxfId="43" operator="equal" stopIfTrue="1">
      <formula>"B2"</formula>
    </cfRule>
    <cfRule type="cellIs" priority="11" dxfId="44" operator="equal" stopIfTrue="1">
      <formula>"B1"</formula>
    </cfRule>
  </conditionalFormatting>
  <conditionalFormatting sqref="H167:Q167 H128:Q129 H154:J154 L154:M154">
    <cfRule type="cellIs" priority="12" dxfId="48" operator="equal" stopIfTrue="1">
      <formula>$C$16</formula>
    </cfRule>
  </conditionalFormatting>
  <conditionalFormatting sqref="F47:I47">
    <cfRule type="expression" priority="13" dxfId="49" stopIfTrue="1">
      <formula>LEFT($F$47,2)="OK"</formula>
    </cfRule>
  </conditionalFormatting>
  <conditionalFormatting sqref="L154 H154:J154">
    <cfRule type="cellIs" priority="5" dxfId="50" operator="equal" stopIfTrue="1">
      <formula>$C$16</formula>
    </cfRule>
  </conditionalFormatting>
  <dataValidations count="9">
    <dataValidation type="list" allowBlank="1" showErrorMessage="1" sqref="G6 B112:B114">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2:C123">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27"/>
  </sheetPr>
  <dimension ref="A1:O34"/>
  <sheetViews>
    <sheetView showGridLines="0" zoomScale="115" zoomScaleNormal="115" zoomScalePageLayoutView="0" workbookViewId="0" topLeftCell="A19">
      <selection activeCell="C10" sqref="C10"/>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59" t="str">
        <f>+"Cuadro de mando:  "&amp;"  "&amp;+'Introducción de datos'!C4&amp;" - "&amp;'Introducción de datos'!G6</f>
        <v>Cuadro de mando:    El Salvador - VIH / SIDA</v>
      </c>
      <c r="C2" s="559"/>
      <c r="D2" s="559"/>
      <c r="E2" s="559"/>
      <c r="F2" s="559"/>
      <c r="G2" s="559"/>
      <c r="H2" s="559"/>
      <c r="I2" s="559"/>
      <c r="J2" s="559"/>
      <c r="K2" s="559"/>
      <c r="L2" s="248"/>
      <c r="M2" s="248"/>
      <c r="N2" s="248"/>
      <c r="O2" s="248"/>
    </row>
    <row r="3" spans="2:12" ht="15">
      <c r="B3" s="249" t="str">
        <f>+'Introducción de datos'!G8</f>
        <v>Seleccionar</v>
      </c>
      <c r="C3" s="642" t="str">
        <f>+'Introducción de datos'!I8</f>
        <v>Seleccionar</v>
      </c>
      <c r="D3" s="642"/>
      <c r="E3" s="643"/>
      <c r="F3" s="643"/>
      <c r="G3" s="643"/>
      <c r="H3" s="643"/>
      <c r="I3" s="644" t="str">
        <f>+'Introducción de datos'!B16</f>
        <v>Periodo:</v>
      </c>
      <c r="J3" s="644"/>
      <c r="K3" s="251" t="str">
        <f>+'Introducción de datos'!C16</f>
        <v>P6</v>
      </c>
      <c r="L3" s="252"/>
    </row>
    <row r="4" spans="2:11" ht="15">
      <c r="B4" s="249" t="str">
        <f>+'Introducción de datos'!B12</f>
        <v>Ultima calificación:</v>
      </c>
      <c r="C4" s="650" t="str">
        <f>+'Introducción de datos'!C12</f>
        <v>B1</v>
      </c>
      <c r="D4" s="650"/>
      <c r="E4" s="643" t="str">
        <f>+'Introducción de datos'!C8</f>
        <v>PLAN  INTERNACIONAL</v>
      </c>
      <c r="F4" s="643"/>
      <c r="G4" s="643"/>
      <c r="H4" s="643"/>
      <c r="I4" s="644" t="str">
        <f>+'Introducción de datos'!D16</f>
        <v>Desde:</v>
      </c>
      <c r="J4" s="644"/>
      <c r="K4" s="253">
        <f>+'Introducción de datos'!E16</f>
        <v>42552</v>
      </c>
    </row>
    <row r="5" spans="2:11" ht="18.75" customHeight="1">
      <c r="B5" s="249"/>
      <c r="C5" s="249"/>
      <c r="D5" s="651" t="str">
        <f>+'Introducción de datos'!G4</f>
        <v>INNOVANDO SERVICIOS, REDUCIENDO RIESGOS, RENOVANDO VIDAS EN EL SALVADOR</v>
      </c>
      <c r="E5" s="651"/>
      <c r="F5" s="651"/>
      <c r="G5" s="651"/>
      <c r="H5" s="651"/>
      <c r="I5" s="651"/>
      <c r="J5" s="249" t="str">
        <f>+'Introducción de datos'!F16</f>
        <v>Hasta:</v>
      </c>
      <c r="K5" s="253">
        <f>+'Introducción de datos'!G16</f>
        <v>42735</v>
      </c>
    </row>
    <row r="6" spans="2:11" ht="18.75">
      <c r="B6" s="254"/>
      <c r="C6" s="249"/>
      <c r="D6" s="255"/>
      <c r="E6" s="645" t="s">
        <v>290</v>
      </c>
      <c r="F6" s="645"/>
      <c r="G6" s="645"/>
      <c r="H6" s="645"/>
      <c r="I6" s="6"/>
      <c r="J6" s="6"/>
      <c r="K6" s="6"/>
    </row>
    <row r="7" spans="2:11" ht="10.5" customHeight="1">
      <c r="B7" s="256"/>
      <c r="C7" s="250"/>
      <c r="D7" s="255"/>
      <c r="E7" s="257"/>
      <c r="F7" s="257"/>
      <c r="G7" s="258"/>
      <c r="H7" s="258"/>
      <c r="I7" s="259"/>
      <c r="J7" s="259"/>
      <c r="K7" s="260"/>
    </row>
    <row r="8" spans="2:11" ht="15">
      <c r="B8" s="261" t="str">
        <f>+'Introducción de datos'!B27&amp;" - en ("&amp;'Introducción de datos'!D26&amp;")         "&amp;+I3&amp;" "&amp;+K3</f>
        <v>F1: Presupuesto y desembolsos del Fondo Mundial - en ($)         Periodo: P6</v>
      </c>
      <c r="C8" s="262"/>
      <c r="D8" s="141"/>
      <c r="E8" s="141"/>
      <c r="F8" s="141"/>
      <c r="H8" s="261" t="str">
        <f>+'Introducción de datos'!B49&amp;" - en ("&amp;'Introducción de datos'!D26&amp;")         "&amp;+I3&amp;" "&amp;+K3</f>
        <v>F3: Desembolsos y gastos - en ($)         Periodo: P6</v>
      </c>
      <c r="I8" s="6"/>
      <c r="J8" s="6"/>
      <c r="K8" s="6"/>
    </row>
    <row r="9" spans="2:15" ht="126.75" customHeight="1">
      <c r="B9" s="427" t="s">
        <v>291</v>
      </c>
      <c r="C9" s="646" t="s">
        <v>401</v>
      </c>
      <c r="D9" s="646"/>
      <c r="E9" s="646"/>
      <c r="F9" s="646"/>
      <c r="H9" s="426" t="s">
        <v>291</v>
      </c>
      <c r="I9" s="652" t="s">
        <v>400</v>
      </c>
      <c r="J9" s="653"/>
      <c r="K9" s="653"/>
      <c r="L9" s="653"/>
      <c r="M9" s="653"/>
      <c r="N9" s="653"/>
      <c r="O9" s="653"/>
    </row>
    <row r="10" spans="2:11" ht="12.75" customHeight="1">
      <c r="B10" s="141"/>
      <c r="C10" s="141"/>
      <c r="D10" s="141"/>
      <c r="E10" s="141"/>
      <c r="F10" s="141"/>
      <c r="G10" s="6"/>
      <c r="H10" s="6"/>
      <c r="I10" s="6"/>
      <c r="J10" s="6"/>
      <c r="K10" s="6"/>
    </row>
    <row r="11" spans="2:11" ht="15" hidden="1">
      <c r="B11" s="141"/>
      <c r="C11" s="141"/>
      <c r="D11" s="141"/>
      <c r="E11" s="141"/>
      <c r="F11" s="141"/>
      <c r="G11" s="6"/>
      <c r="H11" s="6"/>
      <c r="I11" s="6"/>
      <c r="J11" s="6"/>
      <c r="K11" s="6"/>
    </row>
    <row r="12" spans="2:11" ht="15" hidden="1">
      <c r="B12" s="141"/>
      <c r="C12" s="141"/>
      <c r="D12" s="141"/>
      <c r="E12" s="141"/>
      <c r="F12" s="141"/>
      <c r="G12" s="6"/>
      <c r="H12" s="6"/>
      <c r="I12" s="6"/>
      <c r="J12" s="6"/>
      <c r="K12" s="6"/>
    </row>
    <row r="13" spans="2:11" ht="15">
      <c r="B13" s="141"/>
      <c r="C13" s="141"/>
      <c r="D13" s="141"/>
      <c r="E13" s="141"/>
      <c r="F13" s="141"/>
      <c r="G13" s="6"/>
      <c r="H13" s="6"/>
      <c r="I13" s="6"/>
      <c r="J13" s="6"/>
      <c r="K13" s="6"/>
    </row>
    <row r="14" spans="2:11" ht="15">
      <c r="B14" s="141"/>
      <c r="C14" s="141"/>
      <c r="D14" s="141"/>
      <c r="E14" s="141"/>
      <c r="F14" s="141"/>
      <c r="G14" s="6"/>
      <c r="H14" s="6"/>
      <c r="I14" s="6"/>
      <c r="J14" s="6"/>
      <c r="K14" s="6"/>
    </row>
    <row r="15" spans="2:13" ht="15">
      <c r="B15" s="141"/>
      <c r="C15" s="141"/>
      <c r="D15" s="141"/>
      <c r="E15" s="141"/>
      <c r="F15" s="141"/>
      <c r="G15" s="6"/>
      <c r="H15" s="6"/>
      <c r="I15" s="6"/>
      <c r="J15" s="6"/>
      <c r="K15" s="6"/>
      <c r="M15" s="263" t="s">
        <v>292</v>
      </c>
    </row>
    <row r="16" spans="2:13" ht="15">
      <c r="B16" s="141"/>
      <c r="C16" s="141"/>
      <c r="D16" s="141"/>
      <c r="E16" s="141"/>
      <c r="F16" s="141"/>
      <c r="G16" s="6"/>
      <c r="H16" s="6"/>
      <c r="I16" s="6"/>
      <c r="J16" s="6"/>
      <c r="K16" s="6"/>
      <c r="M16" s="263" t="s">
        <v>293</v>
      </c>
    </row>
    <row r="17" spans="2:11" ht="15">
      <c r="B17" s="141"/>
      <c r="C17" s="141"/>
      <c r="D17" s="141"/>
      <c r="E17" s="141"/>
      <c r="F17" s="141"/>
      <c r="G17" s="6"/>
      <c r="H17" s="6"/>
      <c r="I17" s="6"/>
      <c r="J17" s="6"/>
      <c r="K17" s="6"/>
    </row>
    <row r="18" spans="2:11" ht="15">
      <c r="B18" s="141"/>
      <c r="C18" s="141"/>
      <c r="D18" s="141"/>
      <c r="E18" s="141"/>
      <c r="F18" s="141"/>
      <c r="G18" s="6"/>
      <c r="H18" s="6"/>
      <c r="I18" s="6"/>
      <c r="J18" s="6"/>
      <c r="K18" s="6"/>
    </row>
    <row r="19" spans="2:11" ht="15">
      <c r="B19" s="141"/>
      <c r="C19" s="141"/>
      <c r="D19" s="141"/>
      <c r="E19" s="141"/>
      <c r="F19" s="141"/>
      <c r="G19" s="6"/>
      <c r="H19" s="6"/>
      <c r="I19" s="6"/>
      <c r="J19" s="6"/>
      <c r="K19" s="6"/>
    </row>
    <row r="20" spans="2:11" ht="15">
      <c r="B20" s="141"/>
      <c r="C20" s="141"/>
      <c r="D20" s="141"/>
      <c r="E20" s="141"/>
      <c r="F20" s="141"/>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2:11" ht="23.25" customHeight="1">
      <c r="B23" s="264" t="str">
        <f>+'Introducción de datos'!B36&amp;" - en ("&amp;'Introducción de datos'!D26&amp;")  "&amp;+I3&amp;" "&amp;+K3</f>
        <v>F2: Presupuesto y gastos reales por objetivo de la subvención - en ($)  Periodo: P6</v>
      </c>
      <c r="C23" s="141"/>
      <c r="D23" s="141"/>
      <c r="E23" s="141"/>
      <c r="F23" s="141"/>
      <c r="H23" s="264" t="str">
        <f>+'Introducción de datos'!B61&amp;"   "&amp;+I3&amp;" "&amp;+K3</f>
        <v>F4: Último ciclo de información y desembolso del RP   Periodo: P6</v>
      </c>
      <c r="J23" s="6"/>
      <c r="K23" s="6"/>
    </row>
    <row r="24" spans="2:11" ht="89.25" customHeight="1">
      <c r="B24" s="426" t="s">
        <v>294</v>
      </c>
      <c r="C24" s="647" t="s">
        <v>398</v>
      </c>
      <c r="D24" s="647"/>
      <c r="E24" s="647"/>
      <c r="F24" s="647"/>
      <c r="G24" s="265"/>
      <c r="H24" s="426" t="s">
        <v>291</v>
      </c>
      <c r="I24" s="648" t="s">
        <v>399</v>
      </c>
      <c r="J24" s="649"/>
      <c r="K24" s="649"/>
    </row>
    <row r="25" spans="2:11" ht="15.75" customHeight="1" thickBot="1">
      <c r="B25" s="266"/>
      <c r="C25" s="266"/>
      <c r="D25" s="266"/>
      <c r="E25" s="266"/>
      <c r="F25" s="266"/>
      <c r="G25" s="266"/>
      <c r="H25" s="267"/>
      <c r="I25" s="267"/>
      <c r="J25" s="266"/>
      <c r="K25" s="266"/>
    </row>
    <row r="26" spans="2:11" ht="29.25" customHeight="1" thickBot="1">
      <c r="B26" s="6"/>
      <c r="C26" s="6"/>
      <c r="D26" s="6"/>
      <c r="E26" s="6"/>
      <c r="F26" s="6"/>
      <c r="G26" s="268"/>
      <c r="H26" s="656" t="s">
        <v>295</v>
      </c>
      <c r="I26" s="657"/>
      <c r="J26" s="657"/>
      <c r="K26" s="658"/>
    </row>
    <row r="27" spans="2:11" ht="24.75">
      <c r="B27" s="6"/>
      <c r="C27" s="6"/>
      <c r="D27" s="6"/>
      <c r="E27" s="6"/>
      <c r="F27" s="6"/>
      <c r="G27" s="44"/>
      <c r="H27" s="659"/>
      <c r="I27" s="660"/>
      <c r="J27" s="269" t="s">
        <v>228</v>
      </c>
      <c r="K27" s="270" t="s">
        <v>229</v>
      </c>
    </row>
    <row r="28" spans="2:11" ht="29.25" customHeight="1" thickBot="1">
      <c r="B28" s="6"/>
      <c r="C28" s="6"/>
      <c r="D28" s="6"/>
      <c r="E28" s="6"/>
      <c r="F28" s="6"/>
      <c r="G28" s="271"/>
      <c r="H28" s="661" t="str">
        <f>'Introducción de datos'!B65</f>
        <v>Días tardados en presentar el informe de progreso actualizado y solicitud de desembolso al ALF*</v>
      </c>
      <c r="I28" s="662"/>
      <c r="J28" s="272">
        <f>+'Introducción de datos'!C65</f>
        <v>60</v>
      </c>
      <c r="K28" s="424">
        <f>+'Introducción de datos'!D65</f>
        <v>59</v>
      </c>
    </row>
    <row r="29" spans="2:11" ht="21" customHeight="1" thickBot="1">
      <c r="B29" s="6"/>
      <c r="C29" s="6"/>
      <c r="D29" s="6"/>
      <c r="E29" s="6"/>
      <c r="F29" s="6"/>
      <c r="G29" s="271"/>
      <c r="H29" s="661" t="str">
        <f>'Introducción de datos'!B66</f>
        <v>Días que el desembolso ha tardado en llegar al RP</v>
      </c>
      <c r="I29" s="662"/>
      <c r="J29" s="272">
        <f>+'Introducción de datos'!C66</f>
        <v>45</v>
      </c>
      <c r="K29" s="274">
        <f>+'Introducción de datos'!D66</f>
        <v>25</v>
      </c>
    </row>
    <row r="30" spans="2:11" ht="21" customHeight="1" thickBot="1">
      <c r="B30" s="6"/>
      <c r="C30" s="6"/>
      <c r="D30" s="6"/>
      <c r="E30" s="6"/>
      <c r="F30" s="6"/>
      <c r="G30" s="271"/>
      <c r="H30" s="654" t="str">
        <f>'Introducción de datos'!B67</f>
        <v>Días que el desembolso ha tardado en llegar a los subreceptores </v>
      </c>
      <c r="I30" s="655"/>
      <c r="J30" s="273">
        <f>+'Introducción de datos'!C67</f>
        <v>15</v>
      </c>
      <c r="K30" s="274">
        <f>+'Introducción de datos'!D67</f>
        <v>15</v>
      </c>
    </row>
    <row r="31" spans="2:11" ht="15">
      <c r="B31" s="6"/>
      <c r="C31" s="6"/>
      <c r="D31" s="6"/>
      <c r="E31" s="6"/>
      <c r="F31" s="6"/>
      <c r="G31" s="6"/>
      <c r="H31" s="6"/>
      <c r="I31" s="6"/>
      <c r="J31" s="6"/>
      <c r="K31" s="6"/>
    </row>
    <row r="32" spans="2:11" ht="15">
      <c r="B32" s="6"/>
      <c r="C32" s="92"/>
      <c r="D32" s="275"/>
      <c r="E32" s="6"/>
      <c r="F32" s="6"/>
      <c r="G32" s="6"/>
      <c r="H32" s="6"/>
      <c r="I32" s="6"/>
      <c r="J32" s="6"/>
      <c r="K32" s="6"/>
    </row>
    <row r="33" spans="2:11" ht="15">
      <c r="B33" s="6"/>
      <c r="C33" s="241" t="s">
        <v>211</v>
      </c>
      <c r="D33" s="275"/>
      <c r="E33" s="6"/>
      <c r="F33" s="6"/>
      <c r="G33" s="6"/>
      <c r="H33" s="6"/>
      <c r="I33" s="6"/>
      <c r="J33" s="6"/>
      <c r="K33" s="6"/>
    </row>
    <row r="34" ht="15">
      <c r="C34" s="263" t="s">
        <v>263</v>
      </c>
    </row>
  </sheetData>
  <sheetProtection/>
  <mergeCells count="18">
    <mergeCell ref="H30:I30"/>
    <mergeCell ref="H26:K26"/>
    <mergeCell ref="H27:I27"/>
    <mergeCell ref="H28:I28"/>
    <mergeCell ref="H29:I29"/>
    <mergeCell ref="C24:F24"/>
    <mergeCell ref="I24:K24"/>
    <mergeCell ref="C4:D4"/>
    <mergeCell ref="E4:H4"/>
    <mergeCell ref="I4:J4"/>
    <mergeCell ref="D5:I5"/>
    <mergeCell ref="I9:O9"/>
    <mergeCell ref="B2:K2"/>
    <mergeCell ref="C3:D3"/>
    <mergeCell ref="E3:H3"/>
    <mergeCell ref="I3:J3"/>
    <mergeCell ref="E6:H6"/>
    <mergeCell ref="C9:F9"/>
  </mergeCells>
  <conditionalFormatting sqref="K28:K30">
    <cfRule type="cellIs" priority="1" dxfId="51" operator="greaterThan" stopIfTrue="1">
      <formula>J28</formula>
    </cfRule>
    <cfRule type="cellIs" priority="2" dxfId="52" operator="between" stopIfTrue="1">
      <formula>J28</formula>
      <formula>1</formula>
    </cfRule>
    <cfRule type="cellIs" priority="3" dxfId="53" operator="equal" stopIfTrue="1">
      <formula>0</formula>
    </cfRule>
  </conditionalFormatting>
  <conditionalFormatting sqref="C4:D4">
    <cfRule type="cellIs" priority="4" dxfId="42" operator="equal" stopIfTrue="1">
      <formula>"C"</formula>
    </cfRule>
    <cfRule type="cellIs" priority="5" dxfId="43" operator="equal" stopIfTrue="1">
      <formula>"B2"</formula>
    </cfRule>
    <cfRule type="cellIs" priority="6"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r:id="rId2"/>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41"/>
  <sheetViews>
    <sheetView showGridLines="0" tabSelected="1" zoomScalePageLayoutView="0" workbookViewId="0" topLeftCell="B1">
      <selection activeCell="L30" sqref="L30:L32"/>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27.28125" style="0" bestFit="1" customWidth="1"/>
    <col min="10" max="10" width="15.140625" style="0" customWidth="1"/>
    <col min="11" max="11" width="15.28125" style="0" customWidth="1"/>
    <col min="12" max="12" width="15.7109375" style="0" customWidth="1"/>
  </cols>
  <sheetData>
    <row r="1" spans="3:5" ht="28.5" customHeight="1">
      <c r="C1" s="276"/>
      <c r="E1" s="276"/>
    </row>
    <row r="2" spans="2:16" ht="27.75" customHeight="1">
      <c r="B2" s="674" t="str">
        <f>+"Cuadro de mando:  "&amp;"  "&amp;+'Introducción de datos'!C4&amp;" - "&amp;'Introducción de datos'!G6</f>
        <v>Cuadro de mando:    El Salvador - VIH / SIDA</v>
      </c>
      <c r="C2" s="674"/>
      <c r="D2" s="674"/>
      <c r="E2" s="674"/>
      <c r="F2" s="674"/>
      <c r="G2" s="674"/>
      <c r="H2" s="674"/>
      <c r="I2" s="674"/>
      <c r="J2" s="674"/>
      <c r="K2" s="674"/>
      <c r="L2" s="674"/>
      <c r="M2" s="277"/>
      <c r="N2" s="277"/>
      <c r="O2" s="277"/>
      <c r="P2" s="277"/>
    </row>
    <row r="3" spans="2:12" ht="15">
      <c r="B3" s="278" t="str">
        <f>+'Introducción de datos'!G8</f>
        <v>Seleccionar</v>
      </c>
      <c r="C3" s="675" t="str">
        <f>+'Introducción de datos'!I8</f>
        <v>Seleccionar</v>
      </c>
      <c r="D3" s="675"/>
      <c r="E3" s="676"/>
      <c r="F3" s="676"/>
      <c r="G3" s="676"/>
      <c r="H3" s="676"/>
      <c r="I3" s="676"/>
      <c r="J3" s="677" t="str">
        <f>+'Introducción de datos'!B16</f>
        <v>Periodo:</v>
      </c>
      <c r="K3" s="677"/>
      <c r="L3" s="251" t="str">
        <f>+'Introducción de datos'!C16</f>
        <v>P6</v>
      </c>
    </row>
    <row r="4" spans="2:12" ht="15">
      <c r="B4" s="278" t="str">
        <f>+'Introducción de datos'!B12</f>
        <v>Ultima calificación:</v>
      </c>
      <c r="C4" s="650" t="str">
        <f>+'Introducción de datos'!C12</f>
        <v>B1</v>
      </c>
      <c r="D4" s="650"/>
      <c r="E4" s="676" t="str">
        <f>+'Introducción de datos'!C8</f>
        <v>PLAN  INTERNACIONAL</v>
      </c>
      <c r="F4" s="676"/>
      <c r="G4" s="676"/>
      <c r="H4" s="676"/>
      <c r="I4" s="676"/>
      <c r="J4" s="677" t="str">
        <f>+'Introducción de datos'!D16</f>
        <v>Desde:</v>
      </c>
      <c r="K4" s="677"/>
      <c r="L4" s="253">
        <f>+'Introducción de datos'!E16</f>
        <v>42552</v>
      </c>
    </row>
    <row r="5" spans="2:12" ht="18.75" customHeight="1">
      <c r="B5" s="278"/>
      <c r="C5" s="278"/>
      <c r="D5" s="676" t="str">
        <f>+'Introducción de datos'!G4</f>
        <v>INNOVANDO SERVICIOS, REDUCIENDO RIESGOS, RENOVANDO VIDAS EN EL SALVADOR</v>
      </c>
      <c r="E5" s="676"/>
      <c r="F5" s="676"/>
      <c r="G5" s="676"/>
      <c r="H5" s="676"/>
      <c r="I5" s="676"/>
      <c r="J5" s="676"/>
      <c r="K5" s="278" t="str">
        <f>+'Introducción de datos'!F16</f>
        <v>Hasta:</v>
      </c>
      <c r="L5" s="253">
        <f>+'Introducción de datos'!G16</f>
        <v>42735</v>
      </c>
    </row>
    <row r="6" spans="2:9" ht="18.75">
      <c r="B6" s="279"/>
      <c r="C6" s="278"/>
      <c r="D6" s="255"/>
      <c r="E6" s="667" t="s">
        <v>145</v>
      </c>
      <c r="F6" s="667"/>
      <c r="G6" s="667"/>
      <c r="H6" s="667"/>
      <c r="I6" s="667"/>
    </row>
    <row r="7" spans="2:8" ht="15">
      <c r="B7" s="280" t="str">
        <f>+'Introducción de datos'!B72&amp;"     "&amp;+J3&amp;" "&amp;+L3</f>
        <v>M1: Estado de las condiciones precedentes y acciones con fecha límite     Periodo: P6</v>
      </c>
      <c r="C7" s="281"/>
      <c r="H7" s="280" t="str">
        <f>+'Introducción de datos'!B79&amp;"         "&amp;+J3&amp;"  "&amp;+L3</f>
        <v>M2: Estado de los principales puestos directivos del RP         Periodo:  P6</v>
      </c>
    </row>
    <row r="8" spans="2:12" ht="19.5" customHeight="1">
      <c r="B8" s="423" t="s">
        <v>291</v>
      </c>
      <c r="C8" s="668" t="s">
        <v>345</v>
      </c>
      <c r="D8" s="668"/>
      <c r="E8" s="668"/>
      <c r="F8" s="668"/>
      <c r="G8" s="282"/>
      <c r="H8" s="423" t="s">
        <v>291</v>
      </c>
      <c r="I8" s="663" t="s">
        <v>402</v>
      </c>
      <c r="J8" s="663"/>
      <c r="K8" s="663"/>
      <c r="L8" s="663"/>
    </row>
    <row r="9" spans="2:8" ht="15">
      <c r="B9" s="10"/>
      <c r="C9" s="10"/>
      <c r="D9" s="10"/>
      <c r="E9" s="10"/>
      <c r="F9" s="10"/>
      <c r="G9" s="10"/>
      <c r="H9" s="10"/>
    </row>
    <row r="10" spans="1:16" ht="15">
      <c r="A10" s="283"/>
      <c r="B10" s="10"/>
      <c r="C10" s="10"/>
      <c r="D10" s="669"/>
      <c r="E10" s="520"/>
      <c r="F10" s="520"/>
      <c r="G10" s="12"/>
      <c r="H10" s="10"/>
      <c r="N10" s="285"/>
      <c r="O10" s="285"/>
      <c r="P10" s="286"/>
    </row>
    <row r="11" spans="2:15" ht="15">
      <c r="B11" s="10"/>
      <c r="C11" s="284"/>
      <c r="D11" s="669"/>
      <c r="E11" s="284"/>
      <c r="F11" s="284"/>
      <c r="G11" s="284"/>
      <c r="H11" s="284"/>
      <c r="N11" s="10"/>
      <c r="O11" s="10"/>
    </row>
    <row r="12" spans="2:8" ht="15">
      <c r="B12" s="284"/>
      <c r="C12" s="287"/>
      <c r="D12" s="288"/>
      <c r="E12" s="288"/>
      <c r="F12" s="288"/>
      <c r="G12" s="288"/>
      <c r="H12" s="289"/>
    </row>
    <row r="13" spans="2:8" ht="15">
      <c r="B13" s="284"/>
      <c r="C13" s="287"/>
      <c r="D13" s="288"/>
      <c r="E13" s="288"/>
      <c r="F13" s="288"/>
      <c r="G13" s="288"/>
      <c r="H13" s="289"/>
    </row>
    <row r="15" spans="2:8" ht="27.75" customHeight="1">
      <c r="B15" s="280" t="str">
        <f>+'Introducción de datos'!B84&amp;"            "&amp;+J3&amp;" "&amp;+L3</f>
        <v>M3: Acuerdos contractuales (subreceptores)             Periodo: P6</v>
      </c>
      <c r="H15" s="280" t="str">
        <f>+'Introducción de datos'!B89&amp;"                "&amp;+J3&amp;" "&amp;+L3</f>
        <v>M4: Número de informes completos recibidos a tiempo                Periodo: P6</v>
      </c>
    </row>
    <row r="16" spans="2:12" ht="33.75" customHeight="1">
      <c r="B16" s="423" t="s">
        <v>291</v>
      </c>
      <c r="C16" s="663" t="s">
        <v>403</v>
      </c>
      <c r="D16" s="663"/>
      <c r="E16" s="663"/>
      <c r="F16" s="663"/>
      <c r="G16" s="282"/>
      <c r="H16" s="423" t="s">
        <v>291</v>
      </c>
      <c r="I16" s="663" t="s">
        <v>385</v>
      </c>
      <c r="J16" s="663"/>
      <c r="K16" s="663"/>
      <c r="L16" s="663"/>
    </row>
    <row r="17" spans="2:8" ht="15">
      <c r="B17" s="290"/>
      <c r="H17" s="291"/>
    </row>
    <row r="18" ht="15">
      <c r="M18" s="252"/>
    </row>
    <row r="25" ht="22.5" customHeight="1"/>
    <row r="26" spans="2:8" ht="15">
      <c r="B26" s="280" t="str">
        <f>+'Introducción de datos'!B96</f>
        <v>M5: Presupuesto y compra de productos y equipo sanitario, medicamentos y productos farmacéuticos</v>
      </c>
      <c r="H26" s="280" t="str">
        <f>+'Introducción de datos'!B109&amp;"    "&amp;+J3&amp;"  "&amp;+L3</f>
        <v>M6: Diferencia entre existencias actuales y existencias de seguridad    Periodo:  P6</v>
      </c>
    </row>
    <row r="27" spans="2:12" ht="36.75" customHeight="1">
      <c r="B27" s="423" t="s">
        <v>291</v>
      </c>
      <c r="C27" s="670" t="s">
        <v>386</v>
      </c>
      <c r="D27" s="671"/>
      <c r="E27" s="671"/>
      <c r="F27" s="672"/>
      <c r="G27" s="282"/>
      <c r="H27" s="423" t="s">
        <v>291</v>
      </c>
      <c r="I27" s="670" t="s">
        <v>397</v>
      </c>
      <c r="J27" s="671"/>
      <c r="K27" s="671"/>
      <c r="L27" s="672"/>
    </row>
    <row r="29" spans="6:12" ht="104.25" customHeight="1" thickBot="1">
      <c r="F29" s="292"/>
      <c r="G29" s="292"/>
      <c r="H29" s="453" t="s">
        <v>265</v>
      </c>
      <c r="I29" s="454" t="s">
        <v>266</v>
      </c>
      <c r="J29" s="455" t="s">
        <v>296</v>
      </c>
      <c r="K29" s="456" t="s">
        <v>297</v>
      </c>
      <c r="L29" s="457" t="s">
        <v>298</v>
      </c>
    </row>
    <row r="30" spans="6:12" ht="15" customHeight="1">
      <c r="F30" s="292"/>
      <c r="G30" s="292"/>
      <c r="H30" s="683" t="str">
        <f>+'Introducción de datos'!B112</f>
        <v>VIH / SIDA</v>
      </c>
      <c r="I30" s="458" t="str">
        <f>+'Introducción de datos'!C112</f>
        <v>CONDONES MASCULINOS (HSH)</v>
      </c>
      <c r="J30" s="678">
        <f>+'Introducción de datos'!I112</f>
        <v>8.813156007099419</v>
      </c>
      <c r="K30" s="687">
        <f>+'Introducción de datos'!J112</f>
        <v>5</v>
      </c>
      <c r="L30" s="691">
        <f>+'Introducción de datos'!K112</f>
        <v>3.813156007099419</v>
      </c>
    </row>
    <row r="31" spans="6:12" ht="15">
      <c r="F31" s="292"/>
      <c r="G31" s="292"/>
      <c r="H31" s="684"/>
      <c r="I31" s="293" t="str">
        <f>+'Introducción de datos'!C113</f>
        <v>CONDONES MASCULINOS (TS)</v>
      </c>
      <c r="J31" s="679"/>
      <c r="K31" s="688"/>
      <c r="L31" s="665"/>
    </row>
    <row r="32" spans="6:12" ht="15">
      <c r="F32" s="292"/>
      <c r="G32" s="292"/>
      <c r="H32" s="684"/>
      <c r="I32" s="293" t="str">
        <f>+'Introducción de datos'!C114</f>
        <v>CONDONES MASCULINOS (TRANS)</v>
      </c>
      <c r="J32" s="680"/>
      <c r="K32" s="689"/>
      <c r="L32" s="666"/>
    </row>
    <row r="33" spans="6:12" ht="15">
      <c r="F33" s="292"/>
      <c r="G33" s="292"/>
      <c r="H33" s="684"/>
      <c r="I33" s="293" t="str">
        <f>+'Introducción de datos'!C115</f>
        <v>CONDONES FEMENINOS (TS)</v>
      </c>
      <c r="J33" s="294">
        <f>+'Introducción de datos'!I115</f>
        <v>13.0319563522993</v>
      </c>
      <c r="K33" s="295">
        <f>+'Introducción de datos'!J115</f>
        <v>5</v>
      </c>
      <c r="L33" s="459">
        <f>+'Introducción de datos'!K115</f>
        <v>8.0319563522993</v>
      </c>
    </row>
    <row r="34" spans="6:12" ht="15">
      <c r="F34" s="292"/>
      <c r="G34" s="292"/>
      <c r="H34" s="684"/>
      <c r="I34" s="293" t="str">
        <f>+'Introducción de datos'!C116</f>
        <v>PRUEBAS RAPIDAS*</v>
      </c>
      <c r="J34" s="294">
        <f>+'Introducción de datos'!I116</f>
        <v>14.877040986337889</v>
      </c>
      <c r="K34" s="295">
        <f>+'Introducción de datos'!J116</f>
        <v>5</v>
      </c>
      <c r="L34" s="459">
        <f>+'Introducción de datos'!K116</f>
        <v>9.877040986337889</v>
      </c>
    </row>
    <row r="35" spans="6:12" ht="15.75" thickBot="1">
      <c r="F35" s="292"/>
      <c r="G35" s="292"/>
      <c r="H35" s="684"/>
      <c r="I35" s="452" t="str">
        <f>+'Introducción de datos'!C117</f>
        <v>MANTAS DE LATEX</v>
      </c>
      <c r="J35" s="294">
        <f>+'Introducción de datos'!I117</f>
        <v>14.387878530653822</v>
      </c>
      <c r="K35" s="295">
        <f>+'Introducción de datos'!J117</f>
        <v>5</v>
      </c>
      <c r="L35" s="459">
        <f>+'Introducción de datos'!K117</f>
        <v>9.387878530653822</v>
      </c>
    </row>
    <row r="36" spans="2:12" ht="18" customHeight="1" thickBot="1">
      <c r="B36" s="673"/>
      <c r="C36" s="673"/>
      <c r="D36" s="673"/>
      <c r="E36" s="673"/>
      <c r="F36" s="10"/>
      <c r="G36" s="10"/>
      <c r="H36" s="685"/>
      <c r="I36" s="452" t="str">
        <f>+'Introducción de datos'!C118</f>
        <v>LUBRICANTES/TUBOS HSH</v>
      </c>
      <c r="J36" s="681">
        <f>+'Introducción de datos'!I118</f>
        <v>16.726368578532597</v>
      </c>
      <c r="K36" s="690">
        <f>+'Introducción de datos'!J118</f>
        <v>5</v>
      </c>
      <c r="L36" s="664">
        <f>+'Introducción de datos'!K118</f>
        <v>11.726368578532597</v>
      </c>
    </row>
    <row r="37" spans="2:12" ht="15.75" thickBot="1">
      <c r="B37" s="673"/>
      <c r="C37" s="673"/>
      <c r="D37" s="673"/>
      <c r="E37" s="673"/>
      <c r="H37" s="685"/>
      <c r="I37" s="452" t="str">
        <f>+'Introducción de datos'!C119</f>
        <v>LUBRICANTES/TUBOS TS</v>
      </c>
      <c r="J37" s="679"/>
      <c r="K37" s="688"/>
      <c r="L37" s="665"/>
    </row>
    <row r="38" spans="2:12" ht="15.75" thickBot="1">
      <c r="B38" s="673"/>
      <c r="C38" s="673"/>
      <c r="D38" s="673"/>
      <c r="E38" s="673"/>
      <c r="H38" s="685"/>
      <c r="I38" s="452" t="str">
        <f>+'Introducción de datos'!C120</f>
        <v>LUBRICANTES/TUBOS TRANS</v>
      </c>
      <c r="J38" s="680"/>
      <c r="K38" s="689"/>
      <c r="L38" s="666"/>
    </row>
    <row r="39" spans="8:12" ht="15.75" thickBot="1">
      <c r="H39" s="685"/>
      <c r="I39" s="452" t="str">
        <f>+'Introducción de datos'!C121</f>
        <v>LUBRICANTES/SACHETS HSH</v>
      </c>
      <c r="J39" s="681">
        <f>+'Introducción de datos'!I121</f>
        <v>12.492314746308473</v>
      </c>
      <c r="K39" s="690">
        <f>+'Introducción de datos'!J121</f>
        <v>5</v>
      </c>
      <c r="L39" s="664">
        <f>+'Introducción de datos'!K121</f>
        <v>7.492314746308473</v>
      </c>
    </row>
    <row r="40" spans="8:12" ht="15.75" thickBot="1">
      <c r="H40" s="685"/>
      <c r="I40" s="482" t="str">
        <f>+'Introducción de datos'!C122</f>
        <v>LUBRICANTES/SACHETS TS</v>
      </c>
      <c r="J40" s="679"/>
      <c r="K40" s="688"/>
      <c r="L40" s="665"/>
    </row>
    <row r="41" spans="8:12" ht="15.75" thickBot="1">
      <c r="H41" s="686"/>
      <c r="I41" s="487" t="str">
        <f>+'Introducción de datos'!C122</f>
        <v>LUBRICANTES/SACHETS TS</v>
      </c>
      <c r="J41" s="692"/>
      <c r="K41" s="693"/>
      <c r="L41" s="682"/>
    </row>
  </sheetData>
  <sheetProtection/>
  <mergeCells count="28">
    <mergeCell ref="L39:L41"/>
    <mergeCell ref="I27:L27"/>
    <mergeCell ref="H30:H41"/>
    <mergeCell ref="K30:K32"/>
    <mergeCell ref="K36:K38"/>
    <mergeCell ref="L30:L32"/>
    <mergeCell ref="J39:J41"/>
    <mergeCell ref="K39:K41"/>
    <mergeCell ref="B2:L2"/>
    <mergeCell ref="C3:D3"/>
    <mergeCell ref="E3:I3"/>
    <mergeCell ref="J3:K3"/>
    <mergeCell ref="J30:J32"/>
    <mergeCell ref="J36:J38"/>
    <mergeCell ref="C4:D4"/>
    <mergeCell ref="E4:I4"/>
    <mergeCell ref="J4:K4"/>
    <mergeCell ref="D5:J5"/>
    <mergeCell ref="C16:F16"/>
    <mergeCell ref="L36:L38"/>
    <mergeCell ref="E6:I6"/>
    <mergeCell ref="C8:F8"/>
    <mergeCell ref="I8:L8"/>
    <mergeCell ref="D10:D11"/>
    <mergeCell ref="E10:F10"/>
    <mergeCell ref="I16:L16"/>
    <mergeCell ref="C27:F27"/>
    <mergeCell ref="B36:E38"/>
  </mergeCells>
  <conditionalFormatting sqref="D12:D13">
    <cfRule type="cellIs" priority="12" dxfId="49" operator="greaterThan" stopIfTrue="1">
      <formula>0</formula>
    </cfRule>
  </conditionalFormatting>
  <conditionalFormatting sqref="E12:E13">
    <cfRule type="cellIs" priority="13" dxfId="54" operator="greaterThan" stopIfTrue="1">
      <formula>0</formula>
    </cfRule>
  </conditionalFormatting>
  <conditionalFormatting sqref="F12:G13">
    <cfRule type="cellIs" priority="14" dxfId="42" operator="greaterThan" stopIfTrue="1">
      <formula>0</formula>
    </cfRule>
  </conditionalFormatting>
  <conditionalFormatting sqref="C4:D4">
    <cfRule type="cellIs" priority="15" dxfId="42" operator="equal" stopIfTrue="1">
      <formula>"C"</formula>
    </cfRule>
    <cfRule type="cellIs" priority="16" dxfId="43" operator="equal" stopIfTrue="1">
      <formula>"B2"</formula>
    </cfRule>
    <cfRule type="cellIs" priority="17" dxfId="44" operator="equal" stopIfTrue="1">
      <formula>"B1"</formula>
    </cfRule>
  </conditionalFormatting>
  <conditionalFormatting sqref="L30 L39 L33 L36">
    <cfRule type="cellIs" priority="18" dxfId="55" operator="lessThan" stopIfTrue="1">
      <formula>1</formula>
    </cfRule>
    <cfRule type="cellIs" priority="19" dxfId="56" operator="between" stopIfTrue="1">
      <formula>3</formula>
      <formula>17</formula>
    </cfRule>
    <cfRule type="cellIs" priority="20" dxfId="57" operator="between" stopIfTrue="1">
      <formula>1</formula>
      <formula>3</formula>
    </cfRule>
  </conditionalFormatting>
  <conditionalFormatting sqref="L35">
    <cfRule type="cellIs" priority="4" dxfId="55" operator="lessThan" stopIfTrue="1">
      <formula>1</formula>
    </cfRule>
    <cfRule type="cellIs" priority="5" dxfId="56" operator="between" stopIfTrue="1">
      <formula>3</formula>
      <formula>18</formula>
    </cfRule>
    <cfRule type="cellIs" priority="6" dxfId="57"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28"/>
  <sheetViews>
    <sheetView showGridLines="0" zoomScale="96" zoomScaleNormal="96" zoomScalePageLayoutView="0" workbookViewId="0" topLeftCell="A19">
      <selection activeCell="F20" sqref="F20"/>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23.7109375" style="0" customWidth="1"/>
    <col min="18" max="18" width="21.8515625" style="0" customWidth="1"/>
  </cols>
  <sheetData>
    <row r="1" spans="1:16" ht="26.25" customHeight="1">
      <c r="A1" s="6"/>
      <c r="B1" s="6"/>
      <c r="C1" s="6"/>
      <c r="D1" s="6"/>
      <c r="E1" s="6"/>
      <c r="F1" s="6"/>
      <c r="G1" s="6"/>
      <c r="H1" s="6"/>
      <c r="I1" s="6"/>
      <c r="J1" s="6"/>
      <c r="K1" s="6"/>
      <c r="L1" s="6"/>
      <c r="M1" s="6"/>
      <c r="N1" s="6"/>
      <c r="O1" s="6"/>
      <c r="P1" s="6"/>
    </row>
    <row r="2" spans="1:17" ht="21.75" customHeight="1">
      <c r="A2" s="6"/>
      <c r="B2" s="704" t="str">
        <f>+"Cuadro de mando:  "&amp;"  "&amp;+'Introducción de datos'!C4&amp;" - "&amp;'Introducción de datos'!G6</f>
        <v>Cuadro de mando:    El Salvador - VIH / SIDA</v>
      </c>
      <c r="C2" s="704"/>
      <c r="D2" s="704"/>
      <c r="E2" s="704"/>
      <c r="F2" s="704"/>
      <c r="G2" s="704"/>
      <c r="H2" s="704"/>
      <c r="I2" s="704"/>
      <c r="J2" s="704"/>
      <c r="K2" s="704"/>
      <c r="L2" s="704"/>
      <c r="M2" s="704"/>
      <c r="N2" s="704"/>
      <c r="O2" s="704"/>
      <c r="P2" s="704"/>
      <c r="Q2" s="704"/>
    </row>
    <row r="3" spans="1:17" ht="15">
      <c r="A3" s="6"/>
      <c r="B3" s="249" t="str">
        <f>+'Introducción de datos'!G8</f>
        <v>Seleccionar</v>
      </c>
      <c r="C3" s="642" t="str">
        <f>+'Introducción de datos'!I8</f>
        <v>Seleccionar</v>
      </c>
      <c r="D3" s="642"/>
      <c r="E3" s="643"/>
      <c r="F3" s="643"/>
      <c r="G3" s="643"/>
      <c r="H3" s="643"/>
      <c r="I3" s="643"/>
      <c r="J3" s="643"/>
      <c r="K3" s="643"/>
      <c r="L3" s="6"/>
      <c r="M3" s="6"/>
      <c r="O3" s="644" t="str">
        <f>+'Introducción de datos'!B16</f>
        <v>Periodo:</v>
      </c>
      <c r="P3" s="644"/>
      <c r="Q3" s="296" t="str">
        <f>+'Introducción de datos'!C16</f>
        <v>P6</v>
      </c>
    </row>
    <row r="4" spans="1:29" ht="12" customHeight="1">
      <c r="A4" s="6"/>
      <c r="B4" s="249" t="str">
        <f>+'Introducción de datos'!B12</f>
        <v>Ultima calificación:</v>
      </c>
      <c r="C4" s="697" t="str">
        <f>+'Introducción de datos'!C12</f>
        <v>B1</v>
      </c>
      <c r="D4" s="697"/>
      <c r="E4" s="643" t="str">
        <f>+'Introducción de datos'!C8</f>
        <v>PLAN  INTERNACIONAL</v>
      </c>
      <c r="F4" s="643"/>
      <c r="G4" s="643"/>
      <c r="H4" s="643"/>
      <c r="I4" s="643"/>
      <c r="J4" s="643"/>
      <c r="K4" s="643"/>
      <c r="L4" s="643"/>
      <c r="M4" s="6"/>
      <c r="O4" s="297"/>
      <c r="P4" s="249" t="str">
        <f>+'Introducción de datos'!D16</f>
        <v>Desde:</v>
      </c>
      <c r="Q4" s="298">
        <f>+'Introducción de datos'!E16</f>
        <v>42552</v>
      </c>
      <c r="Y4" s="263"/>
      <c r="Z4" s="263"/>
      <c r="AA4" s="263"/>
      <c r="AB4" s="263"/>
      <c r="AC4" s="263"/>
    </row>
    <row r="5" spans="1:35" ht="15.75" customHeight="1">
      <c r="A5" s="6"/>
      <c r="B5" s="249"/>
      <c r="C5" s="249"/>
      <c r="D5" s="643" t="str">
        <f>+'Introducción de datos'!G4</f>
        <v>INNOVANDO SERVICIOS, REDUCIENDO RIESGOS, RENOVANDO VIDAS EN EL SALVADOR</v>
      </c>
      <c r="E5" s="643"/>
      <c r="F5" s="643"/>
      <c r="G5" s="643"/>
      <c r="H5" s="643"/>
      <c r="I5" s="643"/>
      <c r="J5" s="643"/>
      <c r="K5" s="643"/>
      <c r="L5" s="643"/>
      <c r="M5" s="643"/>
      <c r="N5" s="643"/>
      <c r="P5" s="249" t="str">
        <f>+'Introducción de datos'!F16</f>
        <v>Hasta:</v>
      </c>
      <c r="Q5" s="298">
        <f>+'Introducción de datos'!G16</f>
        <v>42735</v>
      </c>
      <c r="S5" s="299"/>
      <c r="T5" s="299"/>
      <c r="U5" s="299"/>
      <c r="V5" s="299"/>
      <c r="W5" s="299"/>
      <c r="X5" s="299"/>
      <c r="Y5" s="263"/>
      <c r="Z5" s="263"/>
      <c r="AA5" s="263" t="s">
        <v>299</v>
      </c>
      <c r="AB5" s="263"/>
      <c r="AC5" s="300" t="s">
        <v>300</v>
      </c>
      <c r="AD5" s="299"/>
      <c r="AE5" s="299"/>
      <c r="AF5" s="299"/>
      <c r="AG5" s="299"/>
      <c r="AH5" s="299"/>
      <c r="AI5" s="299"/>
    </row>
    <row r="6" spans="1:35" ht="15.75" customHeight="1">
      <c r="A6" s="6"/>
      <c r="B6" s="249"/>
      <c r="C6" s="249"/>
      <c r="D6" s="301"/>
      <c r="E6" s="301"/>
      <c r="F6" s="698" t="s">
        <v>301</v>
      </c>
      <c r="G6" s="698"/>
      <c r="H6" s="698"/>
      <c r="I6" s="698"/>
      <c r="J6" s="698"/>
      <c r="K6" s="698"/>
      <c r="L6" s="301"/>
      <c r="M6" s="6"/>
      <c r="N6" s="6"/>
      <c r="O6" s="302"/>
      <c r="P6" s="303"/>
      <c r="S6" s="299"/>
      <c r="T6" s="299"/>
      <c r="U6" s="299"/>
      <c r="V6" s="299"/>
      <c r="W6" s="299"/>
      <c r="X6" s="299"/>
      <c r="Y6" s="263"/>
      <c r="Z6" s="263"/>
      <c r="AA6" s="263"/>
      <c r="AB6" s="263"/>
      <c r="AC6" s="263"/>
      <c r="AD6" s="299"/>
      <c r="AE6" s="299"/>
      <c r="AF6" s="299"/>
      <c r="AG6" s="299"/>
      <c r="AH6" s="299"/>
      <c r="AI6" s="299"/>
    </row>
    <row r="7" spans="1:35" ht="3" customHeight="1">
      <c r="A7" s="6"/>
      <c r="B7" s="249"/>
      <c r="C7" s="249"/>
      <c r="D7" s="301"/>
      <c r="E7" s="301"/>
      <c r="F7" s="301"/>
      <c r="G7" s="301"/>
      <c r="H7" s="301"/>
      <c r="I7" s="301"/>
      <c r="J7" s="301"/>
      <c r="K7" s="301"/>
      <c r="L7" s="301"/>
      <c r="M7" s="6"/>
      <c r="N7" s="6"/>
      <c r="O7" s="302"/>
      <c r="P7" s="253"/>
      <c r="Q7" s="253"/>
      <c r="S7" s="299"/>
      <c r="T7" s="299"/>
      <c r="U7" s="299"/>
      <c r="V7" s="299"/>
      <c r="W7" s="299"/>
      <c r="X7" s="299"/>
      <c r="Y7" s="263"/>
      <c r="Z7" s="263"/>
      <c r="AA7" s="263"/>
      <c r="AB7" s="263"/>
      <c r="AC7" s="263"/>
      <c r="AD7" s="299"/>
      <c r="AE7" s="299"/>
      <c r="AF7" s="299"/>
      <c r="AG7" s="299"/>
      <c r="AH7" s="299"/>
      <c r="AI7" s="299"/>
    </row>
    <row r="8" spans="1:35" ht="18.75" customHeight="1">
      <c r="A8" s="6"/>
      <c r="B8" s="705" t="str">
        <f>+'Introducción de datos'!B130</f>
        <v>% Y Número de personas HSH alcanzadas con el paquete básico de prevención de VIH</v>
      </c>
      <c r="C8" s="705"/>
      <c r="D8" s="705"/>
      <c r="E8" s="705"/>
      <c r="F8" s="705" t="str">
        <f>+'Introducción de datos'!B132</f>
        <v>% Y Número de personas TS alcanzadas con el paquete básico de prevención de VIH</v>
      </c>
      <c r="G8" s="705"/>
      <c r="H8" s="705"/>
      <c r="I8" s="705"/>
      <c r="J8" s="705"/>
      <c r="K8" s="705"/>
      <c r="L8" s="705" t="str">
        <f>+'Introducción de datos'!B134</f>
        <v>% Y Número de personas TRANS alcanzadas con el paquete básico de prevención de VIH</v>
      </c>
      <c r="M8" s="705"/>
      <c r="N8" s="705"/>
      <c r="O8" s="705"/>
      <c r="P8" s="705"/>
      <c r="Q8" s="705"/>
      <c r="S8" s="299"/>
      <c r="T8" s="299"/>
      <c r="U8" s="299"/>
      <c r="V8" s="299"/>
      <c r="W8" s="299"/>
      <c r="X8" s="299"/>
      <c r="Y8" s="263"/>
      <c r="Z8" s="263"/>
      <c r="AA8" s="263"/>
      <c r="AB8" s="263"/>
      <c r="AC8" s="263"/>
      <c r="AD8" s="299"/>
      <c r="AE8" s="299"/>
      <c r="AF8" s="299"/>
      <c r="AG8" s="299"/>
      <c r="AH8" s="299"/>
      <c r="AI8" s="299"/>
    </row>
    <row r="9" spans="1:35" ht="75" customHeight="1">
      <c r="A9" s="6"/>
      <c r="B9" s="422" t="s">
        <v>302</v>
      </c>
      <c r="C9" s="699" t="s">
        <v>387</v>
      </c>
      <c r="D9" s="700"/>
      <c r="E9" s="701"/>
      <c r="F9" s="422" t="s">
        <v>302</v>
      </c>
      <c r="G9" s="699" t="s">
        <v>388</v>
      </c>
      <c r="H9" s="700"/>
      <c r="I9" s="700"/>
      <c r="J9" s="700"/>
      <c r="K9" s="701"/>
      <c r="L9" s="422" t="s">
        <v>302</v>
      </c>
      <c r="M9" s="699" t="s">
        <v>389</v>
      </c>
      <c r="N9" s="700"/>
      <c r="O9" s="700"/>
      <c r="P9" s="700"/>
      <c r="Q9" s="701"/>
      <c r="S9" s="299"/>
      <c r="T9" s="299"/>
      <c r="U9" s="299"/>
      <c r="V9" s="299"/>
      <c r="W9" s="299"/>
      <c r="X9" s="299"/>
      <c r="Y9" s="299"/>
      <c r="Z9" s="299"/>
      <c r="AA9" s="299"/>
      <c r="AB9" s="299"/>
      <c r="AC9" s="299"/>
      <c r="AD9" s="299"/>
      <c r="AE9" s="299"/>
      <c r="AF9" s="299"/>
      <c r="AG9" s="299"/>
      <c r="AH9" s="299"/>
      <c r="AI9" s="299"/>
    </row>
    <row r="10" spans="1:35" ht="18.75" customHeight="1">
      <c r="A10" s="6"/>
      <c r="B10" s="249"/>
      <c r="C10" s="249"/>
      <c r="D10" s="301"/>
      <c r="E10" s="301"/>
      <c r="F10" s="301"/>
      <c r="G10" s="301"/>
      <c r="H10" s="301"/>
      <c r="I10" s="301"/>
      <c r="J10" s="301"/>
      <c r="K10" s="301"/>
      <c r="L10" s="301"/>
      <c r="M10" s="6"/>
      <c r="N10" s="6"/>
      <c r="O10" s="302"/>
      <c r="P10" s="253"/>
      <c r="S10" s="299"/>
      <c r="T10" s="299"/>
      <c r="U10" s="299"/>
      <c r="V10" s="299"/>
      <c r="W10" s="299"/>
      <c r="X10" s="299"/>
      <c r="Y10" s="299"/>
      <c r="Z10" s="299"/>
      <c r="AA10" s="299"/>
      <c r="AB10" s="299"/>
      <c r="AC10" s="299"/>
      <c r="AD10" s="299"/>
      <c r="AE10" s="299"/>
      <c r="AF10" s="299"/>
      <c r="AG10" s="299"/>
      <c r="AH10" s="299"/>
      <c r="AI10" s="299"/>
    </row>
    <row r="11" spans="1:35" ht="18.75" customHeight="1">
      <c r="A11" s="6"/>
      <c r="B11" s="249"/>
      <c r="C11" s="249"/>
      <c r="D11" s="301"/>
      <c r="E11" s="301"/>
      <c r="F11" s="301"/>
      <c r="G11" s="301"/>
      <c r="H11" s="301"/>
      <c r="I11" s="301"/>
      <c r="J11" s="301"/>
      <c r="K11" s="301"/>
      <c r="L11" s="301"/>
      <c r="M11" s="6"/>
      <c r="N11" s="6"/>
      <c r="O11" s="302"/>
      <c r="P11" s="253"/>
      <c r="S11" s="299"/>
      <c r="T11" s="299"/>
      <c r="U11" s="299"/>
      <c r="V11" s="299"/>
      <c r="W11" s="299"/>
      <c r="X11" s="299"/>
      <c r="Y11" s="299"/>
      <c r="Z11" s="299"/>
      <c r="AA11" s="299"/>
      <c r="AB11" s="299"/>
      <c r="AC11" s="299"/>
      <c r="AD11" s="299"/>
      <c r="AE11" s="299"/>
      <c r="AF11" s="299"/>
      <c r="AG11" s="299"/>
      <c r="AH11" s="299"/>
      <c r="AI11" s="299"/>
    </row>
    <row r="12" spans="1:35" ht="18.75" customHeight="1">
      <c r="A12" s="6"/>
      <c r="B12" s="249"/>
      <c r="C12" s="249"/>
      <c r="D12" s="301"/>
      <c r="E12" s="301"/>
      <c r="F12" s="301"/>
      <c r="G12" s="301"/>
      <c r="H12" s="301"/>
      <c r="I12" s="301"/>
      <c r="J12" s="301"/>
      <c r="K12" s="301"/>
      <c r="L12" s="301"/>
      <c r="M12" s="6"/>
      <c r="N12" s="6"/>
      <c r="O12" s="302"/>
      <c r="P12" s="253"/>
      <c r="S12" s="299"/>
      <c r="T12" s="299"/>
      <c r="U12" s="299"/>
      <c r="V12" s="299"/>
      <c r="W12" s="299"/>
      <c r="X12" s="299"/>
      <c r="Y12" s="299"/>
      <c r="Z12" s="299"/>
      <c r="AA12" s="299"/>
      <c r="AB12" s="299"/>
      <c r="AC12" s="299"/>
      <c r="AD12" s="299"/>
      <c r="AE12" s="299"/>
      <c r="AF12" s="299"/>
      <c r="AG12" s="299"/>
      <c r="AH12" s="299"/>
      <c r="AI12" s="299"/>
    </row>
    <row r="13" spans="1:35" ht="18.75" customHeight="1">
      <c r="A13" s="6"/>
      <c r="B13" s="249"/>
      <c r="C13" s="249"/>
      <c r="D13" s="301"/>
      <c r="E13" s="301"/>
      <c r="F13" s="301"/>
      <c r="G13" s="301"/>
      <c r="H13" s="301"/>
      <c r="I13" s="301"/>
      <c r="J13" s="301"/>
      <c r="K13" s="301"/>
      <c r="L13" s="301"/>
      <c r="M13" s="6"/>
      <c r="N13" s="6"/>
      <c r="O13" s="302"/>
      <c r="P13" s="253"/>
      <c r="S13" s="299"/>
      <c r="T13" s="299"/>
      <c r="U13" s="299"/>
      <c r="V13" s="299"/>
      <c r="W13" s="299"/>
      <c r="X13" s="299"/>
      <c r="Y13" s="299"/>
      <c r="Z13" s="299"/>
      <c r="AA13" s="299"/>
      <c r="AB13" s="299"/>
      <c r="AC13" s="299"/>
      <c r="AD13" s="299"/>
      <c r="AE13" s="299"/>
      <c r="AF13" s="299"/>
      <c r="AG13" s="299"/>
      <c r="AH13" s="299"/>
      <c r="AI13" s="299"/>
    </row>
    <row r="14" spans="1:35" ht="18.75" customHeight="1">
      <c r="A14" s="6"/>
      <c r="B14" s="249"/>
      <c r="C14" s="249"/>
      <c r="D14" s="301"/>
      <c r="E14" s="301"/>
      <c r="F14" s="301"/>
      <c r="G14" s="301"/>
      <c r="H14" s="301"/>
      <c r="I14" s="301"/>
      <c r="J14" s="301"/>
      <c r="K14" s="301"/>
      <c r="L14" s="301"/>
      <c r="M14" s="6"/>
      <c r="N14" s="6"/>
      <c r="O14" s="302"/>
      <c r="P14" s="253"/>
      <c r="S14" s="299"/>
      <c r="T14" s="299"/>
      <c r="U14" s="299"/>
      <c r="V14" s="299"/>
      <c r="W14" s="299"/>
      <c r="X14" s="299"/>
      <c r="Y14" s="299"/>
      <c r="Z14" s="299"/>
      <c r="AA14" s="299"/>
      <c r="AB14" s="299"/>
      <c r="AC14" s="299"/>
      <c r="AD14" s="299"/>
      <c r="AE14" s="299"/>
      <c r="AF14" s="299"/>
      <c r="AG14" s="299"/>
      <c r="AH14" s="299"/>
      <c r="AI14" s="299"/>
    </row>
    <row r="15" spans="1:35" ht="18.75" customHeight="1">
      <c r="A15" s="6"/>
      <c r="B15" s="249"/>
      <c r="C15" s="249"/>
      <c r="D15" s="301"/>
      <c r="E15" s="301"/>
      <c r="F15" s="301"/>
      <c r="G15" s="301"/>
      <c r="H15" s="301"/>
      <c r="I15" s="301"/>
      <c r="J15" s="301"/>
      <c r="K15" s="301"/>
      <c r="L15" s="301"/>
      <c r="M15" s="6"/>
      <c r="N15" s="6"/>
      <c r="O15" s="302"/>
      <c r="P15" s="253"/>
      <c r="S15" s="299"/>
      <c r="T15" s="299"/>
      <c r="U15" s="299"/>
      <c r="V15" s="299"/>
      <c r="W15" s="299"/>
      <c r="X15" s="299"/>
      <c r="Y15" s="299"/>
      <c r="Z15" s="299"/>
      <c r="AA15" s="299"/>
      <c r="AB15" s="299"/>
      <c r="AC15" s="299"/>
      <c r="AD15" s="299"/>
      <c r="AE15" s="299"/>
      <c r="AF15" s="299"/>
      <c r="AG15" s="299"/>
      <c r="AH15" s="299"/>
      <c r="AI15" s="299"/>
    </row>
    <row r="16" spans="1:35" ht="18.75" customHeight="1">
      <c r="A16" s="6"/>
      <c r="B16" s="249"/>
      <c r="C16" s="249"/>
      <c r="D16" s="301"/>
      <c r="E16" s="301"/>
      <c r="F16" s="301"/>
      <c r="G16" s="301"/>
      <c r="H16" s="301"/>
      <c r="I16" s="301"/>
      <c r="J16" s="301"/>
      <c r="K16" s="301"/>
      <c r="L16" s="301"/>
      <c r="M16" s="6"/>
      <c r="N16" s="6"/>
      <c r="O16" s="302"/>
      <c r="P16" s="253"/>
      <c r="S16" s="299"/>
      <c r="T16" s="299"/>
      <c r="U16" s="299"/>
      <c r="V16" s="299"/>
      <c r="W16" s="299"/>
      <c r="X16" s="299"/>
      <c r="Y16" s="299"/>
      <c r="Z16" s="299"/>
      <c r="AA16" s="299"/>
      <c r="AB16" s="299"/>
      <c r="AC16" s="299"/>
      <c r="AD16" s="299"/>
      <c r="AE16" s="299"/>
      <c r="AF16" s="299"/>
      <c r="AG16" s="299"/>
      <c r="AH16" s="299"/>
      <c r="AI16" s="299"/>
    </row>
    <row r="17" spans="1:35" ht="17.25" customHeight="1">
      <c r="A17" s="6"/>
      <c r="B17" s="249"/>
      <c r="C17" s="249"/>
      <c r="D17" s="301"/>
      <c r="E17" s="301"/>
      <c r="F17" s="301"/>
      <c r="G17" s="301"/>
      <c r="H17" s="301"/>
      <c r="I17" s="301"/>
      <c r="J17" s="301"/>
      <c r="K17" s="301"/>
      <c r="L17" s="301"/>
      <c r="M17" s="6"/>
      <c r="N17" s="6"/>
      <c r="O17" s="302"/>
      <c r="P17" s="253"/>
      <c r="S17" s="299"/>
      <c r="T17" s="299"/>
      <c r="U17" s="299"/>
      <c r="V17" s="299"/>
      <c r="W17" s="299"/>
      <c r="X17" s="299"/>
      <c r="Y17" s="299"/>
      <c r="Z17" s="299"/>
      <c r="AA17" s="299"/>
      <c r="AB17" s="299"/>
      <c r="AC17" s="299"/>
      <c r="AD17" s="299"/>
      <c r="AE17" s="299"/>
      <c r="AF17" s="299"/>
      <c r="AG17" s="299"/>
      <c r="AH17" s="299"/>
      <c r="AI17" s="299"/>
    </row>
    <row r="18" spans="1:35" ht="6" customHeight="1">
      <c r="A18" s="6"/>
      <c r="B18" s="254"/>
      <c r="C18" s="249"/>
      <c r="D18" s="255"/>
      <c r="E18" s="715"/>
      <c r="F18" s="715"/>
      <c r="G18" s="715"/>
      <c r="H18" s="715"/>
      <c r="I18" s="715"/>
      <c r="J18" s="715"/>
      <c r="K18" s="715"/>
      <c r="L18" s="6"/>
      <c r="M18" s="6"/>
      <c r="N18" s="6"/>
      <c r="O18" s="6"/>
      <c r="P18" s="6"/>
      <c r="S18" s="299"/>
      <c r="T18" s="299"/>
      <c r="U18" s="299"/>
      <c r="V18" s="299"/>
      <c r="W18" s="299"/>
      <c r="X18" s="299"/>
      <c r="Y18" s="299"/>
      <c r="Z18" s="299"/>
      <c r="AA18" s="299"/>
      <c r="AB18" s="299"/>
      <c r="AC18" s="299"/>
      <c r="AD18" s="299"/>
      <c r="AE18" s="299"/>
      <c r="AF18" s="299"/>
      <c r="AG18" s="299"/>
      <c r="AH18" s="299"/>
      <c r="AI18" s="299"/>
    </row>
    <row r="19" spans="1:35" ht="24" customHeight="1">
      <c r="A19" s="6"/>
      <c r="B19" s="716" t="s">
        <v>303</v>
      </c>
      <c r="C19" s="717"/>
      <c r="D19" s="718"/>
      <c r="E19" s="304" t="s">
        <v>279</v>
      </c>
      <c r="F19" s="304" t="s">
        <v>304</v>
      </c>
      <c r="G19" s="719" t="s">
        <v>305</v>
      </c>
      <c r="H19" s="720"/>
      <c r="I19" s="721" t="s">
        <v>306</v>
      </c>
      <c r="J19" s="722"/>
      <c r="K19" s="305" t="s">
        <v>307</v>
      </c>
      <c r="L19" s="702" t="s">
        <v>308</v>
      </c>
      <c r="M19" s="703"/>
      <c r="N19" s="703"/>
      <c r="O19" s="703"/>
      <c r="P19" s="703"/>
      <c r="Q19" s="703"/>
      <c r="R19" s="430" t="s">
        <v>315</v>
      </c>
      <c r="S19" s="428" t="s">
        <v>309</v>
      </c>
      <c r="T19" s="307">
        <v>0</v>
      </c>
      <c r="U19" s="308">
        <v>0.3</v>
      </c>
      <c r="V19" s="308">
        <v>0.6</v>
      </c>
      <c r="W19" s="308">
        <v>0.9</v>
      </c>
      <c r="X19" s="308">
        <v>1</v>
      </c>
      <c r="Y19" s="263"/>
      <c r="Z19" s="263"/>
      <c r="AA19" s="306" t="s">
        <v>310</v>
      </c>
      <c r="AB19" s="307">
        <v>0</v>
      </c>
      <c r="AC19" s="308">
        <v>0.2</v>
      </c>
      <c r="AD19" s="308">
        <v>0.4</v>
      </c>
      <c r="AE19" s="308">
        <v>0.6</v>
      </c>
      <c r="AF19" s="308">
        <v>0.8</v>
      </c>
      <c r="AG19" s="263"/>
      <c r="AH19" s="263"/>
      <c r="AI19" s="263"/>
    </row>
    <row r="20" spans="1:35" ht="204" customHeight="1">
      <c r="A20" s="6"/>
      <c r="B20" s="706" t="str">
        <f>+'Introducción de datos'!B130</f>
        <v>% Y Número de personas HSH alcanzadas con el paquete básico de prevención de VIH</v>
      </c>
      <c r="C20" s="707"/>
      <c r="D20" s="708"/>
      <c r="E20" s="425">
        <f>'Introducción de datos'!M130+'Introducción de datos'!L130</f>
        <v>13845</v>
      </c>
      <c r="F20" s="425">
        <f>'Introducción de datos'!M131+'Introducción de datos'!L131</f>
        <v>14715</v>
      </c>
      <c r="G20" s="709">
        <f aca="true" t="shared" si="0" ref="G20:G25">F20/E20</f>
        <v>1.0628385698808234</v>
      </c>
      <c r="H20" s="710"/>
      <c r="I20" s="710"/>
      <c r="J20" s="710"/>
      <c r="K20" s="711"/>
      <c r="L20" s="712" t="s">
        <v>391</v>
      </c>
      <c r="M20" s="713"/>
      <c r="N20" s="713"/>
      <c r="O20" s="713"/>
      <c r="P20" s="713"/>
      <c r="Q20" s="714"/>
      <c r="R20" s="694"/>
      <c r="S20" s="428" t="s">
        <v>311</v>
      </c>
      <c r="T20" s="309">
        <v>0.3</v>
      </c>
      <c r="U20" s="308">
        <v>0.6</v>
      </c>
      <c r="V20" s="308">
        <v>0.9</v>
      </c>
      <c r="W20" s="308">
        <v>1</v>
      </c>
      <c r="X20" s="308">
        <v>2</v>
      </c>
      <c r="Y20" s="263"/>
      <c r="Z20" s="263"/>
      <c r="AA20" s="306" t="s">
        <v>312</v>
      </c>
      <c r="AB20" s="309">
        <v>0.2</v>
      </c>
      <c r="AC20" s="308">
        <v>0.4</v>
      </c>
      <c r="AD20" s="308">
        <v>0.6</v>
      </c>
      <c r="AE20" s="308">
        <v>0.8</v>
      </c>
      <c r="AF20" s="308">
        <v>1</v>
      </c>
      <c r="AG20" s="263"/>
      <c r="AH20" s="263"/>
      <c r="AI20" s="263"/>
    </row>
    <row r="21" spans="1:35" ht="199.5" customHeight="1">
      <c r="A21" s="6"/>
      <c r="B21" s="706" t="str">
        <f>+'Introducción de datos'!B132</f>
        <v>% Y Número de personas TS alcanzadas con el paquete básico de prevención de VIH</v>
      </c>
      <c r="C21" s="707"/>
      <c r="D21" s="708"/>
      <c r="E21" s="425">
        <f>'Introducción de datos'!L132+'Introducción de datos'!M132</f>
        <v>10644</v>
      </c>
      <c r="F21" s="425">
        <f>'Introducción de datos'!L133+'Introducción de datos'!M133</f>
        <v>11234</v>
      </c>
      <c r="G21" s="709">
        <f t="shared" si="0"/>
        <v>1.0554302893649004</v>
      </c>
      <c r="H21" s="710"/>
      <c r="I21" s="710"/>
      <c r="J21" s="710"/>
      <c r="K21" s="711"/>
      <c r="L21" s="712" t="s">
        <v>392</v>
      </c>
      <c r="M21" s="713"/>
      <c r="N21" s="713"/>
      <c r="O21" s="713"/>
      <c r="P21" s="713"/>
      <c r="Q21" s="714"/>
      <c r="R21" s="695"/>
      <c r="S21" s="429"/>
      <c r="T21" s="310" t="str">
        <f>"de "&amp;T19&amp;" a "&amp;T20</f>
        <v>de 0 a 0.3</v>
      </c>
      <c r="U21" s="310" t="str">
        <f>"de "&amp;U19&amp;" a "&amp;U20</f>
        <v>de 0.3 a 0.6</v>
      </c>
      <c r="V21" s="310" t="str">
        <f>"de "&amp;V19&amp;" a "&amp;V20</f>
        <v>de 0.6 a 0.9</v>
      </c>
      <c r="W21" s="310" t="str">
        <f>"de "&amp;W19&amp;" a "&amp;W20</f>
        <v>de 0.9 a 1</v>
      </c>
      <c r="X21" s="310" t="str">
        <f>"de "&amp;X19&amp;" a "&amp;X20</f>
        <v>de 1 a 2</v>
      </c>
      <c r="Y21" s="263"/>
      <c r="Z21" s="311" t="s">
        <v>313</v>
      </c>
      <c r="AA21" s="312" t="s">
        <v>314</v>
      </c>
      <c r="AB21" s="310" t="str">
        <f>"de "&amp;AB19&amp;" a "&amp;AB20</f>
        <v>de 0 a 0.2</v>
      </c>
      <c r="AC21" s="310" t="str">
        <f>"de "&amp;AC19&amp;" a "&amp;AC20</f>
        <v>de 0.2 a 0.4</v>
      </c>
      <c r="AD21" s="310" t="str">
        <f>"de "&amp;AD19&amp;" a "&amp;AD20</f>
        <v>de 0.4 a 0.6</v>
      </c>
      <c r="AE21" s="310" t="str">
        <f>"de "&amp;AE19&amp;" a "&amp;AE20</f>
        <v>de 0.6 a 0.8</v>
      </c>
      <c r="AF21" s="310" t="str">
        <f>"de "&amp;AF19&amp;" a "&amp;AF20</f>
        <v>de 0.8 a 1</v>
      </c>
      <c r="AG21" s="263"/>
      <c r="AH21" s="263"/>
      <c r="AI21" s="263"/>
    </row>
    <row r="22" spans="1:35" ht="186" customHeight="1">
      <c r="A22" s="6"/>
      <c r="B22" s="706" t="str">
        <f>+'Introducción de datos'!B134</f>
        <v>% Y Número de personas TRANS alcanzadas con el paquete básico de prevención de VIH</v>
      </c>
      <c r="C22" s="707"/>
      <c r="D22" s="708"/>
      <c r="E22" s="425">
        <f>'Introducción de datos'!L134+'Introducción de datos'!M134</f>
        <v>1555</v>
      </c>
      <c r="F22" s="425">
        <f>'Introducción de datos'!L135+'Introducción de datos'!M135</f>
        <v>1594</v>
      </c>
      <c r="G22" s="709">
        <f t="shared" si="0"/>
        <v>1.02508038585209</v>
      </c>
      <c r="H22" s="710"/>
      <c r="I22" s="710"/>
      <c r="J22" s="710"/>
      <c r="K22" s="711"/>
      <c r="L22" s="712" t="s">
        <v>393</v>
      </c>
      <c r="M22" s="713"/>
      <c r="N22" s="713"/>
      <c r="O22" s="713"/>
      <c r="P22" s="713"/>
      <c r="Q22" s="714"/>
      <c r="R22" s="696"/>
      <c r="S22" s="429"/>
      <c r="T22" s="308" t="e">
        <f aca="true" t="shared" si="1" ref="T22:W26">IF($K20&gt;T$19,IF($K20&lt;=T$20,$K20,NA()),NA())</f>
        <v>#N/A</v>
      </c>
      <c r="U22" s="308" t="e">
        <f t="shared" si="1"/>
        <v>#N/A</v>
      </c>
      <c r="V22" s="308" t="e">
        <f t="shared" si="1"/>
        <v>#N/A</v>
      </c>
      <c r="W22" s="308" t="e">
        <f t="shared" si="1"/>
        <v>#N/A</v>
      </c>
      <c r="X22" s="308" t="e">
        <f>IF($K20&gt;X$19,IF($K20&lt;=X$20,1,NA()),NA())</f>
        <v>#N/A</v>
      </c>
      <c r="Y22" s="263"/>
      <c r="Z22" s="313" t="e">
        <f>+'Información de la subvención'!#REF!</f>
        <v>#REF!</v>
      </c>
      <c r="AA22" s="308" t="e">
        <f>+IF(Z22="A1",1,IF(Z22="A2",0.8,IF(Z22="B1",0.6,IF(Z22="B2",0.4,0.2))))</f>
        <v>#REF!</v>
      </c>
      <c r="AB22" s="308" t="e">
        <f>IF($AA22&gt;AB$19,IF($AA22&lt;=AB$20,$AA22,NA()),NA())</f>
        <v>#REF!</v>
      </c>
      <c r="AC22" s="308" t="e">
        <f aca="true" t="shared" si="2" ref="AC22:AF24">IF($AA22&gt;AC$19,IF($AA22&lt;=AC$20,$AA22,NA()),NA())</f>
        <v>#REF!</v>
      </c>
      <c r="AD22" s="308" t="e">
        <f t="shared" si="2"/>
        <v>#REF!</v>
      </c>
      <c r="AE22" s="308" t="e">
        <f t="shared" si="2"/>
        <v>#REF!</v>
      </c>
      <c r="AF22" s="308" t="e">
        <f t="shared" si="2"/>
        <v>#REF!</v>
      </c>
      <c r="AG22" s="263"/>
      <c r="AH22" s="263"/>
      <c r="AI22" s="263"/>
    </row>
    <row r="23" spans="1:35" ht="141" customHeight="1">
      <c r="A23" s="6"/>
      <c r="B23" s="706" t="str">
        <f>+'Introducción de datos'!B136</f>
        <v>% Y Número de personas HSH alcanzadas con el paquete complementario de prevención de VIH</v>
      </c>
      <c r="C23" s="707"/>
      <c r="D23" s="708"/>
      <c r="E23" s="425">
        <f>'Introducción de datos'!L136+'Introducción de datos'!M136</f>
        <v>2196</v>
      </c>
      <c r="F23" s="425">
        <f>'Introducción de datos'!L137+'Introducción de datos'!M137</f>
        <v>1989</v>
      </c>
      <c r="G23" s="709">
        <f t="shared" si="0"/>
        <v>0.9057377049180327</v>
      </c>
      <c r="H23" s="710"/>
      <c r="I23" s="710"/>
      <c r="J23" s="710"/>
      <c r="K23" s="711"/>
      <c r="L23" s="723" t="s">
        <v>394</v>
      </c>
      <c r="M23" s="724"/>
      <c r="N23" s="724"/>
      <c r="O23" s="724"/>
      <c r="P23" s="724"/>
      <c r="Q23" s="725"/>
      <c r="R23" s="694"/>
      <c r="S23" s="429"/>
      <c r="T23" s="308" t="e">
        <f t="shared" si="1"/>
        <v>#N/A</v>
      </c>
      <c r="U23" s="308" t="e">
        <f t="shared" si="1"/>
        <v>#N/A</v>
      </c>
      <c r="V23" s="308" t="e">
        <f t="shared" si="1"/>
        <v>#N/A</v>
      </c>
      <c r="W23" s="308" t="e">
        <f t="shared" si="1"/>
        <v>#N/A</v>
      </c>
      <c r="X23" s="308" t="e">
        <f>IF($K21&gt;X$19,IF($K21&lt;=X$20,1,1),NA())</f>
        <v>#N/A</v>
      </c>
      <c r="Y23" s="263"/>
      <c r="Z23" s="313" t="e">
        <f>+'Información de la subvención'!#REF!</f>
        <v>#REF!</v>
      </c>
      <c r="AA23" s="308" t="e">
        <f>+IF(Z23="A1",1,IF(Z23="A2",0.8,IF(Z23="B1",0.6,IF(Z23="B2",0.4,0.2))))</f>
        <v>#REF!</v>
      </c>
      <c r="AB23" s="308" t="e">
        <f>IF($AA23&gt;AB$19,IF($AA23&lt;=AB$20,$AA23,NA()),NA())</f>
        <v>#REF!</v>
      </c>
      <c r="AC23" s="308" t="e">
        <f t="shared" si="2"/>
        <v>#REF!</v>
      </c>
      <c r="AD23" s="308" t="e">
        <f t="shared" si="2"/>
        <v>#REF!</v>
      </c>
      <c r="AE23" s="308" t="e">
        <f t="shared" si="2"/>
        <v>#REF!</v>
      </c>
      <c r="AF23" s="308" t="e">
        <f t="shared" si="2"/>
        <v>#REF!</v>
      </c>
      <c r="AG23" s="263"/>
      <c r="AH23" s="263"/>
      <c r="AI23" s="263"/>
    </row>
    <row r="24" spans="1:35" ht="147.75" customHeight="1">
      <c r="A24" s="6"/>
      <c r="B24" s="706" t="str">
        <f>+'Introducción de datos'!B138</f>
        <v>% Y Número de personas TS alcanzadas con el paquete complementario de prevención de VIH</v>
      </c>
      <c r="C24" s="707"/>
      <c r="D24" s="708"/>
      <c r="E24" s="425">
        <f>'Introducción de datos'!L138+'Introducción de datos'!M138</f>
        <v>3072</v>
      </c>
      <c r="F24" s="425">
        <f>'Introducción de datos'!L139+'Introducción de datos'!M139</f>
        <v>3058</v>
      </c>
      <c r="G24" s="709">
        <f t="shared" si="0"/>
        <v>0.9954427083333334</v>
      </c>
      <c r="H24" s="710"/>
      <c r="I24" s="710"/>
      <c r="J24" s="710"/>
      <c r="K24" s="711"/>
      <c r="L24" s="723" t="s">
        <v>395</v>
      </c>
      <c r="M24" s="724"/>
      <c r="N24" s="724"/>
      <c r="O24" s="724"/>
      <c r="P24" s="724"/>
      <c r="Q24" s="725"/>
      <c r="R24" s="695"/>
      <c r="S24" s="429"/>
      <c r="T24" s="308" t="e">
        <f t="shared" si="1"/>
        <v>#N/A</v>
      </c>
      <c r="U24" s="308" t="e">
        <f t="shared" si="1"/>
        <v>#N/A</v>
      </c>
      <c r="V24" s="308" t="e">
        <f t="shared" si="1"/>
        <v>#N/A</v>
      </c>
      <c r="W24" s="308" t="e">
        <f t="shared" si="1"/>
        <v>#N/A</v>
      </c>
      <c r="X24" s="308" t="e">
        <f>IF($K22&gt;X$19,IF($K22&lt;=X$20,1,NA()),NA())</f>
        <v>#N/A</v>
      </c>
      <c r="Y24" s="263"/>
      <c r="Z24" s="313" t="e">
        <f>+'Información de la subvención'!#REF!</f>
        <v>#REF!</v>
      </c>
      <c r="AA24" s="308" t="e">
        <f>+IF(Z24="A1",1,IF(Z24="A2",0.8,IF(Z24="B1",0.6,IF(Z24="B2",0.4,0.2))))</f>
        <v>#REF!</v>
      </c>
      <c r="AB24" s="308" t="e">
        <f>IF($AA24&gt;AB$19,IF($AA24&lt;=AB$20,$AA24,NA()),NA())</f>
        <v>#REF!</v>
      </c>
      <c r="AC24" s="308" t="e">
        <f t="shared" si="2"/>
        <v>#REF!</v>
      </c>
      <c r="AD24" s="308" t="e">
        <f t="shared" si="2"/>
        <v>#REF!</v>
      </c>
      <c r="AE24" s="308" t="e">
        <f t="shared" si="2"/>
        <v>#REF!</v>
      </c>
      <c r="AF24" s="308" t="e">
        <f t="shared" si="2"/>
        <v>#REF!</v>
      </c>
      <c r="AG24" s="263"/>
      <c r="AH24" s="263"/>
      <c r="AI24" s="263"/>
    </row>
    <row r="25" spans="1:35" ht="144" customHeight="1">
      <c r="A25" s="6"/>
      <c r="B25" s="706" t="str">
        <f>+'Introducción de datos'!B140</f>
        <v>% Y Número de personas TRANS alcanzadas con el paquete complementario de prevención de VIH</v>
      </c>
      <c r="C25" s="707"/>
      <c r="D25" s="708"/>
      <c r="E25" s="421">
        <f>'Introducción de datos'!L140+'Introducción de datos'!M140</f>
        <v>579</v>
      </c>
      <c r="F25" s="421">
        <f>'Introducción de datos'!L141+'Introducción de datos'!M141</f>
        <v>590</v>
      </c>
      <c r="G25" s="709">
        <f t="shared" si="0"/>
        <v>1.0189982728842832</v>
      </c>
      <c r="H25" s="710"/>
      <c r="I25" s="710"/>
      <c r="J25" s="710"/>
      <c r="K25" s="711"/>
      <c r="L25" s="723" t="s">
        <v>396</v>
      </c>
      <c r="M25" s="724"/>
      <c r="N25" s="724"/>
      <c r="O25" s="724"/>
      <c r="P25" s="724"/>
      <c r="Q25" s="725"/>
      <c r="R25" s="695"/>
      <c r="S25" s="429"/>
      <c r="T25" s="308" t="e">
        <f t="shared" si="1"/>
        <v>#N/A</v>
      </c>
      <c r="U25" s="308" t="e">
        <f t="shared" si="1"/>
        <v>#N/A</v>
      </c>
      <c r="V25" s="308" t="e">
        <f t="shared" si="1"/>
        <v>#N/A</v>
      </c>
      <c r="W25" s="308" t="e">
        <f t="shared" si="1"/>
        <v>#N/A</v>
      </c>
      <c r="X25" s="308" t="e">
        <f>IF($K23&gt;X$19,IF($K23&lt;=X$20,1,NA()),NA())</f>
        <v>#N/A</v>
      </c>
      <c r="Y25" s="263"/>
      <c r="Z25" s="263"/>
      <c r="AA25" s="263"/>
      <c r="AB25" s="263"/>
      <c r="AC25" s="263"/>
      <c r="AD25" s="263"/>
      <c r="AE25" s="263"/>
      <c r="AF25" s="263"/>
      <c r="AG25" s="263"/>
      <c r="AH25" s="263"/>
      <c r="AI25" s="263"/>
    </row>
    <row r="26" spans="1:35" ht="92.25" customHeight="1" hidden="1">
      <c r="A26" s="6"/>
      <c r="B26" s="706">
        <f>+'Introducción de datos'!B142</f>
        <v>0</v>
      </c>
      <c r="C26" s="707"/>
      <c r="D26" s="708"/>
      <c r="E26" s="421"/>
      <c r="F26" s="421"/>
      <c r="G26" s="727"/>
      <c r="H26" s="728"/>
      <c r="I26" s="728"/>
      <c r="J26" s="728"/>
      <c r="K26" s="729"/>
      <c r="L26" s="730"/>
      <c r="M26" s="730"/>
      <c r="N26" s="730"/>
      <c r="O26" s="730"/>
      <c r="P26" s="730"/>
      <c r="Q26" s="731"/>
      <c r="R26" s="431"/>
      <c r="S26" s="429"/>
      <c r="T26" s="308" t="e">
        <f t="shared" si="1"/>
        <v>#N/A</v>
      </c>
      <c r="U26" s="308" t="e">
        <f t="shared" si="1"/>
        <v>#N/A</v>
      </c>
      <c r="V26" s="308" t="e">
        <f t="shared" si="1"/>
        <v>#N/A</v>
      </c>
      <c r="W26" s="308" t="e">
        <f t="shared" si="1"/>
        <v>#N/A</v>
      </c>
      <c r="X26" s="308" t="e">
        <f>IF($K24&gt;X$19,IF($K24&lt;=X$20,1,NA()),NA())</f>
        <v>#N/A</v>
      </c>
      <c r="Y26" s="263"/>
      <c r="Z26" s="263"/>
      <c r="AA26" s="263"/>
      <c r="AB26" s="263"/>
      <c r="AC26" s="263"/>
      <c r="AD26" s="263"/>
      <c r="AE26" s="263"/>
      <c r="AF26" s="263"/>
      <c r="AG26" s="263"/>
      <c r="AH26" s="263"/>
      <c r="AI26" s="263"/>
    </row>
    <row r="27" spans="1:35" ht="15">
      <c r="A27" s="6"/>
      <c r="B27" s="6"/>
      <c r="C27" s="6"/>
      <c r="D27" s="6"/>
      <c r="E27" s="6"/>
      <c r="F27" s="6"/>
      <c r="G27" s="6"/>
      <c r="H27" s="6"/>
      <c r="I27" s="314"/>
      <c r="J27" s="90"/>
      <c r="K27" s="90"/>
      <c r="L27" s="6"/>
      <c r="M27" s="6"/>
      <c r="N27" s="6"/>
      <c r="O27" s="6"/>
      <c r="P27" s="6"/>
      <c r="S27" s="263"/>
      <c r="T27" s="263"/>
      <c r="U27" s="263"/>
      <c r="V27" s="263"/>
      <c r="W27" s="263"/>
      <c r="X27" s="263"/>
      <c r="Y27" s="263"/>
      <c r="Z27" s="263"/>
      <c r="AA27" s="263"/>
      <c r="AB27" s="263"/>
      <c r="AC27" s="263"/>
      <c r="AD27" s="263"/>
      <c r="AE27" s="263"/>
      <c r="AF27" s="263"/>
      <c r="AG27" s="263"/>
      <c r="AH27" s="263"/>
      <c r="AI27" s="263"/>
    </row>
    <row r="28" spans="1:35" ht="14.25" customHeight="1">
      <c r="A28" s="6"/>
      <c r="B28" s="6"/>
      <c r="C28" s="6"/>
      <c r="D28" s="6"/>
      <c r="E28" s="6"/>
      <c r="F28" s="6"/>
      <c r="G28" s="726" t="s">
        <v>383</v>
      </c>
      <c r="H28" s="726"/>
      <c r="I28" s="726"/>
      <c r="J28" s="726"/>
      <c r="K28" s="726"/>
      <c r="L28" s="726"/>
      <c r="M28" s="726"/>
      <c r="N28" s="726"/>
      <c r="O28" s="726"/>
      <c r="P28" s="726"/>
      <c r="Q28" s="726"/>
      <c r="S28" s="263"/>
      <c r="T28" s="263"/>
      <c r="U28" s="263"/>
      <c r="V28" s="263"/>
      <c r="W28" s="263"/>
      <c r="X28" s="263"/>
      <c r="Y28" s="263"/>
      <c r="Z28" s="263"/>
      <c r="AA28" s="263"/>
      <c r="AB28" s="263"/>
      <c r="AC28" s="263"/>
      <c r="AD28" s="263"/>
      <c r="AE28" s="263"/>
      <c r="AF28" s="263"/>
      <c r="AG28" s="263"/>
      <c r="AH28" s="263"/>
      <c r="AI28" s="263"/>
    </row>
  </sheetData>
  <sheetProtection selectLockedCells="1" selectUnlockedCells="1"/>
  <mergeCells count="43">
    <mergeCell ref="G28:Q28"/>
    <mergeCell ref="B25:D25"/>
    <mergeCell ref="G25:K25"/>
    <mergeCell ref="L25:Q25"/>
    <mergeCell ref="B26:D26"/>
    <mergeCell ref="G26:K26"/>
    <mergeCell ref="L26:Q26"/>
    <mergeCell ref="B23:D23"/>
    <mergeCell ref="G23:K23"/>
    <mergeCell ref="L23:Q23"/>
    <mergeCell ref="B24:D24"/>
    <mergeCell ref="G24:K24"/>
    <mergeCell ref="L24:Q24"/>
    <mergeCell ref="B21:D21"/>
    <mergeCell ref="G21:K21"/>
    <mergeCell ref="L21:Q21"/>
    <mergeCell ref="B22:D22"/>
    <mergeCell ref="G22:K22"/>
    <mergeCell ref="L22:Q22"/>
    <mergeCell ref="B20:D20"/>
    <mergeCell ref="G20:K20"/>
    <mergeCell ref="L20:Q20"/>
    <mergeCell ref="E18:K18"/>
    <mergeCell ref="B19:D19"/>
    <mergeCell ref="G19:H19"/>
    <mergeCell ref="I19:J19"/>
    <mergeCell ref="B2:Q2"/>
    <mergeCell ref="C3:D3"/>
    <mergeCell ref="E3:K3"/>
    <mergeCell ref="O3:P3"/>
    <mergeCell ref="B8:E8"/>
    <mergeCell ref="F8:K8"/>
    <mergeCell ref="L8:Q8"/>
    <mergeCell ref="R20:R22"/>
    <mergeCell ref="R23:R25"/>
    <mergeCell ref="C4:D4"/>
    <mergeCell ref="E4:L4"/>
    <mergeCell ref="D5:N5"/>
    <mergeCell ref="F6:K6"/>
    <mergeCell ref="C9:E9"/>
    <mergeCell ref="G9:K9"/>
    <mergeCell ref="M9:Q9"/>
    <mergeCell ref="L19:Q19"/>
  </mergeCells>
  <conditionalFormatting sqref="C4:D4">
    <cfRule type="cellIs" priority="31" dxfId="42" operator="equal" stopIfTrue="1">
      <formula>"C"</formula>
    </cfRule>
    <cfRule type="cellIs" priority="32" dxfId="43" operator="equal" stopIfTrue="1">
      <formula>"B2"</formula>
    </cfRule>
    <cfRule type="cellIs" priority="33" dxfId="44" operator="equal" stopIfTrue="1">
      <formula>"B1"</formula>
    </cfRule>
  </conditionalFormatting>
  <conditionalFormatting sqref="G20:G26">
    <cfRule type="cellIs" priority="34" dxfId="58" operator="between" stopIfTrue="1">
      <formula>0</formula>
      <formula>0.599</formula>
    </cfRule>
    <cfRule type="cellIs" priority="35" dxfId="57" operator="between" stopIfTrue="1">
      <formula>0.6</formula>
      <formula>0.899</formula>
    </cfRule>
    <cfRule type="cellIs" priority="36" dxfId="56"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1">
      <selection activeCell="D39" sqref="D39:G39"/>
    </sheetView>
  </sheetViews>
  <sheetFormatPr defaultColWidth="9.140625" defaultRowHeight="15"/>
  <cols>
    <col min="1" max="1" width="1.1484375" style="315" customWidth="1"/>
    <col min="2" max="2" width="19.28125" style="315" customWidth="1"/>
    <col min="3" max="3" width="1.1484375" style="315" customWidth="1"/>
    <col min="4" max="4" width="17.140625" style="315" customWidth="1"/>
    <col min="5" max="5" width="17.57421875" style="315" customWidth="1"/>
    <col min="6" max="6" width="9.7109375" style="315" customWidth="1"/>
    <col min="7" max="7" width="13.00390625" style="315" customWidth="1"/>
    <col min="8" max="8" width="4.28125" style="315" customWidth="1"/>
    <col min="9" max="9" width="15.8515625" style="315" customWidth="1"/>
    <col min="10" max="10" width="3.57421875" style="315" customWidth="1"/>
    <col min="11" max="11" width="7.57421875" style="316" customWidth="1"/>
    <col min="12" max="12" width="22.00390625" style="315" customWidth="1"/>
    <col min="13" max="13" width="12.00390625" style="315" customWidth="1"/>
    <col min="14" max="14" width="5.421875" style="315" customWidth="1"/>
    <col min="15" max="15" width="2.57421875" style="315" customWidth="1"/>
    <col min="16" max="16384" width="9.140625" style="315" customWidth="1"/>
  </cols>
  <sheetData>
    <row r="1" spans="1:14" ht="38.25" customHeight="1">
      <c r="A1" s="317"/>
      <c r="B1" s="317"/>
      <c r="C1" s="317"/>
      <c r="D1" s="317"/>
      <c r="E1" s="317"/>
      <c r="F1" s="317"/>
      <c r="G1" s="317"/>
      <c r="H1" s="317"/>
      <c r="I1" s="317"/>
      <c r="J1" s="317"/>
      <c r="K1" s="318"/>
      <c r="L1" s="317"/>
      <c r="M1" s="317"/>
      <c r="N1" s="317"/>
    </row>
    <row r="2" spans="1:256" ht="27.75" customHeight="1">
      <c r="A2" s="6"/>
      <c r="B2" s="704" t="str">
        <f>+"Cuadro de mando:  "&amp;"  "&amp;+'Introducción de datos'!C4&amp;" - "&amp;'Introducción de datos'!G6</f>
        <v>Cuadro de mando:    El Salvador - VIH / SIDA</v>
      </c>
      <c r="C2" s="704"/>
      <c r="D2" s="704"/>
      <c r="E2" s="704"/>
      <c r="F2" s="704"/>
      <c r="G2" s="704"/>
      <c r="H2" s="704"/>
      <c r="I2" s="704"/>
      <c r="J2" s="704"/>
      <c r="K2" s="704"/>
      <c r="L2" s="704"/>
      <c r="M2" s="704"/>
      <c r="N2" s="704"/>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49" t="str">
        <f>+'Introducción de datos'!G8</f>
        <v>Seleccionar</v>
      </c>
      <c r="C3" s="642" t="str">
        <f>+'Introducción de datos'!I8</f>
        <v>Seleccionar</v>
      </c>
      <c r="D3" s="642"/>
      <c r="E3" s="732"/>
      <c r="F3" s="732"/>
      <c r="G3" s="732"/>
      <c r="H3" s="732"/>
      <c r="I3" s="732"/>
      <c r="J3" s="732"/>
      <c r="K3" s="732"/>
      <c r="L3" s="249" t="str">
        <f>+'Introducción de datos'!B16</f>
        <v>Periodo:</v>
      </c>
      <c r="M3" s="296" t="str">
        <f>+'Introducción de datos'!C16</f>
        <v>P6</v>
      </c>
      <c r="N3" s="29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49" t="str">
        <f>+'Introducción de datos'!B12</f>
        <v>Ultima calificación:</v>
      </c>
      <c r="C4" s="697" t="str">
        <f>+'Introducción de datos'!C12</f>
        <v>B1</v>
      </c>
      <c r="D4" s="697"/>
      <c r="E4" s="643" t="str">
        <f>+'Introducción de datos'!C8</f>
        <v>PLAN  INTERNACIONAL</v>
      </c>
      <c r="F4" s="643"/>
      <c r="G4" s="643"/>
      <c r="H4" s="643"/>
      <c r="I4" s="643"/>
      <c r="J4" s="643"/>
      <c r="K4" s="643"/>
      <c r="L4" s="249" t="str">
        <f>+'Introducción de datos'!D16</f>
        <v>Desde:</v>
      </c>
      <c r="M4" s="253">
        <f>+'Introducción de datos'!E16</f>
        <v>42552</v>
      </c>
      <c r="N4" s="25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9"/>
      <c r="C5" s="249"/>
      <c r="D5" s="255"/>
      <c r="E5" s="643" t="str">
        <f>+'Introducción de datos'!G4</f>
        <v>INNOVANDO SERVICIOS, REDUCIENDO RIESGOS, RENOVANDO VIDAS EN EL SALVADOR</v>
      </c>
      <c r="F5" s="643"/>
      <c r="G5" s="643"/>
      <c r="H5" s="643"/>
      <c r="I5" s="643"/>
      <c r="J5" s="643"/>
      <c r="K5" s="643"/>
      <c r="L5" s="249" t="str">
        <f>+'Introducción de datos'!F16</f>
        <v>Hasta:</v>
      </c>
      <c r="M5" s="253">
        <f>+'Introducción de datos'!G16</f>
        <v>42735</v>
      </c>
      <c r="N5" s="25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6"/>
      <c r="C6" s="250"/>
      <c r="D6" s="255"/>
      <c r="E6" s="733" t="s">
        <v>312</v>
      </c>
      <c r="F6" s="733"/>
      <c r="G6" s="733"/>
      <c r="H6" s="733"/>
      <c r="I6" s="733"/>
      <c r="J6" s="733"/>
      <c r="K6" s="733"/>
      <c r="L6" s="141"/>
      <c r="M6" s="141"/>
      <c r="N6" s="14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24" customFormat="1" ht="4.5" customHeight="1">
      <c r="A7" s="320"/>
      <c r="B7" s="321"/>
      <c r="C7" s="321"/>
      <c r="D7" s="321"/>
      <c r="E7" s="321"/>
      <c r="F7" s="321"/>
      <c r="G7" s="321"/>
      <c r="H7" s="321"/>
      <c r="I7" s="321"/>
      <c r="J7" s="321"/>
      <c r="K7" s="321"/>
      <c r="L7" s="322"/>
      <c r="M7" s="322"/>
      <c r="N7" s="323"/>
    </row>
    <row r="8" spans="1:14" s="324" customFormat="1" ht="21" customHeight="1">
      <c r="A8" s="320"/>
      <c r="B8" s="734" t="s">
        <v>0</v>
      </c>
      <c r="C8" s="734"/>
      <c r="D8" s="734"/>
      <c r="E8" s="734"/>
      <c r="F8" s="734"/>
      <c r="G8" s="734"/>
      <c r="H8" s="734"/>
      <c r="I8" s="734"/>
      <c r="J8" s="734"/>
      <c r="K8" s="734"/>
      <c r="L8" s="734"/>
      <c r="M8" s="734"/>
      <c r="N8" s="734"/>
    </row>
    <row r="9" spans="1:14" s="324" customFormat="1" ht="3.75" customHeight="1">
      <c r="A9" s="320"/>
      <c r="B9" s="321"/>
      <c r="C9" s="321"/>
      <c r="D9" s="321"/>
      <c r="E9" s="321"/>
      <c r="F9" s="321"/>
      <c r="G9" s="321"/>
      <c r="H9" s="321"/>
      <c r="I9" s="321"/>
      <c r="J9" s="321"/>
      <c r="K9" s="321"/>
      <c r="L9" s="322"/>
      <c r="M9" s="322"/>
      <c r="N9" s="323"/>
    </row>
    <row r="10" spans="1:14" s="327" customFormat="1" ht="25.5" customHeight="1">
      <c r="A10" s="325"/>
      <c r="B10" s="735" t="s">
        <v>1</v>
      </c>
      <c r="C10" s="735"/>
      <c r="D10" s="736" t="s">
        <v>311</v>
      </c>
      <c r="E10" s="736"/>
      <c r="F10" s="736"/>
      <c r="G10" s="736"/>
      <c r="H10" s="326"/>
      <c r="I10" s="736" t="s">
        <v>312</v>
      </c>
      <c r="J10" s="736"/>
      <c r="K10" s="736"/>
      <c r="L10" s="736"/>
      <c r="M10" s="736"/>
      <c r="N10" s="736"/>
    </row>
    <row r="11" spans="1:14" s="327" customFormat="1" ht="28.5" customHeight="1">
      <c r="A11" s="325"/>
      <c r="B11" s="328" t="s">
        <v>2</v>
      </c>
      <c r="C11" s="329"/>
      <c r="D11" s="737" t="str">
        <f>IF(ISBLANK(Financiamiento!C9),"",(Financiamiento!C9))</f>
        <v>Al cierre del P6, el FM desembolso $ 11,753,490.00, Para el P6,  la diferencia con relación al presupuesto asciende a: $ 1,177,999.00 lo que representa economías identificadas por el RP a nivel de SR y RP al cierre del P6 y que fueron reportadas al FM para que esos fondos formaran parte de la extensión de la subvencion SLV-H-PLAN para los años 2017 y 2018.</v>
      </c>
      <c r="E11" s="737"/>
      <c r="F11" s="737"/>
      <c r="G11" s="737"/>
      <c r="H11" s="330"/>
      <c r="I11" s="741"/>
      <c r="J11" s="741"/>
      <c r="K11" s="741"/>
      <c r="L11" s="741"/>
      <c r="M11" s="741"/>
      <c r="N11" s="741"/>
    </row>
    <row r="12" spans="1:14" s="327" customFormat="1" ht="27.75" customHeight="1">
      <c r="A12" s="325"/>
      <c r="B12" s="331" t="s">
        <v>3</v>
      </c>
      <c r="C12" s="332"/>
      <c r="D12" s="737" t="str">
        <f>IF(ISBLANK(Financiamiento!C24),"",(Financiamiento!C24))</f>
        <v>La varianza por objetivos con relación al presupuesto esta compuesta por:
- Objetivo #1, 1.06% corresponde a compromisos pendientes de pago al 31/12/2016 y 11.4% corresponde a economía al cierre de la subvención.
- Objetivo #2, 0.60% corresponde a compromisos pendientes de pago al 31/12/2016 y 10.77% corresponde a economía al cierre de la subvención.
- Objetivo #3, 5.84% corresponde a compromisos pendientes de pago al 31/12/2016 y 8.64% corresponde a economía al cierre de la subvención.</v>
      </c>
      <c r="E12" s="737"/>
      <c r="F12" s="737"/>
      <c r="G12" s="737"/>
      <c r="H12" s="330"/>
      <c r="I12" s="742"/>
      <c r="J12" s="742"/>
      <c r="K12" s="742"/>
      <c r="L12" s="742"/>
      <c r="M12" s="742"/>
      <c r="N12" s="742"/>
    </row>
    <row r="13" spans="1:14" s="327" customFormat="1" ht="26.25" customHeight="1">
      <c r="A13" s="325"/>
      <c r="B13" s="331" t="s">
        <v>4</v>
      </c>
      <c r="C13" s="332"/>
      <c r="D13" s="737" t="str">
        <f>IF(ISBLANK(Financiamiento!I9),"",(Financiamiento!I9))</f>
        <v>-En el P6, la variación entre los desembolsos efectuados por el FM y los gastos del RP + desembolsos a los SR, se debe principalmente a que al mes de agosto, el RP presento un saldo de caja al FM en el cual se ajustaron los montos que se preveeia podrian ser ejecutados tanto por el RP como por los SR, lo que finalmente representa una varianza de $ 15,616.22 entre ambos. 
-La variacion entre los desembolsos a SR y los gastos ejecutados por ellos, se debe principalmente a que la cierre del P5, las organizaciones SR, contaban con efectivo en sus cuentas bancarias, por actividades que no lograron ser ejecutadas en ese periodo y que fueron recalendarizadas y ejecutadas en el periodo 6.
- En relacion al saldo de caja presentado al 31/12/2016 este se compone por el saldo de caja del RP y de los SR al 31/12/2016; es importante destacar que tal como lo indica la gráfica, el RP tiene pendientes de pago a esa fecha compromisos por la suma de $  361,683.47 la diferencia que resulte ($261,737.94) de acuerdo a instrucciones de la extensión de la subvención SLV-H-PLAN, será devuelto al FM.</v>
      </c>
      <c r="E13" s="737"/>
      <c r="F13" s="737"/>
      <c r="G13" s="737"/>
      <c r="H13" s="330"/>
      <c r="I13" s="738"/>
      <c r="J13" s="738"/>
      <c r="K13" s="738"/>
      <c r="L13" s="738"/>
      <c r="M13" s="738"/>
      <c r="N13" s="738"/>
    </row>
    <row r="14" spans="1:14" s="327" customFormat="1" ht="28.5" customHeight="1">
      <c r="A14" s="325"/>
      <c r="B14" s="333" t="s">
        <v>5</v>
      </c>
      <c r="C14" s="334"/>
      <c r="D14" s="739" t="str">
        <f>IF(ISBLANK(Financiamiento!I24),"",(Financiamiento!I24))</f>
        <v>- De acuerdo a las directrices del FM, el RP cuenta con un plazo de 60 dias cuando se presenta informe mejorado al FM (EFR), en este caso, el plazo vencia el 28/02/2017; fecha en la que el RP Plan, realizo el envio del informe PUDR y EFR. 
- No se presentarón inconvenientes ni con el envio de desembolsos por el FM al RP, ni en la entrega de desembolsos del RP a los SR.</v>
      </c>
      <c r="E14" s="739"/>
      <c r="F14" s="739"/>
      <c r="G14" s="739"/>
      <c r="H14" s="330"/>
      <c r="I14" s="740"/>
      <c r="J14" s="740"/>
      <c r="K14" s="740"/>
      <c r="L14" s="740"/>
      <c r="M14" s="740"/>
      <c r="N14" s="740"/>
    </row>
    <row r="15" spans="1:15" s="327" customFormat="1" ht="4.5" customHeight="1">
      <c r="A15" s="325"/>
      <c r="B15" s="335"/>
      <c r="C15" s="336"/>
      <c r="D15" s="337"/>
      <c r="E15" s="337"/>
      <c r="F15" s="337"/>
      <c r="G15" s="337"/>
      <c r="H15" s="330"/>
      <c r="I15" s="338"/>
      <c r="J15" s="338"/>
      <c r="K15" s="338"/>
      <c r="L15" s="338"/>
      <c r="M15" s="338"/>
      <c r="N15" s="338"/>
      <c r="O15" s="339"/>
    </row>
    <row r="16" spans="1:14" s="324" customFormat="1" ht="21" customHeight="1">
      <c r="A16" s="320"/>
      <c r="B16" s="734" t="s">
        <v>6</v>
      </c>
      <c r="C16" s="734"/>
      <c r="D16" s="734"/>
      <c r="E16" s="734"/>
      <c r="F16" s="734"/>
      <c r="G16" s="734"/>
      <c r="H16" s="734"/>
      <c r="I16" s="734"/>
      <c r="J16" s="734"/>
      <c r="K16" s="734"/>
      <c r="L16" s="734"/>
      <c r="M16" s="734"/>
      <c r="N16" s="734"/>
    </row>
    <row r="17" spans="1:14" s="327" customFormat="1" ht="3.75" customHeight="1">
      <c r="A17" s="325"/>
      <c r="B17" s="340"/>
      <c r="C17" s="341"/>
      <c r="D17" s="342"/>
      <c r="E17" s="343"/>
      <c r="F17" s="344"/>
      <c r="G17" s="344"/>
      <c r="H17" s="345"/>
      <c r="I17" s="346"/>
      <c r="J17" s="347"/>
      <c r="K17" s="348"/>
      <c r="L17" s="349"/>
      <c r="M17" s="350"/>
      <c r="N17" s="351"/>
    </row>
    <row r="18" spans="1:14" s="327" customFormat="1" ht="22.5" customHeight="1">
      <c r="A18" s="325"/>
      <c r="B18" s="747" t="s">
        <v>310</v>
      </c>
      <c r="C18" s="747"/>
      <c r="D18" s="748" t="s">
        <v>311</v>
      </c>
      <c r="E18" s="748"/>
      <c r="F18" s="748"/>
      <c r="G18" s="748"/>
      <c r="H18" s="326"/>
      <c r="I18" s="749" t="s">
        <v>312</v>
      </c>
      <c r="J18" s="749"/>
      <c r="K18" s="749"/>
      <c r="L18" s="749"/>
      <c r="M18" s="749"/>
      <c r="N18" s="749"/>
    </row>
    <row r="19" spans="1:14" s="327" customFormat="1" ht="21.75" customHeight="1">
      <c r="A19" s="325"/>
      <c r="B19" s="352" t="s">
        <v>313</v>
      </c>
      <c r="C19" s="353"/>
      <c r="D19" s="743" t="str">
        <f>IF(ISBLANK(Gestión!C8),"",(Gestión!C8))</f>
        <v>No existieron condiciones precedentes</v>
      </c>
      <c r="E19" s="743"/>
      <c r="F19" s="743"/>
      <c r="G19" s="743"/>
      <c r="H19" s="354"/>
      <c r="I19" s="744"/>
      <c r="J19" s="744"/>
      <c r="K19" s="744"/>
      <c r="L19" s="744"/>
      <c r="M19" s="744"/>
      <c r="N19" s="744"/>
    </row>
    <row r="20" spans="1:15" ht="24.75" customHeight="1">
      <c r="A20" s="317"/>
      <c r="B20" s="355" t="s">
        <v>314</v>
      </c>
      <c r="C20" s="356"/>
      <c r="D20" s="745" t="str">
        <f>IF(ISBLANK(Gestión!I8),"",(Gestión!I8))</f>
        <v>Los recursos estan contratados desde el primer semestre de la subvención</v>
      </c>
      <c r="E20" s="745" t="e">
        <f>+'Introducción de datos'!D76/'Introducción de datos'!G76</f>
        <v>#DIV/0!</v>
      </c>
      <c r="F20" s="745" t="e">
        <f>+('Introducción de datos'!E76+'Introducción de datos'!F76)/'Introducción de datos'!G76</f>
        <v>#DIV/0!</v>
      </c>
      <c r="G20" s="745"/>
      <c r="H20" s="354"/>
      <c r="I20" s="746"/>
      <c r="J20" s="746"/>
      <c r="K20" s="746"/>
      <c r="L20" s="746"/>
      <c r="M20" s="746"/>
      <c r="N20" s="746"/>
      <c r="O20" s="357"/>
    </row>
    <row r="21" spans="1:15" ht="29.25" customHeight="1">
      <c r="A21" s="317"/>
      <c r="B21" s="358" t="s">
        <v>7</v>
      </c>
      <c r="C21" s="356"/>
      <c r="D21" s="745" t="str">
        <f>IF(ISBLANK(Gestión!C16),"",(Gestión!C16))</f>
        <v>10 SR para el primer semestre 2016 y 8 SR contratados para el segundo semestre.</v>
      </c>
      <c r="E21" s="745"/>
      <c r="F21" s="745"/>
      <c r="G21" s="745"/>
      <c r="H21" s="354"/>
      <c r="I21" s="746"/>
      <c r="J21" s="746"/>
      <c r="K21" s="746"/>
      <c r="L21" s="746"/>
      <c r="M21" s="746"/>
      <c r="N21" s="746"/>
      <c r="O21" s="357"/>
    </row>
    <row r="22" spans="1:15" ht="26.25" customHeight="1">
      <c r="A22" s="317"/>
      <c r="B22" s="358" t="s">
        <v>8</v>
      </c>
      <c r="C22" s="356"/>
      <c r="D22" s="745" t="str">
        <f>IF(ISBLANK(Gestión!I16),"",(Gestión!I16))</f>
        <v>Los 8 SR presentaron sus informes de ejecucion técnica y financiera, correspondiente al segundo semestre.</v>
      </c>
      <c r="E22" s="745"/>
      <c r="F22" s="745"/>
      <c r="G22" s="745"/>
      <c r="H22" s="354"/>
      <c r="I22" s="746"/>
      <c r="J22" s="746"/>
      <c r="K22" s="746"/>
      <c r="L22" s="746"/>
      <c r="M22" s="746"/>
      <c r="N22" s="746"/>
      <c r="O22" s="357"/>
    </row>
    <row r="23" spans="1:15" ht="24.75" customHeight="1">
      <c r="A23" s="317"/>
      <c r="B23" s="358" t="s">
        <v>9</v>
      </c>
      <c r="C23" s="356"/>
      <c r="D23" s="745" t="str">
        <f>IF(ISBLANK(Gestión!C27),"",(Gestión!C27))</f>
        <v>La adquisicion de producto de salud son realizadas por el RP, no se han tenido dificultades en las adquisiciones. </v>
      </c>
      <c r="E23" s="745"/>
      <c r="F23" s="745"/>
      <c r="G23" s="745"/>
      <c r="H23" s="354"/>
      <c r="I23" s="746"/>
      <c r="J23" s="746"/>
      <c r="K23" s="746"/>
      <c r="L23" s="746"/>
      <c r="M23" s="746"/>
      <c r="N23" s="746"/>
      <c r="O23" s="357"/>
    </row>
    <row r="24" spans="1:15" ht="27" customHeight="1">
      <c r="A24" s="317"/>
      <c r="B24" s="359" t="s">
        <v>10</v>
      </c>
      <c r="C24" s="360"/>
      <c r="D24" s="750" t="str">
        <f>IF(ISBLANK(Gestión!I27),"",(Gestión!I27))</f>
        <v>En las existencias de Pruebas rapidas se cuenta con el desgloce de 641 pruebas Orales y 6,800 pruebas capilares para la realizacion de pruebas para VIH. Un total de 7,441 para Iniciar el años 2017.</v>
      </c>
      <c r="E24" s="750"/>
      <c r="F24" s="750"/>
      <c r="G24" s="750"/>
      <c r="H24" s="354"/>
      <c r="I24" s="751"/>
      <c r="J24" s="751"/>
      <c r="K24" s="751"/>
      <c r="L24" s="751"/>
      <c r="M24" s="751"/>
      <c r="N24" s="751"/>
      <c r="O24" s="357"/>
    </row>
    <row r="25" spans="1:15" ht="4.5" customHeight="1">
      <c r="A25" s="320"/>
      <c r="B25" s="361"/>
      <c r="C25" s="362"/>
      <c r="D25" s="363"/>
      <c r="E25" s="364"/>
      <c r="F25" s="365"/>
      <c r="G25" s="365"/>
      <c r="H25" s="326"/>
      <c r="I25" s="364"/>
      <c r="J25" s="366"/>
      <c r="K25" s="348"/>
      <c r="L25" s="349"/>
      <c r="M25" s="350"/>
      <c r="N25" s="351"/>
      <c r="O25" s="357"/>
    </row>
    <row r="26" spans="1:14" s="324" customFormat="1" ht="21" customHeight="1">
      <c r="A26" s="320"/>
      <c r="B26" s="734" t="s">
        <v>11</v>
      </c>
      <c r="C26" s="734"/>
      <c r="D26" s="734"/>
      <c r="E26" s="734"/>
      <c r="F26" s="734"/>
      <c r="G26" s="734"/>
      <c r="H26" s="734"/>
      <c r="I26" s="734"/>
      <c r="J26" s="734"/>
      <c r="K26" s="734"/>
      <c r="L26" s="734"/>
      <c r="M26" s="734"/>
      <c r="N26" s="734"/>
    </row>
    <row r="27" spans="1:15" ht="3.75" customHeight="1">
      <c r="A27" s="320"/>
      <c r="B27" s="361"/>
      <c r="C27" s="362"/>
      <c r="D27" s="363"/>
      <c r="E27" s="364"/>
      <c r="F27" s="365"/>
      <c r="G27" s="365"/>
      <c r="H27" s="326"/>
      <c r="I27" s="364"/>
      <c r="J27" s="366"/>
      <c r="K27" s="348"/>
      <c r="L27" s="349"/>
      <c r="M27" s="350"/>
      <c r="N27" s="351"/>
      <c r="O27" s="357"/>
    </row>
    <row r="28" spans="1:15" ht="21.75" customHeight="1">
      <c r="A28" s="317"/>
      <c r="B28" s="756" t="s">
        <v>12</v>
      </c>
      <c r="C28" s="756"/>
      <c r="D28" s="757" t="s">
        <v>311</v>
      </c>
      <c r="E28" s="757"/>
      <c r="F28" s="757"/>
      <c r="G28" s="757"/>
      <c r="H28" s="326"/>
      <c r="I28" s="757" t="s">
        <v>312</v>
      </c>
      <c r="J28" s="757"/>
      <c r="K28" s="757"/>
      <c r="L28" s="757"/>
      <c r="M28" s="757"/>
      <c r="N28" s="757"/>
      <c r="O28" s="357"/>
    </row>
    <row r="29" spans="1:15" ht="29.25" customHeight="1">
      <c r="A29" s="317"/>
      <c r="B29" s="367" t="s">
        <v>13</v>
      </c>
      <c r="C29" s="368"/>
      <c r="D29" s="752" t="str">
        <f>IF(ISBLANK(Programatico!C9),"",(Programatico!C9))</f>
        <v>El porcentaje reportado corresponde a las personas HSH alcanzadas con paquete basico durante el año 2016, de acuerdo con  el desarrollo de la metodologia de prevencion combinada.</v>
      </c>
      <c r="E29" s="752"/>
      <c r="F29" s="752"/>
      <c r="G29" s="752"/>
      <c r="H29" s="354"/>
      <c r="I29" s="753"/>
      <c r="J29" s="753"/>
      <c r="K29" s="753"/>
      <c r="L29" s="753"/>
      <c r="M29" s="753"/>
      <c r="N29" s="753"/>
      <c r="O29" s="357"/>
    </row>
    <row r="30" spans="1:15" ht="21.75" customHeight="1">
      <c r="A30" s="317"/>
      <c r="B30" s="369" t="s">
        <v>14</v>
      </c>
      <c r="C30" s="370"/>
      <c r="D30" s="754" t="str">
        <f>IF(ISBLANK(Programatico!G9),"",(Programatico!G9))</f>
        <v>El porcentaje reportado corresponde a las personas TS alcanzadas con paquete basico durante el año 2016, de acuerdo con  el desarrollo de la metodologia de prevencion combinada. </v>
      </c>
      <c r="E30" s="754"/>
      <c r="F30" s="754"/>
      <c r="G30" s="754"/>
      <c r="H30" s="354"/>
      <c r="I30" s="755"/>
      <c r="J30" s="755"/>
      <c r="K30" s="755"/>
      <c r="L30" s="755"/>
      <c r="M30" s="755"/>
      <c r="N30" s="755"/>
      <c r="O30" s="357"/>
    </row>
    <row r="31" spans="1:15" ht="21.75" customHeight="1">
      <c r="A31" s="317"/>
      <c r="B31" s="369" t="s">
        <v>15</v>
      </c>
      <c r="C31" s="370"/>
      <c r="D31" s="754" t="str">
        <f>IF(ISBLANK(Programatico!M9),"",(Programatico!M9))</f>
        <v>El porcentaje reportado corresponde a las personas TRANS alcanzadas con paquete basico durante el año 2016, de acuerdo con  el desarrollo de la metodologia de prevencion combinada.</v>
      </c>
      <c r="E31" s="754"/>
      <c r="F31" s="754"/>
      <c r="G31" s="754"/>
      <c r="H31" s="354"/>
      <c r="I31" s="755"/>
      <c r="J31" s="755"/>
      <c r="K31" s="755"/>
      <c r="L31" s="755"/>
      <c r="M31" s="755"/>
      <c r="N31" s="755"/>
      <c r="O31" s="357"/>
    </row>
    <row r="32" spans="1:15" ht="21.75" customHeight="1">
      <c r="A32" s="317"/>
      <c r="B32" s="371" t="s">
        <v>16</v>
      </c>
      <c r="C32" s="370"/>
      <c r="D32" s="758" t="str">
        <f>IF(ISBLANK(Programatico!L20),"",(Programatico!L20))</f>
        <v>El progreso alcanzado durante el   año 2016 permitió lograr las metas programáticas previstas, las cuales incluyeron  el cierre de  ciclos de personas con CUIs que se registraron en el sistema SIGPRO. 
Las personas alcanzadas  en este paquete básico fueron intervenidas a través de un paquete  de prevención que incluye:
1- Tres Actividades de cambio de comportamiento.(abordajes cara a cara o la participación de actividades lúdicas  grupales sobre temas  específicos de la población HSH relacionados con la prevención del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rápida oral, se les refirió a clínica VICITS   para la toma de otras pruebas de  otras infecciones de transmisión sexual. 
-  Este porcentaje  alcanzado incluye la realización de  diversas estrategias para acercarse a las poblaciones claves,  como :  actividades de auto cuido y  talleres específicos, con temas claves en donde  se oferto prueba rápida oral  de VIH con pre y post consejería (En coordinación con las clínicas VICITS), promoviendo actividades que permitieron la concentración de la población HSH y así lograr un número mayor de intervenciones, estas acciones llamadas  jornadas extramuros fueron muy efectivas  para el acercamiento del sistema de salud nacional a la población HSH.
- Para este año  se dio seguimiento  con las actividades  de focalización en acciones dentro de  zonas geográficas  de concentración de  población  HSH que fueron identificadas por los diferentes SR´s desde el periodo anterior,  lo que permitió  alcanzar de manera efectiva el cumplimiento de la meta,  esto como resultado de las buenas prácticas  y la experiencia que se obtuvo en el semestre pasado. Estas experiencias se han sistematizado en un diario de campo que cada educador par maneja con la información de contacto y las zonas de agregación de estos HSH, estrategia que permitió los  porcentajes altos de  intervenciones  cumpliendo la meta establecida.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dentro los rangos mínimos y máximos de acuerdo al análisis solicitado y estipulado para el cumplimiento de la meta, y todas las entregas de estos insumos fueron dentro de actividades educativas. 
- La promoción de actividades del componente complementario contribuyo grandemente al cierre de ciclos del paquete básico, al servir de enlace para que la población HSH asistiese a las actividades.  
De acuerdo al indicador el cual está compuesto por personas nuevas alcanzadas y personas alcanzadas en categoría de seguimiento. La meta anual para este indicador es acumulada la cual es de 13,844 al final del año 2016  y se alcanzó un total de 14,715 representando un 106 % de cumplimiento de esta meta anual.
</v>
      </c>
      <c r="E32" s="758"/>
      <c r="F32" s="758"/>
      <c r="G32" s="758"/>
      <c r="H32" s="354"/>
      <c r="I32" s="755"/>
      <c r="J32" s="755"/>
      <c r="K32" s="755"/>
      <c r="L32" s="755"/>
      <c r="M32" s="755"/>
      <c r="N32" s="755"/>
      <c r="O32" s="357"/>
    </row>
    <row r="33" spans="1:15" ht="27" customHeight="1">
      <c r="A33" s="317"/>
      <c r="B33" s="371" t="s">
        <v>17</v>
      </c>
      <c r="C33" s="370"/>
      <c r="D33" s="758" t="str">
        <f>IF(ISBLANK(Programatico!L21),"",(Programatico!L21))</f>
        <v>El progreso alcanzado durante el   año 2016 permitió lograr las metas programáticas previstas   de acuerdo a los planes Operativos implementados por los socios de prevención, los cuales incluyeron   el cierre de ciclos de las personas con CUIs que se registraron en el sistema SIGPRO durante el año 2016.
 Las actividades desarrolladas como parte de los planes operativos anuales se enfocaron en: 
1- Tres Actividades de cambio de comportamiento.(abordajes cara a cara o la participación de actividades lúdicas  grupales sobre temas  específicos de la población  trabajadoras sexuales femeninas ,  relacionados con la prevención del VIH.
2- La entrega de insumos exclusivamente en actividades educativas    y   en la cantidad requerida, de acuerdo al marco de desempeño, esta entrega de insumos implicaba   la demostración del uso correcto y consistente del condón, así como la negociación con las parejas sexuales.
3- Referencias a pruebas de VIH.  Todas las trabajadoras sexuales femeninas se les brindó la oportunidad de analizar la importancia de la toma de prueba de VIH, y   fueron referidas a las Unidades móviles de prevención y/o a las clínicas VICITS. Así también el 100% de las trabajadoras sexuales femeninas a las que se les tomó prueba rápida oral se refirieron a las clínicas VICITS para la toma de otras pruebas de otras infecciones de transmisión sexual.  Las mujeres trabajadoras sexuales son la población que más visita las clínicas de atención   VICITS  y demandan los servicios ofrecidos a ellas.
- Además dentro de estas acciones se realizaron  actividades de auto cuido, talleres específicos y barridos de zona de las areas de trabajo sexual,  donde  se oferto prueba rápida oral  de VIH con pre y post consejería (En coordinación con las clínicas VICITS), promoviendo actividades que permitieron la concentración de la población TSF y así lograr un número mayor de intervenciones. 
- Las actividades se dirigieron a las zonas de concentración de trabajo sexual identificadas a través de los diferentes mapeos de los SR`s, esto con la finalidad de acercar las atenciones de las usuarias a los centros de trabajo sexual y de esta forma obtener los beneficios del programa  e insumos como Condones masculinos, condones femeninos, mantas de látex, lubricantes en tubo y sachet, permitiendo alcanzar de manera efectiva el cumplimiento de la meta proyectada.
 La  coordinación efectiva  del RP Plan  con el nivel central ( Gerencia Programa, Clínicas VICITS , Sub-comisión nacional de Monitoreo y Evaluación,  Laboratorio Nacional de referencia, junta de vigilancia de la profesión  laboratorio clínico ) y con el nivel local ( Equipo multidisciplinario de clínicas VICITS)  permitió el fortalecimiento y  la promoción de los diferentes servicios de las clínicas VICITS, así como las referencia de las usuarias desde los CCPI a estas   Clínicas como parte de las actividades diarias de las educadoras en prevención combinada,  donde ofertan no solo la prueba de VIH, si no otros servicios de prevención, diagnóstico y tratamiento de ITS.
- Como parte del paquete básico, la entrega de insumos se realizó dentro los rangos mínimos y máximos de acuerdo al análisis solicitado y estipulado para el cumplimiento de la meta, y todas las entregas de estos insumos fueron dentro de actividades educativas. 
De acuerdo al indicador el cual está compuesto por personas nuevas alcanzadas y personas alcanzadas en categoría de seguimiento.
La meta anual para este indicador es acumulada la cual es de 10,644 al final del año 2016 y se alcanzó un total de 11,234 representando un 106% % de cumplimiento de esta meta anual.
</v>
      </c>
      <c r="E33" s="758"/>
      <c r="F33" s="758"/>
      <c r="G33" s="758"/>
      <c r="H33" s="354"/>
      <c r="I33" s="755"/>
      <c r="J33" s="755"/>
      <c r="K33" s="755"/>
      <c r="L33" s="755"/>
      <c r="M33" s="755"/>
      <c r="N33" s="755"/>
      <c r="O33" s="357"/>
    </row>
    <row r="34" spans="1:15" ht="21.75" customHeight="1">
      <c r="A34" s="317"/>
      <c r="B34" s="371" t="s">
        <v>18</v>
      </c>
      <c r="C34" s="370"/>
      <c r="D34" s="758" t="str">
        <f>IF(ISBLANK(Programatico!L22),"",(Programatico!L22))</f>
        <v>El progreso alcanzado durante el   año 2016 permitió lograr las metas programáticas previstas   de acuerdo a los planes Operativos implementados por los socios de prevención, los cuales incluyeron   el cierre de  ciclos de las personas con CUIs que se registraron en el sistema SIGPRO durante el año 2016 . 
Las actividades desarrolladas como parte de los planes operativos anuales  se enfocaron en: 
1- Tres Actividades de cambio de comportamiento.(abordajes cara a cara o la participación de actividades lúdicas  grupales sobre temas  específicos de la población  de mujeres TRANS relacionados con la prevención del VIH.
2- La entrega de insumos exclusivamente en actividades educativas   y en la cantidad requerida, de acuerdo al marco de desempeño, esta entrega de insumos implicó  la demostración del uso correcto y  consistente, y  en algunos casos de la negociación con las parejas sexuales.
3- Referencias a pruebas de VIH.  Todas las mujeres TRANS se les brindó:  La oportunidad de analizar la importancia de la toma voluntaria voluntaria de prueba para VIH,  fueron referidas a las Unidades móviles  de prevención  y/o a las clínicas VICITS. Así también el 100% de las mujeres TRANS a las que se les tomo prueba rápida oral se refieren a clínica VICITS para la toma de otras pruebas de  otras infecciones de transmisión sexual. 
- Dentro de estas acciones se realizaron   días de formación comunitaria y barridos de zonas.
Este porcentaje  alcanzado incluye la realización de  diversas estrategias para acercarse a las mujeres TRANS,  dentro de las cuales se pueden mencionar :  actividades de auto cuido y  talleres específicos, con temas claves en donde  se oferto prueba rápida oral  de VIH con pre y post consejería (En coordinación con las clínicas VICITS), promoviendo actividades que permitieron la concentración de la población TRANS  y así lograr un número mayor de intervenciones, estas acciones llamadas  jornadas extramuros fueron muy efectivas  para el acercamiento del sistema de salud nacional a la población  de mujeres TRANS. 
- Además de estas actividades en coordinación con las Clínicas VICITS, se desarrollaron Ferias de la salud para promocionar los servicios VICITS y acercar a las usuarias, en las cuales se brindaron servicios como Odontología, diagnóstico y tratamiento de ITS, lo que permitió solventar la dificultad que las usuarias expresaron de no poder acercarse  a las Clínicas VICITS, debido a los Horarios de atención  y  ubicación de las VICITS, que son controladas por grupos  de pandillas  de diferentes denominaciones a las de su zona de domicilio; lo cual está generando que algunas usuarias sean victimas de amenaza y persecución por acercarse a estas zonas contrarias donde se ubican las VICITS. 
Por lo que para este periodo fue muy efectiva la coordinación de los CCPI con las clínicas VICITS para la realización de actividades extramurales.
La  coordinación efectiva  del RP Plan  con el nivel central ( Gerencia Programa, Clínicas VICITS , Sub-comisión nacional de Monitoreo y Evaluación,  Laboratorio Nacional de Referencia, Junta  vigilancia de la profesión  laboratorio clínico  ) y con el nivel local ( Equipo multidisciplinario de clínicas VICITS)  permitió fortalecer la promoción de los diferentes servicios de las clínicas VICITS, así como las referencia de las usuarias desde los CCPI a las  Clínicas.
- Como parte del paquete básico, la entrega de insumos se realizó dentro los rangos mínimos y máximos de acuerdo al análisis solicitado y estipulado para el cumplimiento de la meta, y todas las entregas de estos insumos fueron dentro de actividades educativas. 
De acuerdo al indicador el cual está compuesto por personas nuevas alcanzadas y personas alcanzadas en categoría de seguimiento, la meta anual para este indicador es acumulada la cual es de 1,555 al final del año 2016 y se alcanzó un total de 1,594 representando un 103% de cumplimiento de esta meta anual. 
Aun habiendo logrado cumplimiento de las metas, queremos hacer notar una constante dificultad en este periodo, para alcanzar a esta población: La violencia concentrada hacia las mujeres  TRANS y  la migración de las mismas,  lo que impacta de manera muy particular a la población  por este mismo tema de violencia  muchas mujeres Trans decidieron migrar  de manera ilegal  por miedo a ser victimas de crimines de odio debido a su identidad de género. En nuestro país persiste la impunidad de los asesinatos, entre otros hechos de violencia en contra de las mujeres TRANS.
</v>
      </c>
      <c r="E34" s="758"/>
      <c r="F34" s="758"/>
      <c r="G34" s="758"/>
      <c r="H34" s="354"/>
      <c r="I34" s="755"/>
      <c r="J34" s="755"/>
      <c r="K34" s="755"/>
      <c r="L34" s="755"/>
      <c r="M34" s="755"/>
      <c r="N34" s="755"/>
      <c r="O34" s="357"/>
    </row>
    <row r="35" spans="1:15" ht="21.75" customHeight="1">
      <c r="A35" s="317"/>
      <c r="B35" s="371" t="s">
        <v>19</v>
      </c>
      <c r="C35" s="372"/>
      <c r="D35" s="758" t="str">
        <f>IF(ISBLANK(Programatico!L23),"",(Programatico!L23))</f>
        <v>
Para el año 2016 de ejecución,  los servicios  del componente complementario  por la población HSH, consistieron en la entrega de servicios  que  ayudaron a superar condiciones  específicas que hacen  que la población de HSH sean más vulnerables a la adquisición de infección por VIH.
Las áreas de mayores atenciones han sido  en los temas de Asesorías legales, derechos humanos y atenciones Psicológicas para usuarios HSH, desarrollando este tipo de acciones principalmente las Asociación entre Amigos, quienes  han fortalecido de manera continua  con  profesionales que brindan esos servicios a la población  HSH.
Debido a la coordinación con instancias que brindan servicios complementarios,  se ha podido observar una alta demanda de  estos por los usuarios.
Así mismo la organización PASMO brindo servicios complementarios orientados a brindar atenciones Psicológicas y detección de otras ITS.
La meta anual para este indicador es acumulada la cual es de 2,195 al final del año 2016 y se alcanzó un total de 1,989 representando un  91 % de cumplimiento de esta meta anual.  En el porcentaje de cumplimiento de este indicador influyo mucho el cierre de otros proyectos gestionados por las organizaciones socias que contribuían con  los servicios complementarios.
</v>
      </c>
      <c r="E35" s="758"/>
      <c r="F35" s="758"/>
      <c r="G35" s="758"/>
      <c r="H35" s="354"/>
      <c r="I35" s="755"/>
      <c r="J35" s="755"/>
      <c r="K35" s="755"/>
      <c r="L35" s="755"/>
      <c r="M35" s="755"/>
      <c r="N35" s="755"/>
      <c r="O35" s="357"/>
    </row>
    <row r="36" spans="1:15" ht="21.75" customHeight="1">
      <c r="A36" s="317"/>
      <c r="B36" s="371" t="s">
        <v>20</v>
      </c>
      <c r="C36" s="372"/>
      <c r="D36" s="758" t="str">
        <f>IF(ISBLANK(Programatico!L24),"",(Programatico!L24))</f>
        <v>Para el 2016, los servicios complementarios demandados por la población de TSF, fueron los siguientes: Planificación familiar, Diagnóstico y tratamiento de ITS, Atenciones psicológicas y asesorías legales.
Para la ejecución de este proyecto la mayoría de actividades del componente complementario se da en los CCPI, aumentando la oferta de actividades y diversificando sus temas.
Estas actividades fueron realizadas en coordinación con organizaciones o instituciones (PDDH, MINSAL, Fiscalía General de la República, gobiernos locales, gobernación, CNR, Cuerpos de agentes metropolitanos, PNC, Ciudad Mujer) con quienes los SR mantienen alianzas estratégicas para el desarrollo de este componente.
Cada organización sub receptora implementó diferentes estrategias que generaron un aumento en la demanda y la oferta para el paquete complementario.  
Dentro del paquete complementario relacionado a derechos humanos, se brindó acompañamiento y asesoría legal a TSF sin identidad (Tramitación de Documento Único de identidad, Partidas de nacimiento) y en algunos casos asesoría migratoria en coordinación con el Ministerio de relaciones exteriores y la fiscalía general de la república, en el marco de garantizar el derecho de identidad y protección de derechos humanos, para las TSF extranjeras.
La meta anual para este indicador es acumulada la cual es de 3,072 al final del año 2016 y se alcanzó un total de 3,058 representando un 100% de cumplimiento de esta meta anual.
</v>
      </c>
      <c r="E36" s="758"/>
      <c r="F36" s="758"/>
      <c r="G36" s="758"/>
      <c r="H36" s="354"/>
      <c r="I36" s="755"/>
      <c r="J36" s="755"/>
      <c r="K36" s="755"/>
      <c r="L36" s="755"/>
      <c r="M36" s="755"/>
      <c r="N36" s="755"/>
      <c r="O36" s="357"/>
    </row>
    <row r="37" spans="1:15" ht="21.75" customHeight="1">
      <c r="A37" s="317"/>
      <c r="B37" s="371" t="s">
        <v>21</v>
      </c>
      <c r="C37" s="372"/>
      <c r="D37" s="758" t="str">
        <f>IF(ISBLANK(Programatico!L25),"",(Programatico!L25))</f>
        <v>Para el  año 2016  se alcanzó la meta  de paquetes complementarios  para  las mujeres TRANS. Esto responde a  los servicios brindados a mujeres Trans  para disminuir aquellas condiciones que   las  hacen más vulnerables.
El incremento en la demanda de los paquetes complementarios responde a la necesidad de las usuarias TRANS, quienes durante  este periodo  han sido víctimas de la de inseguridad social, crímenes de odio, y/o persecución, situación que  ha generado que algunas de ellas  hayan demandado servicios de asesoría legal, atención psicológica y acompañamiento para asesoría migratoria.
A través de estrategias coordinadas en conjunto con socios, como las Clínicas VICITS, Procuraduría para la defensa de los derechos Humanos y gobernación, se logró llegar al cumplimento que se refleja para este periodo.
Entrega de paquetes complementarios:
Las áreas de mayores atenciones han sido en el tema de Asesorías legales, derechos humanos y atenciones Psicológicas.
En el caso de este proyecto la mayoría de actividades para el componente complementario se continúan dando  en los CCPI, debido a que muchas mujeres Trans tienen temor a trasladarse en horarios diurnos por distintas zonas del centro de San Salvador, debido al accionar de las maras (pandillas y grupos armados), este como un esfuerzo de las instituciones prestadoras de los servicios complementarios para hacer llegar sus servicios a esta población, que por la naturaleza socio demográfica es difícil acceder, aunado al temor que les impera de trasladarse a zonas de donde no son originarias debido al control  territorial de los grupos de pandillas.
Cada organización sub receptora implementó diferentes estrategias que tenían la intención de generar un aumento en la demanda y la oferta para los servicios complementarios, lo que ha implicado un esfuerzo  con las instituciones prestadoras para la visibilizarían de  las mujeres TRANS y  las coordinaciones para la prestación de estos servicios dentro de los CCPI.
La meta anual para este indicador es acumulada la cual es de 579 al final del año 2016 y se alcanzó un total de 590 representando un 102% de cumplimiento de esta meta anual.
</v>
      </c>
      <c r="E37" s="758"/>
      <c r="F37" s="758"/>
      <c r="G37" s="758"/>
      <c r="H37" s="354"/>
      <c r="I37" s="755"/>
      <c r="J37" s="755"/>
      <c r="K37" s="755"/>
      <c r="L37" s="755"/>
      <c r="M37" s="755"/>
      <c r="N37" s="755"/>
      <c r="O37" s="357"/>
    </row>
    <row r="38" spans="1:15" ht="21.75" customHeight="1">
      <c r="A38" s="317"/>
      <c r="B38" s="371" t="s">
        <v>22</v>
      </c>
      <c r="C38" s="372"/>
      <c r="D38" s="758">
        <f>IF(ISBLANK(Programatico!L26),"",(Programatico!L26))</f>
      </c>
      <c r="E38" s="758"/>
      <c r="F38" s="758"/>
      <c r="G38" s="758"/>
      <c r="H38" s="354"/>
      <c r="I38" s="755"/>
      <c r="J38" s="755"/>
      <c r="K38" s="755"/>
      <c r="L38" s="755"/>
      <c r="M38" s="755"/>
      <c r="N38" s="755"/>
      <c r="O38" s="357"/>
    </row>
    <row r="39" spans="1:15" ht="21.75" customHeight="1">
      <c r="A39" s="317"/>
      <c r="B39" s="371" t="s">
        <v>23</v>
      </c>
      <c r="C39" s="372"/>
      <c r="D39" s="758" t="e">
        <f>IF(ISBLANK(Programatico!#REF!),"",(Programatico!#REF!))</f>
        <v>#REF!</v>
      </c>
      <c r="E39" s="758"/>
      <c r="F39" s="758"/>
      <c r="G39" s="758"/>
      <c r="H39" s="354"/>
      <c r="I39" s="755"/>
      <c r="J39" s="755"/>
      <c r="K39" s="755"/>
      <c r="L39" s="755"/>
      <c r="M39" s="755"/>
      <c r="N39" s="755"/>
      <c r="O39" s="357"/>
    </row>
    <row r="40" spans="1:15" ht="21.75" customHeight="1">
      <c r="A40" s="317"/>
      <c r="B40" s="371" t="s">
        <v>208</v>
      </c>
      <c r="C40" s="372"/>
      <c r="D40" s="758" t="e">
        <f>IF(ISBLANK(Programatico!#REF!),"",(Programatico!#REF!))</f>
        <v>#REF!</v>
      </c>
      <c r="E40" s="758"/>
      <c r="F40" s="758"/>
      <c r="G40" s="758"/>
      <c r="H40" s="354"/>
      <c r="I40" s="755"/>
      <c r="J40" s="755"/>
      <c r="K40" s="755"/>
      <c r="L40" s="755"/>
      <c r="M40" s="755"/>
      <c r="N40" s="755"/>
      <c r="O40" s="357"/>
    </row>
    <row r="41" spans="1:15" ht="21.75" customHeight="1">
      <c r="A41" s="317"/>
      <c r="B41" s="371" t="s">
        <v>209</v>
      </c>
      <c r="C41" s="373"/>
      <c r="D41" s="758" t="e">
        <f>IF(ISBLANK(Programatico!#REF!),"",(Programatico!#REF!))</f>
        <v>#REF!</v>
      </c>
      <c r="E41" s="758"/>
      <c r="F41" s="758"/>
      <c r="G41" s="758"/>
      <c r="H41" s="354"/>
      <c r="I41" s="759"/>
      <c r="J41" s="759"/>
      <c r="K41" s="759"/>
      <c r="L41" s="759"/>
      <c r="M41" s="759"/>
      <c r="N41" s="759"/>
      <c r="O41" s="357"/>
    </row>
  </sheetData>
  <sheetProtection password="CFC9" sheet="1" objects="1" scenario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E6:K6"/>
    <mergeCell ref="B8:N8"/>
    <mergeCell ref="B10:C10"/>
    <mergeCell ref="D10:G10"/>
    <mergeCell ref="I10:N10"/>
    <mergeCell ref="D13:G13"/>
    <mergeCell ref="I13:N13"/>
    <mergeCell ref="B2:N2"/>
    <mergeCell ref="C3:D3"/>
    <mergeCell ref="E3:K3"/>
    <mergeCell ref="C4:D4"/>
    <mergeCell ref="E4:K4"/>
    <mergeCell ref="E5:K5"/>
  </mergeCells>
  <conditionalFormatting sqref="C4:D4">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28">
      <selection activeCell="B14" sqref="B14:E15"/>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74" t="str">
        <f>+"Cuadro de mando:  "&amp;"  "&amp;+'Introducción de datos'!C4&amp;" - "&amp;'Introducción de datos'!G6</f>
        <v>Cuadro de mando:    El Salvador - VIH / SIDA</v>
      </c>
      <c r="C2" s="674"/>
      <c r="D2" s="674"/>
      <c r="E2" s="674"/>
      <c r="F2" s="674"/>
      <c r="G2" s="674"/>
      <c r="H2" s="674"/>
      <c r="I2" s="674"/>
      <c r="J2" s="674"/>
      <c r="K2" s="674"/>
      <c r="L2" s="674"/>
    </row>
    <row r="3" spans="2:13" ht="15">
      <c r="B3" s="278" t="str">
        <f>+'Introducción de datos'!G8</f>
        <v>Seleccionar</v>
      </c>
      <c r="C3" s="675" t="str">
        <f>+'Introducción de datos'!I8</f>
        <v>Seleccionar</v>
      </c>
      <c r="D3" s="675"/>
      <c r="E3" s="676"/>
      <c r="F3" s="676"/>
      <c r="G3" s="676"/>
      <c r="H3" s="676"/>
      <c r="I3" s="676"/>
      <c r="J3" s="677" t="str">
        <f>+'Introducción de datos'!B16</f>
        <v>Periodo:</v>
      </c>
      <c r="K3" s="677"/>
      <c r="L3" s="296" t="str">
        <f>+'Introducción de datos'!C16</f>
        <v>P6</v>
      </c>
      <c r="M3" s="374"/>
    </row>
    <row r="4" spans="2:12" ht="15">
      <c r="B4" s="278" t="str">
        <f>+'Introducción de datos'!B12</f>
        <v>Ultima calificación:</v>
      </c>
      <c r="C4" s="760" t="str">
        <f>+'Introducción de datos'!C12</f>
        <v>B1</v>
      </c>
      <c r="D4" s="760"/>
      <c r="E4" s="676" t="str">
        <f>+'Introducción de datos'!C8</f>
        <v>PLAN  INTERNACIONAL</v>
      </c>
      <c r="F4" s="676"/>
      <c r="G4" s="676"/>
      <c r="H4" s="676"/>
      <c r="I4" s="676"/>
      <c r="J4" s="677" t="str">
        <f>+'Introducción de datos'!D16</f>
        <v>Desde:</v>
      </c>
      <c r="K4" s="677"/>
      <c r="L4" s="253" t="s">
        <v>375</v>
      </c>
    </row>
    <row r="5" spans="2:12" ht="18.75" customHeight="1">
      <c r="B5" s="278"/>
      <c r="C5" s="278"/>
      <c r="D5" s="676" t="str">
        <f>+'Introducción de datos'!G4</f>
        <v>INNOVANDO SERVICIOS, REDUCIENDO RIESGOS, RENOVANDO VIDAS EN EL SALVADOR</v>
      </c>
      <c r="E5" s="676"/>
      <c r="F5" s="676"/>
      <c r="G5" s="676"/>
      <c r="H5" s="676"/>
      <c r="I5" s="676"/>
      <c r="J5" s="676"/>
      <c r="K5" s="278" t="str">
        <f>+'Introducción de datos'!F16</f>
        <v>Hasta:</v>
      </c>
      <c r="L5" s="253" t="s">
        <v>376</v>
      </c>
    </row>
    <row r="6" spans="2:9" ht="18.75">
      <c r="B6" s="279"/>
      <c r="C6" s="278"/>
      <c r="D6" s="255"/>
      <c r="E6" s="667" t="s">
        <v>24</v>
      </c>
      <c r="F6" s="667"/>
      <c r="G6" s="667"/>
      <c r="H6" s="667"/>
      <c r="I6" s="667"/>
    </row>
    <row r="7" spans="5:9" ht="18.75">
      <c r="E7" s="375"/>
      <c r="F7" s="375"/>
      <c r="G7" s="375"/>
      <c r="H7" s="375"/>
      <c r="I7" s="375"/>
    </row>
    <row r="8" spans="2:12" s="324" customFormat="1" ht="21" customHeight="1">
      <c r="B8" s="376" t="s">
        <v>25</v>
      </c>
      <c r="C8" s="377"/>
      <c r="D8" s="377"/>
      <c r="E8" s="377"/>
      <c r="F8" s="377"/>
      <c r="G8" s="377"/>
      <c r="H8" s="377"/>
      <c r="I8" s="377"/>
      <c r="J8" s="377"/>
      <c r="K8" s="377"/>
      <c r="L8" s="377"/>
    </row>
    <row r="9" ht="6" customHeight="1">
      <c r="B9" s="378"/>
    </row>
    <row r="10" spans="2:12" ht="15">
      <c r="B10" s="765"/>
      <c r="C10" s="765"/>
      <c r="D10" s="765"/>
      <c r="E10" s="765"/>
      <c r="F10" s="765"/>
      <c r="G10" s="765"/>
      <c r="H10" s="765"/>
      <c r="I10" s="765"/>
      <c r="J10" s="765"/>
      <c r="K10" s="765"/>
      <c r="L10" s="765"/>
    </row>
    <row r="11" spans="2:12" ht="15">
      <c r="B11" s="765"/>
      <c r="C11" s="765"/>
      <c r="D11" s="765"/>
      <c r="E11" s="765"/>
      <c r="F11" s="765"/>
      <c r="G11" s="765"/>
      <c r="H11" s="765"/>
      <c r="I11" s="765"/>
      <c r="J11" s="765"/>
      <c r="K11" s="765"/>
      <c r="L11" s="765"/>
    </row>
    <row r="13" spans="1:12" ht="42" customHeight="1">
      <c r="A13" s="379"/>
      <c r="B13" s="766" t="s">
        <v>26</v>
      </c>
      <c r="C13" s="766"/>
      <c r="D13" s="766"/>
      <c r="E13" s="766"/>
      <c r="F13" s="380"/>
      <c r="G13" s="767" t="s">
        <v>27</v>
      </c>
      <c r="H13" s="767"/>
      <c r="I13" s="767"/>
      <c r="J13" s="381" t="s">
        <v>28</v>
      </c>
      <c r="K13" s="768" t="s">
        <v>29</v>
      </c>
      <c r="L13" s="768"/>
    </row>
    <row r="14" spans="1:12" ht="33.75" customHeight="1">
      <c r="A14" s="773" t="s">
        <v>221</v>
      </c>
      <c r="B14" s="763" t="s">
        <v>390</v>
      </c>
      <c r="C14" s="763"/>
      <c r="D14" s="763"/>
      <c r="E14" s="763"/>
      <c r="F14" s="84"/>
      <c r="G14" s="774"/>
      <c r="H14" s="774"/>
      <c r="I14" s="774"/>
      <c r="J14" s="775"/>
      <c r="K14" s="769"/>
      <c r="L14" s="769"/>
    </row>
    <row r="15" spans="1:12" ht="39" customHeight="1">
      <c r="A15" s="773"/>
      <c r="B15" s="763"/>
      <c r="C15" s="763"/>
      <c r="D15" s="763"/>
      <c r="E15" s="763"/>
      <c r="F15" s="84"/>
      <c r="G15" s="774"/>
      <c r="H15" s="774"/>
      <c r="I15" s="774"/>
      <c r="J15" s="775"/>
      <c r="K15" s="769"/>
      <c r="L15" s="769"/>
    </row>
    <row r="16" spans="1:12" ht="25.5" customHeight="1">
      <c r="A16" s="773"/>
      <c r="B16" s="763"/>
      <c r="C16" s="763"/>
      <c r="D16" s="763"/>
      <c r="E16" s="763"/>
      <c r="F16" s="84"/>
      <c r="G16" s="770"/>
      <c r="H16" s="770"/>
      <c r="I16" s="770"/>
      <c r="J16" s="771"/>
      <c r="K16" s="772"/>
      <c r="L16" s="772"/>
    </row>
    <row r="17" spans="1:12" ht="24" customHeight="1">
      <c r="A17" s="773"/>
      <c r="B17" s="763"/>
      <c r="C17" s="763"/>
      <c r="D17" s="763"/>
      <c r="E17" s="763"/>
      <c r="F17" s="84"/>
      <c r="G17" s="770"/>
      <c r="H17" s="770"/>
      <c r="I17" s="770"/>
      <c r="J17" s="771"/>
      <c r="K17" s="772"/>
      <c r="L17" s="772"/>
    </row>
    <row r="18" spans="1:12" ht="15">
      <c r="A18" s="773"/>
      <c r="B18" s="763"/>
      <c r="C18" s="763"/>
      <c r="D18" s="763"/>
      <c r="E18" s="763"/>
      <c r="F18" s="84"/>
      <c r="G18" s="761"/>
      <c r="H18" s="761"/>
      <c r="I18" s="761"/>
      <c r="J18" s="762"/>
      <c r="K18" s="772"/>
      <c r="L18" s="772"/>
    </row>
    <row r="19" spans="1:12" ht="30.75" customHeight="1">
      <c r="A19" s="773"/>
      <c r="B19" s="763"/>
      <c r="C19" s="763"/>
      <c r="D19" s="763"/>
      <c r="E19" s="763"/>
      <c r="F19" s="84"/>
      <c r="G19" s="761"/>
      <c r="H19" s="761"/>
      <c r="I19" s="761"/>
      <c r="J19" s="762"/>
      <c r="K19" s="762"/>
      <c r="L19" s="772"/>
    </row>
    <row r="20" spans="1:12" ht="15">
      <c r="A20" s="773"/>
      <c r="B20" s="763"/>
      <c r="C20" s="763"/>
      <c r="D20" s="763"/>
      <c r="E20" s="763"/>
      <c r="F20" s="84"/>
      <c r="G20" s="764"/>
      <c r="H20" s="764"/>
      <c r="I20" s="764"/>
      <c r="J20" s="762"/>
      <c r="K20" s="772"/>
      <c r="L20" s="772"/>
    </row>
    <row r="21" spans="1:12" ht="15">
      <c r="A21" s="773"/>
      <c r="B21" s="763"/>
      <c r="C21" s="763"/>
      <c r="D21" s="763"/>
      <c r="E21" s="763"/>
      <c r="F21" s="84"/>
      <c r="G21" s="764"/>
      <c r="H21" s="764"/>
      <c r="I21" s="764"/>
      <c r="J21" s="762"/>
      <c r="K21" s="762"/>
      <c r="L21" s="772"/>
    </row>
    <row r="22" spans="1:12" ht="15">
      <c r="A22" s="773"/>
      <c r="B22" s="763"/>
      <c r="C22" s="763"/>
      <c r="D22" s="763"/>
      <c r="E22" s="763"/>
      <c r="F22" s="84"/>
      <c r="G22" s="764"/>
      <c r="H22" s="764"/>
      <c r="I22" s="764"/>
      <c r="J22" s="762"/>
      <c r="K22" s="772"/>
      <c r="L22" s="772"/>
    </row>
    <row r="23" spans="1:12" ht="15">
      <c r="A23" s="773"/>
      <c r="B23" s="763"/>
      <c r="C23" s="763"/>
      <c r="D23" s="763"/>
      <c r="E23" s="763"/>
      <c r="F23" s="84"/>
      <c r="G23" s="764"/>
      <c r="H23" s="764"/>
      <c r="I23" s="764"/>
      <c r="J23" s="762"/>
      <c r="K23" s="762"/>
      <c r="L23" s="772"/>
    </row>
    <row r="24" spans="1:12" ht="15">
      <c r="A24" s="773"/>
      <c r="B24" s="776"/>
      <c r="C24" s="776"/>
      <c r="D24" s="776"/>
      <c r="E24" s="776"/>
      <c r="F24" s="84"/>
      <c r="G24" s="777"/>
      <c r="H24" s="777"/>
      <c r="I24" s="777"/>
      <c r="J24" s="778"/>
      <c r="K24" s="779"/>
      <c r="L24" s="779"/>
    </row>
    <row r="25" spans="1:12" ht="15">
      <c r="A25" s="773"/>
      <c r="B25" s="776"/>
      <c r="C25" s="776"/>
      <c r="D25" s="776"/>
      <c r="E25" s="776"/>
      <c r="F25" s="84"/>
      <c r="G25" s="777"/>
      <c r="H25" s="777"/>
      <c r="I25" s="777"/>
      <c r="J25" s="778"/>
      <c r="K25" s="778"/>
      <c r="L25" s="779"/>
    </row>
    <row r="26" spans="1:12" ht="15">
      <c r="A26" s="379"/>
      <c r="B26" s="379"/>
      <c r="C26" s="379"/>
      <c r="D26" s="379"/>
      <c r="E26" s="379"/>
      <c r="F26" s="379"/>
      <c r="G26" s="379"/>
      <c r="H26" s="379"/>
      <c r="I26" s="379"/>
      <c r="J26" s="379"/>
      <c r="K26" s="379"/>
      <c r="L26" s="379"/>
    </row>
    <row r="27" spans="1:12" ht="18.75">
      <c r="A27" s="379"/>
      <c r="B27" s="379"/>
      <c r="C27" s="379"/>
      <c r="D27" s="379"/>
      <c r="E27" s="382" t="s">
        <v>30</v>
      </c>
      <c r="F27" s="383"/>
      <c r="G27" s="383"/>
      <c r="H27" s="383"/>
      <c r="I27" s="383"/>
      <c r="J27" s="379"/>
      <c r="K27" s="379"/>
      <c r="L27" s="379"/>
    </row>
    <row r="28" spans="1:12" ht="6" customHeight="1">
      <c r="A28" s="379"/>
      <c r="B28" s="379"/>
      <c r="C28" s="379"/>
      <c r="D28" s="379"/>
      <c r="E28" s="384"/>
      <c r="F28" s="384"/>
      <c r="G28" s="384"/>
      <c r="H28" s="384"/>
      <c r="I28" s="384"/>
      <c r="J28" s="379"/>
      <c r="K28" s="379"/>
      <c r="L28" s="379"/>
    </row>
    <row r="29" spans="1:12" s="324" customFormat="1" ht="21" customHeight="1">
      <c r="A29" s="385"/>
      <c r="B29" s="376" t="s">
        <v>31</v>
      </c>
      <c r="C29" s="386"/>
      <c r="D29" s="386"/>
      <c r="E29" s="386"/>
      <c r="F29" s="386"/>
      <c r="G29" s="386"/>
      <c r="H29" s="386"/>
      <c r="I29" s="386"/>
      <c r="J29" s="386"/>
      <c r="K29" s="386"/>
      <c r="L29" s="386"/>
    </row>
    <row r="30" spans="1:12" ht="6" customHeight="1">
      <c r="A30" s="379"/>
      <c r="B30" s="387"/>
      <c r="C30" s="379"/>
      <c r="D30" s="379"/>
      <c r="E30" s="379"/>
      <c r="F30" s="379"/>
      <c r="G30" s="379"/>
      <c r="H30" s="379"/>
      <c r="I30" s="379"/>
      <c r="J30" s="379"/>
      <c r="K30" s="379"/>
      <c r="L30" s="379"/>
    </row>
    <row r="31" spans="1:12" ht="45" customHeight="1">
      <c r="A31" s="379"/>
      <c r="B31" s="766" t="s">
        <v>27</v>
      </c>
      <c r="C31" s="766"/>
      <c r="D31" s="766"/>
      <c r="E31" s="766"/>
      <c r="F31" s="380"/>
      <c r="G31" s="767" t="s">
        <v>32</v>
      </c>
      <c r="H31" s="767"/>
      <c r="I31" s="767"/>
      <c r="J31" s="381" t="s">
        <v>28</v>
      </c>
      <c r="K31" s="768" t="s">
        <v>29</v>
      </c>
      <c r="L31" s="768"/>
    </row>
    <row r="32" spans="1:12" ht="18.75" customHeight="1">
      <c r="A32" s="773" t="s">
        <v>33</v>
      </c>
      <c r="B32" s="780"/>
      <c r="C32" s="780"/>
      <c r="D32" s="780"/>
      <c r="E32" s="780"/>
      <c r="F32" s="84"/>
      <c r="G32" s="781"/>
      <c r="H32" s="781"/>
      <c r="I32" s="781"/>
      <c r="J32" s="782"/>
      <c r="K32" s="783"/>
      <c r="L32" s="783"/>
    </row>
    <row r="33" spans="1:12" ht="18.75" customHeight="1">
      <c r="A33" s="773"/>
      <c r="B33" s="780"/>
      <c r="C33" s="780"/>
      <c r="D33" s="780"/>
      <c r="E33" s="780"/>
      <c r="F33" s="84"/>
      <c r="G33" s="781"/>
      <c r="H33" s="781"/>
      <c r="I33" s="781"/>
      <c r="J33" s="782"/>
      <c r="K33" s="782"/>
      <c r="L33" s="783"/>
    </row>
    <row r="34" spans="1:12" ht="18.75" customHeight="1">
      <c r="A34" s="773"/>
      <c r="B34" s="784">
        <f>IF(Recomendaciones!I43="","",Recomendaciones!I43)</f>
      </c>
      <c r="C34" s="784"/>
      <c r="D34" s="784"/>
      <c r="E34" s="784"/>
      <c r="F34" s="84"/>
      <c r="G34" s="785"/>
      <c r="H34" s="785"/>
      <c r="I34" s="785"/>
      <c r="J34" s="786"/>
      <c r="K34" s="787"/>
      <c r="L34" s="787"/>
    </row>
    <row r="35" spans="1:12" ht="18.75" customHeight="1">
      <c r="A35" s="773"/>
      <c r="B35" s="784"/>
      <c r="C35" s="784"/>
      <c r="D35" s="784"/>
      <c r="E35" s="784"/>
      <c r="F35" s="84"/>
      <c r="G35" s="785"/>
      <c r="H35" s="785"/>
      <c r="I35" s="785"/>
      <c r="J35" s="786"/>
      <c r="K35" s="786"/>
      <c r="L35" s="787"/>
    </row>
    <row r="36" spans="1:12" ht="18.75" customHeight="1">
      <c r="A36" s="773"/>
      <c r="B36" s="784">
        <f>+IF(Recomendaciones!I53="","",Recomendaciones!I53)</f>
      </c>
      <c r="C36" s="784"/>
      <c r="D36" s="784"/>
      <c r="E36" s="784"/>
      <c r="F36" s="84"/>
      <c r="G36" s="785"/>
      <c r="H36" s="785"/>
      <c r="I36" s="785"/>
      <c r="J36" s="786"/>
      <c r="K36" s="787"/>
      <c r="L36" s="787"/>
    </row>
    <row r="37" spans="1:12" ht="18.75" customHeight="1">
      <c r="A37" s="773"/>
      <c r="B37" s="784"/>
      <c r="C37" s="784"/>
      <c r="D37" s="784"/>
      <c r="E37" s="784"/>
      <c r="F37" s="84"/>
      <c r="G37" s="785"/>
      <c r="H37" s="785"/>
      <c r="I37" s="785"/>
      <c r="J37" s="786"/>
      <c r="K37" s="786"/>
      <c r="L37" s="787"/>
    </row>
    <row r="38" spans="1:12" ht="18.75" customHeight="1">
      <c r="A38" s="773"/>
      <c r="B38" s="784"/>
      <c r="C38" s="784"/>
      <c r="D38" s="784"/>
      <c r="E38" s="784"/>
      <c r="F38" s="84"/>
      <c r="G38" s="785"/>
      <c r="H38" s="785"/>
      <c r="I38" s="785"/>
      <c r="J38" s="786"/>
      <c r="K38" s="787"/>
      <c r="L38" s="787"/>
    </row>
    <row r="39" spans="1:12" ht="18.75" customHeight="1">
      <c r="A39" s="773"/>
      <c r="B39" s="784"/>
      <c r="C39" s="784"/>
      <c r="D39" s="784"/>
      <c r="E39" s="784"/>
      <c r="F39" s="84"/>
      <c r="G39" s="785"/>
      <c r="H39" s="785"/>
      <c r="I39" s="785"/>
      <c r="J39" s="786"/>
      <c r="K39" s="786"/>
      <c r="L39" s="787"/>
    </row>
    <row r="40" spans="1:12" ht="18.75" customHeight="1">
      <c r="A40" s="773"/>
      <c r="B40" s="784"/>
      <c r="C40" s="784"/>
      <c r="D40" s="784"/>
      <c r="E40" s="784"/>
      <c r="F40" s="84"/>
      <c r="G40" s="785"/>
      <c r="H40" s="785"/>
      <c r="I40" s="785"/>
      <c r="J40" s="786"/>
      <c r="K40" s="787"/>
      <c r="L40" s="787"/>
    </row>
    <row r="41" spans="1:12" ht="18.75" customHeight="1">
      <c r="A41" s="773"/>
      <c r="B41" s="784"/>
      <c r="C41" s="784"/>
      <c r="D41" s="784"/>
      <c r="E41" s="784"/>
      <c r="F41" s="84"/>
      <c r="G41" s="785"/>
      <c r="H41" s="785"/>
      <c r="I41" s="785"/>
      <c r="J41" s="786"/>
      <c r="K41" s="786"/>
      <c r="L41" s="787"/>
    </row>
    <row r="42" spans="1:12" ht="18.75" customHeight="1">
      <c r="A42" s="773"/>
      <c r="B42" s="788"/>
      <c r="C42" s="788"/>
      <c r="D42" s="788"/>
      <c r="E42" s="788"/>
      <c r="F42" s="84"/>
      <c r="G42" s="789"/>
      <c r="H42" s="789"/>
      <c r="I42" s="789"/>
      <c r="J42" s="790"/>
      <c r="K42" s="791"/>
      <c r="L42" s="791"/>
    </row>
    <row r="43" spans="1:12" ht="18.75" customHeight="1">
      <c r="A43" s="773"/>
      <c r="B43" s="788"/>
      <c r="C43" s="788"/>
      <c r="D43" s="788"/>
      <c r="E43" s="788"/>
      <c r="F43" s="84"/>
      <c r="G43" s="789"/>
      <c r="H43" s="789"/>
      <c r="I43" s="789"/>
      <c r="J43" s="790"/>
      <c r="K43" s="790"/>
      <c r="L43" s="791"/>
    </row>
  </sheetData>
  <sheetProtection selectLockedCells="1" selectUnlockedCells="1"/>
  <mergeCells count="66">
    <mergeCell ref="B42:E43"/>
    <mergeCell ref="G42:I43"/>
    <mergeCell ref="J42:J43"/>
    <mergeCell ref="K42:L43"/>
    <mergeCell ref="B40:E41"/>
    <mergeCell ref="G40:I41"/>
    <mergeCell ref="J40:J41"/>
    <mergeCell ref="K40:L41"/>
    <mergeCell ref="B38:E39"/>
    <mergeCell ref="G38:I39"/>
    <mergeCell ref="J38:J39"/>
    <mergeCell ref="K38:L39"/>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conditionalFormatting sqref="C4:D4">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Karla Eugenia Rivera Arévalo</cp:lastModifiedBy>
  <cp:lastPrinted>2011-01-31T13:36:40Z</cp:lastPrinted>
  <dcterms:created xsi:type="dcterms:W3CDTF">2008-11-20T16:06:13Z</dcterms:created>
  <dcterms:modified xsi:type="dcterms:W3CDTF">2017-07-04T20:36:38Z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