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5960" windowHeight="1410" tabRatio="820" activeTab="0"/>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'Gestión'!$A$1:$L$31</definedName>
    <definedName name="_xlnm.Print_Area" localSheetId="3">'Información de la subvención'!$A$1:$K$15</definedName>
    <definedName name="_xlnm.Print_Area" localSheetId="2">'Introducción de datos'!$A$1:$Q$142</definedName>
    <definedName name="_xlnm.Print_Area" localSheetId="6">'Programatico'!$A$1:$Q$23</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datos'!$B$25:$J$64</definedName>
    <definedName name="PrintDataM">'Introducción de datos'!$B$66:$H$108</definedName>
    <definedName name="PrintF">'Financiamiento'!$A$2:$K$31</definedName>
    <definedName name="PrintGD">'Información de la subvención'!$A$2:$J$13</definedName>
    <definedName name="PrintM" localSheetId="8">'Acciones'!$A$2:$L$6</definedName>
    <definedName name="PrintM">'Gestión'!$A$2:$L$31</definedName>
    <definedName name="PrintP">'Programatico'!$A$2:$P$23</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1" authorId="0">
      <text>
        <r>
          <rPr>
            <b/>
            <sz val="8"/>
            <color indexed="32"/>
            <rFont val="Tahoma"/>
            <family val="2"/>
          </rPr>
          <t xml:space="preserve">Si los datos no están disponibles, no introduzca ceros; deje las celdas de la tabla en blanco. </t>
        </r>
      </text>
    </comment>
    <comment ref="B72"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<sst xmlns="http://schemas.openxmlformats.org/spreadsheetml/2006/main" count="504" uniqueCount="363">
  <si>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</si>
  <si>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</si>
  <si>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</si>
  <si>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</si>
  <si>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</si>
  <si>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</si>
  <si>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</si>
  <si>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</si>
  <si>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</si>
  <si>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</si>
  <si>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</si>
  <si>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</si>
  <si>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</si>
  <si>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</si>
  <si>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</si>
  <si>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</si>
  <si>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</si>
  <si>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</si>
  <si>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</si>
  <si>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</si>
  <si>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</si>
  <si>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</si>
  <si>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</si>
  <si>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</si>
  <si>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</si>
  <si>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</si>
  <si>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</si>
  <si>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</si>
  <si>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</si>
  <si>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</si>
  <si>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</si>
  <si>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</si>
  <si>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</si>
  <si>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</si>
  <si>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</si>
  <si>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</si>
  <si>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</si>
  <si>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</si>
  <si>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</si>
  <si>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</si>
  <si>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</si>
  <si>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</si>
  <si>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</si>
  <si>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</si>
  <si>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</si>
  <si>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</si>
  <si>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</si>
  <si>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</si>
  <si>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</si>
  <si>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</si>
  <si>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</si>
  <si>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 xml:space="preserve">Ministerio de Salud </t>
  </si>
  <si>
    <t>Fecha de inicio (dd/mm/aa):</t>
  </si>
  <si>
    <t>Agente Local del Fondo:</t>
  </si>
  <si>
    <t>Ultima calificación:</t>
  </si>
  <si>
    <t>A2</t>
  </si>
  <si>
    <t>Gerente de Cartera del Fondo:</t>
  </si>
  <si>
    <t>Periodo de referencia del que se informa</t>
  </si>
  <si>
    <t>Periodo:</t>
  </si>
  <si>
    <t>P1</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</si>
  <si>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</si>
  <si>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</si>
  <si>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</si>
  <si>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</si>
  <si>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</si>
  <si>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</si>
  <si>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</si>
  <si>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</si>
  <si>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</si>
  <si>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</si>
  <si>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</si>
  <si>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</si>
  <si>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</si>
  <si>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</si>
  <si>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</si>
  <si>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</si>
  <si>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</si>
  <si>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</si>
  <si>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</si>
  <si>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</si>
  <si>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</si>
  <si>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</si>
  <si>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</si>
  <si>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</si>
  <si>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</si>
  <si>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</si>
  <si>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Presupuesto acumulado</t>
  </si>
  <si>
    <t>Desembolsos  acumulados</t>
  </si>
  <si>
    <t>Estrategias de la Subvención</t>
  </si>
  <si>
    <t>Total</t>
  </si>
  <si>
    <t>F3: Desembolsos y gastos</t>
  </si>
  <si>
    <t>Anterior al periodo de referencia</t>
  </si>
  <si>
    <t>Periodo de referencia actual</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</si>
  <si>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</si>
  <si>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</si>
  <si>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</si>
  <si>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</si>
  <si>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</si>
  <si>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</si>
  <si>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</si>
  <si>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</si>
  <si>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</si>
  <si>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</si>
  <si>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</si>
  <si>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</si>
  <si>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</si>
  <si>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</si>
  <si>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</si>
  <si>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</si>
  <si>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</si>
  <si>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</si>
  <si>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</si>
  <si>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</si>
  <si>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Identificados</t>
  </si>
  <si>
    <t>Evaluados</t>
  </si>
  <si>
    <t>Aprobados</t>
  </si>
  <si>
    <t>Firmados</t>
  </si>
  <si>
    <t>Que reciben financiación</t>
  </si>
  <si>
    <t>Subreceptores</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</si>
  <si>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</si>
  <si>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</si>
  <si>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</si>
  <si>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</si>
  <si>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</si>
  <si>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</si>
  <si>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</si>
  <si>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</si>
  <si>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</si>
  <si>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</si>
  <si>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</si>
  <si>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</si>
  <si>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</si>
  <si>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</si>
  <si>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</si>
  <si>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</si>
  <si>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</si>
  <si>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</si>
  <si>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</si>
  <si>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</si>
  <si>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</si>
  <si>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</si>
  <si>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</si>
  <si>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</si>
  <si>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</si>
  <si>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</si>
  <si>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</si>
  <si>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Producto 1</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</si>
  <si>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</si>
  <si>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</si>
  <si>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</si>
  <si>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</si>
  <si>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</si>
  <si>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</si>
  <si>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</si>
  <si>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</si>
  <si>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</si>
  <si>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</si>
  <si>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</si>
  <si>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</si>
  <si>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</si>
  <si>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</si>
  <si>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</si>
  <si>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</si>
  <si>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</si>
  <si>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</si>
  <si>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</si>
  <si>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</si>
  <si>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</si>
  <si>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</si>
  <si>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</si>
  <si>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</si>
  <si>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</si>
  <si>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</si>
  <si>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No hay sub receptores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</si>
  <si>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</si>
  <si>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</si>
  <si>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</si>
  <si>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</si>
  <si>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</si>
  <si>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</si>
  <si>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</si>
  <si>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</si>
  <si>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</si>
  <si>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</si>
  <si>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</si>
  <si>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</si>
  <si>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</si>
  <si>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</si>
  <si>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</si>
  <si>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</si>
  <si>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</si>
  <si>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</si>
  <si>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</si>
  <si>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</si>
  <si>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</si>
  <si>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</si>
  <si>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</si>
  <si>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</si>
  <si>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</si>
  <si>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</si>
  <si>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</si>
  <si>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</si>
  <si>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</si>
  <si>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</si>
  <si>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</si>
  <si>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</si>
  <si>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</si>
  <si>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</si>
  <si>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</si>
  <si>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</si>
  <si>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</si>
  <si>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</si>
  <si>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</si>
  <si>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</si>
  <si>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</si>
  <si>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</si>
  <si>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</si>
  <si>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</si>
  <si>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</si>
  <si>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</si>
  <si>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</si>
  <si>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</si>
  <si>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</si>
  <si>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</si>
  <si>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</si>
  <si>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</si>
  <si>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</si>
  <si>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</si>
  <si>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</si>
  <si>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</si>
  <si>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</si>
  <si>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</si>
  <si>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</si>
  <si>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</si>
  <si>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</si>
  <si>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</si>
  <si>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</si>
  <si>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</si>
  <si>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</si>
  <si>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</si>
  <si>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</si>
  <si>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</si>
  <si>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</si>
  <si>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</si>
  <si>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</si>
  <si>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</si>
  <si>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</si>
  <si>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</si>
  <si>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</si>
  <si>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</si>
  <si>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</si>
  <si>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</si>
  <si>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</si>
  <si>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</si>
  <si>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</si>
  <si>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</si>
  <si>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</si>
  <si>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</si>
  <si>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</si>
  <si>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</si>
  <si>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</si>
  <si>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</si>
  <si>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</si>
  <si>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</si>
  <si>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</si>
  <si>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</si>
  <si>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</si>
  <si>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</si>
  <si>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</si>
  <si>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</si>
  <si>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</si>
  <si>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</si>
  <si>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</si>
  <si>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</si>
  <si>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</si>
  <si>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</si>
  <si>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</si>
  <si>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</si>
  <si>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</si>
  <si>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</si>
  <si>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</si>
  <si>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</si>
  <si>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</si>
  <si>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</si>
  <si>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</si>
  <si>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</si>
  <si>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</si>
  <si>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</si>
  <si>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</si>
  <si>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</si>
  <si>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</si>
  <si>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</si>
  <si>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</si>
  <si>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</si>
  <si>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</si>
  <si>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</si>
  <si>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</si>
  <si>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</si>
  <si>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</si>
  <si>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</si>
  <si>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</si>
  <si>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</si>
  <si>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</si>
  <si>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</si>
  <si>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</si>
  <si>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</si>
  <si>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</si>
  <si>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</si>
  <si>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</si>
  <si>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</si>
  <si>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</si>
  <si>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</si>
  <si>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</si>
  <si>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</si>
  <si>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</si>
  <si>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</si>
  <si>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1117</t>
  </si>
  <si>
    <t>Eliminación de la malaria en El Salvador: un esfuerzo de país</t>
  </si>
  <si>
    <t>JACOBS</t>
  </si>
  <si>
    <t>Modulo 1: Control de Vectores</t>
  </si>
  <si>
    <t>Modulo 2: Gestión de Casos</t>
  </si>
  <si>
    <t>Modulo 3: Sistemas de información sanitaria y M &amp; E</t>
  </si>
  <si>
    <t>Modulo 4: Salud Comunitaria</t>
  </si>
  <si>
    <t>Modulo 5: Gestión de Programas</t>
  </si>
  <si>
    <t>F2: Presupuesto y gastos reales por modulos de la subvención</t>
  </si>
  <si>
    <t>* Informe de avance semestral de gastos</t>
  </si>
  <si>
    <t>Desembolsado por el Fondo Mundial</t>
  </si>
  <si>
    <t xml:space="preserve">Gastos </t>
  </si>
  <si>
    <t xml:space="preserve">Compromisos </t>
  </si>
  <si>
    <t>M3: Acuerdos contractuales (N/A)</t>
  </si>
  <si>
    <t>M4: Número de informes completos recibidos a tiempo (N/A)</t>
  </si>
  <si>
    <t xml:space="preserve">* Incluye sólo insumos y equipos de laboratorio y entomología </t>
  </si>
  <si>
    <t xml:space="preserve">Malaria O-4: Proporción de viviendas que han sido rociadas en los últimos 12 meses. </t>
  </si>
  <si>
    <t xml:space="preserve">Malaria O-9: 2. Tasa anual de muestras de sangre (laminas leídas). </t>
  </si>
  <si>
    <t xml:space="preserve">VC-5: Proporción de vivienda en las áreas priorizadas que reciben la fumigación intra-domiciliar </t>
  </si>
  <si>
    <t xml:space="preserve">CM-5: Porcentaje de casos confirmados, de todos los casos investigados. </t>
  </si>
  <si>
    <t xml:space="preserve">CM-6: 2. Porcentaje de focos del total investigados </t>
  </si>
  <si>
    <t xml:space="preserve">M&amp;E-2: Proporción de establecimientos de salud públicos y privados que reportan al sistema de vigilancia. </t>
  </si>
  <si>
    <t>Malaria 1-9: Numero de Focos activos. (IMPACTO)</t>
  </si>
  <si>
    <t>Malaria 1-10: Incidencia parasitaria anual (número y tasa por mil) (IMPACTO)</t>
  </si>
  <si>
    <t>INDICADORES DE IMPACTO</t>
  </si>
  <si>
    <t>Outcome</t>
  </si>
  <si>
    <t>Resultado</t>
  </si>
  <si>
    <t>Impacto</t>
  </si>
  <si>
    <t>UAFM/UFE/MINSAL.</t>
  </si>
  <si>
    <t>Jaime Briz de Felipe</t>
  </si>
  <si>
    <t>Para el periodo reportado no existen focos, tomando como base el documento de OPS OMS "Marco para la eliminación de Malaria"</t>
  </si>
  <si>
    <t>intereses</t>
  </si>
  <si>
    <t>Saldo en Caja al 31 de diciembre de 2018</t>
  </si>
  <si>
    <t>P2 (AÑO 2018)</t>
  </si>
  <si>
    <t>Jaime Brizz</t>
  </si>
  <si>
    <t>El reporte fue entregado el 28 de febrero de 2019 y durante el periodo 2019 no se tuvieron retrasos en los desembolsos planificados.</t>
  </si>
  <si>
    <t>En relación al presupuesto aprobado para el año 2019 por el monto de $ 352,643.00,  de enero a junio 2019 se recibieron desembolsos  hasta la cantidad de  $217,471.28 , la diferencia de los fondos no recibidos  corresponde a ajustes presupuestarios del FM que serán asignados en el año 2020 como premio al obtener la  certificación de  Libre de Malaria Autoctona.</t>
  </si>
  <si>
    <t xml:space="preserve">"En el primer semestre del año 2019  se recibieron desembolsos por $ 217,471.28; alcanzandose una ejecución financiera acumulada de 2017 a junio 2019 de 58.6% ; existiendo un  compromisos  de $162,351.50 para ejecutarse durante el segúndo semestre del año 2019. Asi tambien al 30 de junio 2019, se tenia en cuentas bancarias la cantidad de $649,616.93"  de los cuales se tenienen en procesos de compra iniciados en  UACI, por el monto de $569,616.93
</t>
  </si>
  <si>
    <t>Al  comparar los gastos por modulo de la subvención  el Módulo 2 Gestión de Casos ha ejecutado un 65% con respecto al presupuesto asignado para las actividades del modulo;  y el Modulo 1 Control de vectores,  se ha ejecutado un 61%;  debido a que  con estas intervenciones  da respuesta el personal de salud al control del vectos y gestion de casos de malaria</t>
  </si>
  <si>
    <t>Para el periodo reportado no existen casos autóctonos, por lo que según la clasificación de focos según el Marco para la Eliminación de la Malaria (OMS), no se reportan focos activos.  La meta para el año 2019 es de 2,444 viviendas habiéndose realizado al 30 de junio de 2019, un total de RRI en 2,425 viviendas, logrando un porcentaje de 99.22%,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t>
  </si>
  <si>
    <t>Para el periodo reportado, enero a junio 2019, no se han reportado casos autóctonos, por consiguiente no existieron focos activos, por lo que el resultado reportado es cero. Fuente: Sistema de información del Programa Nacional de Malaria.</t>
  </si>
  <si>
    <t>Las viviendas que se proyectaban rociar en el año 2019, estaban programadas con una proyección de 14 focos, este año hubo cero focos activos debido a que el caso reportado es importado. Por lo que no se debió haber rociado; sin embargo, el país realizó la acción de rociado en 2,425 viviendas ubicadas en áreas con vulnerabilidad y receptividad para la malaria. Fuente de datos: SUIS/Vectores, GEO, Informe mensual de SIBASI, Informe de LNR e informes mensuales del
Programa Nacional de Malaria.</t>
  </si>
  <si>
    <t>El caso importado tuvo procedencia de Mexico con residencia en área urbana del municipio de Ilobasco, del departamento de Cabañas. Formulario de investigación de caso de malaria; Sistema de Información del Programa Nacional
de Malaria.</t>
  </si>
  <si>
    <t>Se esperaban 14 focos en el periodo reportado pero no se detectaron casos autóctonos que correspondieran a focos activos. El exito logrado por el Programa Nacional de Malaria desde el año 2017 con cero casos de malaria autoctona, tener por dos años y medio este logro. El dato reportado corresponde a la investigación del caso importado del periodo de enero a junio del año 2019. Fuente: Informes de investigación de foco en SIBASI y mapeo de focos en SUIS. Informes del programa nacional de malaria.</t>
  </si>
  <si>
    <t>El 98% de las Unidades Notificadoras reportó en el VIGEPES al menos una vezen el periodo reportado. Fuente de datos: Documentos administrativos:reporte del VIGEPES sobre unidades notificadoras que reportaron de manera oportuna y completa al sistema.</t>
  </si>
  <si>
    <t>En 2019, la Incidencia Parasitaria Anual (IPA) es de 0 (cero), ya que a la fecha no se han registrado casos de malaria autóctonos para el periodo reportado. Fuente: VIGEPES-LAB.</t>
  </si>
  <si>
    <t>Caso notificado en 2019 es clasificado como importado, no se reportan focos activos. Lo anterior ha sido verificado mediante las acciones de búsqueda activa reactiva y proactiva de casos, como parte de la estricta vigilancia epidemiológica. Fuente: VIGEPES.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</si>
</sst>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_);_([$€]* \(#,##0.00\);_([$€]* \-??_);_(@_)"/>
    <numFmt numFmtId="187" formatCode="_(* #,##0.00_);_(* \(#,##0.00\);_(* \-??_);_(@_)"/>
    <numFmt numFmtId="188" formatCode="_(\$* #,##0.00_);_(\$* \(#,##0.00\);_(\$* \-??_);_(@_)"/>
    <numFmt numFmtId="189" formatCode="d&quot; de &quot;mmm&quot; de &quot;yy"/>
    <numFmt numFmtId="190" formatCode="\Q#,##0_);[Red]&quot;(Q&quot;#,##0\)"/>
    <numFmt numFmtId="191" formatCode="_(* #,##0_);_(* \(#,##0\);_(* \-??_);_(@_)"/>
    <numFmt numFmtId="192" formatCode="_([$$-440A]* #,##0.00_);_([$$-440A]* \(#,##0.00\);_([$$-440A]* \-??_);_(@_)"/>
    <numFmt numFmtId="193" formatCode="#.##0"/>
    <numFmt numFmtId="194" formatCode="_-* #,##0.00\ _€_-;\-* #,##0.00\ _€_-;_-* \-??\ _€_-;_-@_-"/>
    <numFmt numFmtId="195" formatCode="_ [$$-240A]\ * #,##0.00_ ;_ [$$-240A]\ * \-#,##0.00_ ;_ [$$-240A]\ * \-??_ ;_ @_ "/>
    <numFmt numFmtId="196" formatCode="#.##000"/>
    <numFmt numFmtId="197" formatCode="[$$-409]#,##0"/>
    <numFmt numFmtId="198" formatCode="[$$-340A]\ #,##0.00"/>
    <numFmt numFmtId="199" formatCode="000%"/>
    <numFmt numFmtId="200" formatCode="[$$-240A]\ #,##0.00"/>
    <numFmt numFmtId="201" formatCode="000"/>
    <numFmt numFmtId="202" formatCode="[$$-340A]#,##0.00"/>
    <numFmt numFmtId="203" formatCode="#"/>
    <numFmt numFmtId="204" formatCode="0.0"/>
    <numFmt numFmtId="205" formatCode="#.00"/>
    <numFmt numFmtId="206" formatCode="#.##"/>
    <numFmt numFmtId="207" formatCode="0.0%"/>
    <numFmt numFmtId="208" formatCode="dd/mm/yyyy"/>
    <numFmt numFmtId="209" formatCode="[$$-409]#,##0_);\([$$-409]#,##0\)"/>
    <numFmt numFmtId="210" formatCode="d/mmm/yyyy;@"/>
    <numFmt numFmtId="211" formatCode="dd/mm/yy\ hh:mm"/>
    <numFmt numFmtId="212" formatCode="#.0"/>
    <numFmt numFmtId="213" formatCode=";;;"/>
    <numFmt numFmtId="214" formatCode=";;;&quot;Financial Variance in %&quot;"/>
    <numFmt numFmtId="215" formatCode="_([$$-440A]* #,##0.00_);_([$$-440A]* \(#,##0.00\);_([$$-440A]* &quot;-&quot;??_);_(@_)"/>
    <numFmt numFmtId="216" formatCode="_(\$* #,##0.00_);_(\$* \(#,##0.00\);_(\$* &quot;-&quot;??_);_(@_)"/>
    <numFmt numFmtId="217" formatCode="\$#,##0"/>
    <numFmt numFmtId="218" formatCode="_(\Q* #,##0.00_);_(\Q* \(#,##0.00\);_(\Q* \-??_);_(@_)"/>
    <numFmt numFmtId="219" formatCode="\$#,##0.00"/>
    <numFmt numFmtId="220" formatCode="\$#,##0.000"/>
    <numFmt numFmtId="221" formatCode="0.000"/>
  </numFmts>
  <fonts count="157">
    <font>
      <sz val="11"/>
      <color indexed="8"/>
      <name val="Calibri"/>
      <family val="2"/>
    </font>
    <font>
      <sz val="10"/>
      <name val="Arial"/>
      <family val="0"/>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b/>
      <sz val="14"/>
      <color indexed="40"/>
      <name val="Calibri"/>
      <family val="2"/>
    </font>
    <font>
      <b/>
      <sz val="14"/>
      <color indexed="44"/>
      <name val="Calibri"/>
      <family val="2"/>
    </font>
    <font>
      <sz val="11"/>
      <color indexed="40"/>
      <name val="Calibri"/>
      <family val="2"/>
    </font>
    <font>
      <b/>
      <sz val="11"/>
      <color indexed="53"/>
      <name val="Calibri"/>
      <family val="2"/>
    </font>
    <font>
      <i/>
      <sz val="11"/>
      <name val="Calibri"/>
      <family val="2"/>
    </font>
    <font>
      <b/>
      <sz val="11"/>
      <name val="Calibri"/>
      <family val="2"/>
    </font>
    <font>
      <sz val="8"/>
      <color indexed="8"/>
      <name val="Calibri"/>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b/>
      <sz val="8"/>
      <color indexed="32"/>
      <name val="Tahoma"/>
      <family val="2"/>
    </font>
    <font>
      <sz val="28"/>
      <name val="Calibri"/>
      <family val="2"/>
    </font>
    <font>
      <sz val="12"/>
      <color indexed="8"/>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b/>
      <sz val="8"/>
      <name val="Calibri"/>
      <family val="2"/>
    </font>
    <font>
      <sz val="9"/>
      <name val="Calibri"/>
      <family val="2"/>
    </font>
    <font>
      <b/>
      <sz val="8"/>
      <color indexed="8"/>
      <name val="Calibri"/>
      <family val="2"/>
    </font>
    <font>
      <sz val="9"/>
      <color indexed="16"/>
      <name val="Calibri"/>
      <family val="2"/>
    </font>
    <font>
      <sz val="7"/>
      <color indexed="16"/>
      <name val="Calibri"/>
      <family val="2"/>
    </font>
    <font>
      <sz val="8"/>
      <name val="Calibri"/>
      <family val="2"/>
    </font>
    <font>
      <sz val="12"/>
      <color indexed="53"/>
      <name val="Calibri"/>
      <family val="2"/>
    </font>
    <font>
      <i/>
      <sz val="8"/>
      <color indexed="8"/>
      <name val="Calibri"/>
      <family val="2"/>
    </font>
    <font>
      <sz val="11"/>
      <color indexed="29"/>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8"/>
      <color indexed="8"/>
      <name val="Calibri"/>
      <family val="2"/>
    </font>
    <font>
      <b/>
      <u val="single"/>
      <sz val="12"/>
      <name val="Calibri"/>
      <family val="2"/>
    </font>
    <font>
      <sz val="12"/>
      <name val="Arial"/>
      <family val="2"/>
    </font>
    <font>
      <sz val="11"/>
      <color indexed="17"/>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2"/>
      <color indexed="8"/>
      <name val="Arial"/>
      <family val="2"/>
    </font>
    <font>
      <sz val="9"/>
      <color indexed="8"/>
      <name val="Calibri"/>
      <family val="0"/>
    </font>
    <font>
      <sz val="6"/>
      <color indexed="8"/>
      <name val="Calibri"/>
      <family val="0"/>
    </font>
    <font>
      <sz val="7"/>
      <color indexed="8"/>
      <name val="Calibri"/>
      <family val="0"/>
    </font>
    <font>
      <sz val="5"/>
      <color indexed="8"/>
      <name val="Arial"/>
      <family val="0"/>
    </font>
    <font>
      <b/>
      <sz val="10.5"/>
      <color indexed="8"/>
      <name val="Calibri"/>
      <family val="0"/>
    </font>
    <font>
      <sz val="6.5"/>
      <color indexed="8"/>
      <name val="Calibri"/>
      <family val="0"/>
    </font>
    <font>
      <b/>
      <sz val="9"/>
      <color indexed="8"/>
      <name val="Arial"/>
      <family val="0"/>
    </font>
    <font>
      <b/>
      <sz val="8"/>
      <color indexed="8"/>
      <name val="Arial"/>
      <family val="0"/>
    </font>
    <font>
      <sz val="8"/>
      <color indexed="8"/>
      <name val="Arial"/>
      <family val="0"/>
    </font>
    <font>
      <sz val="5.85"/>
      <color indexed="8"/>
      <name val="Arial"/>
      <family val="0"/>
    </font>
    <font>
      <sz val="4.35"/>
      <color indexed="8"/>
      <name val="Arial"/>
      <family val="0"/>
    </font>
    <font>
      <sz val="6.75"/>
      <color indexed="8"/>
      <name val="Arial"/>
      <family val="0"/>
    </font>
    <font>
      <sz val="4.25"/>
      <color indexed="8"/>
      <name val="Arial"/>
      <family val="0"/>
    </font>
    <font>
      <sz val="6.4"/>
      <color indexed="8"/>
      <name val="Arial"/>
      <family val="0"/>
    </font>
    <font>
      <b/>
      <sz val="5.5"/>
      <color indexed="8"/>
      <name val="Arial"/>
      <family val="0"/>
    </font>
    <font>
      <sz val="4.7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alibri"/>
      <family val="2"/>
    </font>
    <font>
      <sz val="12"/>
      <color theme="1"/>
      <name val="Arial"/>
      <family val="2"/>
    </font>
    <font>
      <sz val="12"/>
      <color theme="1"/>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34"/>
        <bgColor indexed="64"/>
      </patternFill>
    </fill>
    <fill>
      <patternFill patternType="solid">
        <fgColor indexed="41"/>
        <bgColor indexed="64"/>
      </patternFill>
    </fill>
    <fill>
      <patternFill patternType="solid">
        <fgColor theme="4" tint="0.7999799847602844"/>
        <bgColor indexed="64"/>
      </patternFill>
    </fill>
    <fill>
      <patternFill patternType="solid">
        <fgColor indexed="18"/>
        <bgColor indexed="64"/>
      </patternFill>
    </fill>
    <fill>
      <patternFill patternType="solid">
        <fgColor indexed="62"/>
        <bgColor indexed="64"/>
      </patternFill>
    </fill>
    <fill>
      <patternFill patternType="solid">
        <fgColor indexed="61"/>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0" tint="-0.24997000396251678"/>
        <bgColor indexed="64"/>
      </patternFill>
    </fill>
  </fills>
  <borders count="1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thin">
        <color indexed="60"/>
      </right>
      <top>
        <color indexed="63"/>
      </top>
      <bottom>
        <color indexed="63"/>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thin">
        <color indexed="32"/>
      </left>
      <right style="medium">
        <color indexed="60"/>
      </right>
      <top style="thin">
        <color indexed="32"/>
      </top>
      <bottom style="thin">
        <color indexed="32"/>
      </bottom>
    </border>
    <border>
      <left>
        <color indexed="63"/>
      </left>
      <right style="medium">
        <color indexed="60"/>
      </right>
      <top style="thin">
        <color indexed="32"/>
      </top>
      <bottom style="thin">
        <color indexed="32"/>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style="thin">
        <color indexed="32"/>
      </right>
      <top>
        <color indexed="63"/>
      </top>
      <bottom>
        <color indexed="63"/>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thin">
        <color indexed="32"/>
      </left>
      <right style="thin">
        <color indexed="32"/>
      </right>
      <top style="thin">
        <color indexed="32"/>
      </top>
      <bottom>
        <color indexed="63"/>
      </bottom>
    </border>
    <border>
      <left style="medium">
        <color indexed="48"/>
      </left>
      <right style="thin">
        <color indexed="32"/>
      </right>
      <top>
        <color indexed="63"/>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color indexed="63"/>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medium">
        <color indexed="32"/>
      </bottom>
    </border>
    <border>
      <left style="medium">
        <color indexed="32"/>
      </left>
      <right style="thin">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medium">
        <color indexed="60"/>
      </left>
      <right style="thin">
        <color indexed="32"/>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16"/>
      </left>
      <right style="medium">
        <color indexed="51"/>
      </right>
      <top style="medium">
        <color indexed="51"/>
      </top>
      <bottom style="thin">
        <color indexed="32"/>
      </bottom>
    </border>
    <border>
      <left style="thin"/>
      <right style="thin"/>
      <top style="thin"/>
      <bottom style="thin"/>
    </border>
    <border>
      <left style="thin"/>
      <right style="thin"/>
      <top>
        <color indexed="63"/>
      </top>
      <bottom style="thin"/>
    </border>
    <border>
      <left>
        <color indexed="63"/>
      </left>
      <right>
        <color indexed="63"/>
      </right>
      <top style="thin">
        <color indexed="32"/>
      </top>
      <bottom>
        <color indexed="63"/>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style="medium">
        <color indexed="51"/>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style="thin">
        <color indexed="32"/>
      </left>
      <right style="thin">
        <color indexed="32"/>
      </right>
      <top>
        <color indexed="63"/>
      </top>
      <bottom>
        <color indexed="63"/>
      </bottom>
    </border>
    <border>
      <left style="medium">
        <color indexed="32"/>
      </left>
      <right style="medium">
        <color indexed="32"/>
      </right>
      <top style="thin">
        <color indexed="32"/>
      </top>
      <bottom style="thin">
        <color indexed="3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style="thin"/>
      <right>
        <color indexed="63"/>
      </right>
      <top style="thin"/>
      <bottom style="thin"/>
    </border>
    <border>
      <left style="thin">
        <color indexed="32"/>
      </left>
      <right>
        <color indexed="63"/>
      </right>
      <top style="thin"/>
      <bottom style="thin"/>
    </border>
    <border>
      <left style="thin">
        <color indexed="32"/>
      </left>
      <right style="thin"/>
      <top style="thin"/>
      <bottom style="thin"/>
    </border>
    <border>
      <left>
        <color indexed="63"/>
      </left>
      <right style="thin">
        <color indexed="28"/>
      </right>
      <top style="thin">
        <color indexed="32"/>
      </top>
      <bottom style="thin">
        <color indexed="32"/>
      </bottom>
    </border>
    <border>
      <left style="thin">
        <color indexed="28"/>
      </left>
      <right style="thin">
        <color indexed="28"/>
      </right>
      <top style="thin">
        <color indexed="28"/>
      </top>
      <bottom style="thin">
        <color indexed="28"/>
      </bottom>
    </border>
    <border>
      <left>
        <color indexed="63"/>
      </left>
      <right>
        <color indexed="63"/>
      </right>
      <top style="thin"/>
      <bottom style="thin"/>
    </border>
    <border>
      <left>
        <color indexed="63"/>
      </left>
      <right style="thin"/>
      <top style="thin"/>
      <bottom style="thin"/>
    </border>
    <border>
      <left style="thin"/>
      <right style="thin">
        <color indexed="32"/>
      </right>
      <top style="thin"/>
      <bottom style="thin"/>
    </border>
    <border>
      <left>
        <color indexed="63"/>
      </left>
      <right style="thin">
        <color indexed="32"/>
      </right>
      <top style="thin"/>
      <bottom style="thin"/>
    </border>
    <border>
      <left style="thin">
        <color indexed="28"/>
      </left>
      <right>
        <color indexed="63"/>
      </right>
      <top style="thin">
        <color indexed="28"/>
      </top>
      <bottom style="thin">
        <color indexed="28"/>
      </bottom>
    </border>
    <border>
      <left>
        <color indexed="63"/>
      </left>
      <right>
        <color indexed="63"/>
      </right>
      <top style="thin">
        <color indexed="28"/>
      </top>
      <bottom style="thin">
        <color indexed="28"/>
      </bottom>
    </border>
    <border>
      <left>
        <color indexed="63"/>
      </left>
      <right style="thin">
        <color indexed="28"/>
      </right>
      <top style="thin">
        <color indexed="28"/>
      </top>
      <bottom style="thin">
        <color indexed="28"/>
      </bottom>
    </border>
    <border>
      <left>
        <color indexed="63"/>
      </left>
      <right style="thin">
        <color indexed="28"/>
      </right>
      <top>
        <color indexed="63"/>
      </top>
      <bottom>
        <color indexed="63"/>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0"/>
      </right>
      <top style="hair">
        <color indexed="23"/>
      </top>
      <bottom style="hair">
        <color indexed="23"/>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style="medium">
        <color indexed="60"/>
      </left>
      <right style="medium">
        <color indexed="60"/>
      </right>
      <top>
        <color indexed="63"/>
      </top>
      <bottom style="hair">
        <color indexed="32"/>
      </bottom>
    </border>
    <border>
      <left style="medium">
        <color indexed="32"/>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color indexed="63"/>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hair">
        <color indexed="32"/>
      </left>
      <right style="medium">
        <color indexed="32"/>
      </right>
      <top style="medium">
        <color indexed="57"/>
      </top>
      <bottom style="hair">
        <color indexed="32"/>
      </bottom>
    </border>
    <border>
      <left style="thin">
        <color indexed="32"/>
      </left>
      <right>
        <color indexed="63"/>
      </right>
      <top style="medium">
        <color indexed="57"/>
      </top>
      <bottom>
        <color indexed="63"/>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135" fillId="3" borderId="0" applyNumberFormat="0" applyBorder="0" applyAlignment="0" applyProtection="0"/>
    <xf numFmtId="0" fontId="135" fillId="4" borderId="0" applyNumberFormat="0" applyBorder="0" applyAlignment="0" applyProtection="0"/>
    <xf numFmtId="0" fontId="135" fillId="5" borderId="0" applyNumberFormat="0" applyBorder="0" applyAlignment="0" applyProtection="0"/>
    <xf numFmtId="0" fontId="135" fillId="6"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7" fillId="20" borderId="0" applyNumberFormat="0" applyBorder="0" applyAlignment="0" applyProtection="0"/>
    <xf numFmtId="0" fontId="138" fillId="21" borderId="1" applyNumberFormat="0" applyAlignment="0" applyProtection="0"/>
    <xf numFmtId="0" fontId="139" fillId="22" borderId="2" applyNumberFormat="0" applyAlignment="0" applyProtection="0"/>
    <xf numFmtId="0" fontId="140" fillId="0" borderId="3" applyNumberFormat="0" applyFill="0" applyAlignment="0" applyProtection="0"/>
    <xf numFmtId="0" fontId="141" fillId="0" borderId="4" applyNumberFormat="0" applyFill="0" applyAlignment="0" applyProtection="0"/>
    <xf numFmtId="0" fontId="142" fillId="0" borderId="0" applyNumberFormat="0" applyFill="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6" fillId="26" borderId="0" applyNumberFormat="0" applyBorder="0" applyAlignment="0" applyProtection="0"/>
    <xf numFmtId="0" fontId="136" fillId="27" borderId="0" applyNumberFormat="0" applyBorder="0" applyAlignment="0" applyProtection="0"/>
    <xf numFmtId="0" fontId="136" fillId="28" borderId="0" applyNumberFormat="0" applyBorder="0" applyAlignment="0" applyProtection="0"/>
    <xf numFmtId="0" fontId="143" fillId="29" borderId="1" applyNumberFormat="0" applyAlignment="0" applyProtection="0"/>
    <xf numFmtId="186" fontId="0" fillId="0" borderId="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30" borderId="0" applyNumberFormat="0" applyBorder="0" applyAlignment="0" applyProtection="0"/>
    <xf numFmtId="187" fontId="0" fillId="0" borderId="0" applyFill="0" applyBorder="0" applyAlignment="0" applyProtection="0"/>
    <xf numFmtId="175"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74" fontId="1" fillId="0" borderId="0" applyFill="0" applyBorder="0" applyAlignment="0" applyProtection="0"/>
    <xf numFmtId="0" fontId="147" fillId="31" borderId="0" applyNumberFormat="0" applyBorder="0" applyAlignment="0" applyProtection="0"/>
    <xf numFmtId="18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7" fontId="0" fillId="0" borderId="0">
      <alignment/>
      <protection/>
    </xf>
    <xf numFmtId="187" fontId="0" fillId="0" borderId="0">
      <alignment/>
      <protection/>
    </xf>
    <xf numFmtId="187" fontId="0" fillId="0" borderId="0">
      <alignment/>
      <protection/>
    </xf>
    <xf numFmtId="187" fontId="0" fillId="0" borderId="0">
      <alignment/>
      <protection/>
    </xf>
    <xf numFmtId="187" fontId="0" fillId="0" borderId="0">
      <alignment/>
      <protection/>
    </xf>
    <xf numFmtId="187" fontId="0" fillId="0" borderId="0">
      <alignment/>
      <protection/>
    </xf>
    <xf numFmtId="187" fontId="0" fillId="0" borderId="0">
      <alignment/>
      <protection/>
    </xf>
    <xf numFmtId="187" fontId="0" fillId="0" borderId="0">
      <alignment/>
      <protection/>
    </xf>
    <xf numFmtId="187"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0" fontId="148" fillId="21" borderId="6" applyNumberForma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7" applyNumberFormat="0" applyFill="0" applyAlignment="0" applyProtection="0"/>
    <xf numFmtId="0" fontId="142" fillId="0" borderId="8"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53" fillId="0" borderId="10" applyNumberFormat="0" applyFill="0" applyAlignment="0" applyProtection="0"/>
  </cellStyleXfs>
  <cellXfs count="691">
    <xf numFmtId="0" fontId="0" fillId="0" borderId="0" xfId="0" applyAlignment="1">
      <alignment/>
    </xf>
    <xf numFmtId="187" fontId="3" fillId="0" borderId="0" xfId="65" applyFont="1" applyFill="1" applyAlignment="1">
      <alignment vertical="center"/>
      <protection/>
    </xf>
    <xf numFmtId="0" fontId="5" fillId="0" borderId="0" xfId="0" applyFont="1" applyAlignment="1">
      <alignment/>
    </xf>
    <xf numFmtId="187" fontId="5" fillId="0" borderId="0" xfId="0" applyNumberFormat="1" applyFont="1" applyAlignment="1">
      <alignment/>
    </xf>
    <xf numFmtId="187" fontId="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7" fontId="2" fillId="0" borderId="0" xfId="64" applyFont="1" applyFill="1" applyAlignment="1" applyProtection="1">
      <alignment horizontal="center" vertical="center"/>
      <protection/>
    </xf>
    <xf numFmtId="187" fontId="3" fillId="0" borderId="0" xfId="64" applyFont="1" applyFill="1" applyAlignment="1" applyProtection="1">
      <alignment vertical="center"/>
      <protection/>
    </xf>
    <xf numFmtId="0" fontId="15"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horizontal="center"/>
    </xf>
    <xf numFmtId="0" fontId="18" fillId="0" borderId="0" xfId="0" applyFont="1" applyFill="1" applyAlignment="1">
      <alignment/>
    </xf>
    <xf numFmtId="0" fontId="0" fillId="0" borderId="0" xfId="0" applyFont="1" applyAlignment="1">
      <alignment/>
    </xf>
    <xf numFmtId="0" fontId="9" fillId="33" borderId="11" xfId="0" applyFont="1" applyFill="1" applyBorder="1" applyAlignment="1">
      <alignment horizontal="justify" vertical="center" wrapText="1"/>
    </xf>
    <xf numFmtId="0" fontId="13" fillId="33" borderId="12" xfId="0" applyFont="1" applyFill="1" applyBorder="1" applyAlignment="1">
      <alignment horizontal="justify" vertical="center" wrapText="1"/>
    </xf>
    <xf numFmtId="0" fontId="13" fillId="33" borderId="13" xfId="0" applyFont="1" applyFill="1" applyBorder="1" applyAlignment="1">
      <alignment horizontal="justify"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12" xfId="0" applyFont="1" applyBorder="1" applyAlignment="1">
      <alignment horizontal="justify" vertical="center" wrapText="1"/>
    </xf>
    <xf numFmtId="0" fontId="13"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1" xfId="0" applyFont="1" applyBorder="1" applyAlignment="1">
      <alignment horizontal="justify" vertical="center" wrapText="1"/>
    </xf>
    <xf numFmtId="187" fontId="24" fillId="0" borderId="0" xfId="56" applyFont="1" applyFill="1" applyAlignment="1" applyProtection="1">
      <alignment vertical="center"/>
      <protection/>
    </xf>
    <xf numFmtId="187" fontId="25" fillId="0" borderId="0" xfId="0" applyNumberFormat="1" applyFont="1" applyAlignment="1" applyProtection="1">
      <alignment horizontal="right"/>
      <protection/>
    </xf>
    <xf numFmtId="187" fontId="0" fillId="0" borderId="14" xfId="0" applyNumberFormat="1" applyFont="1" applyBorder="1" applyAlignment="1" applyProtection="1">
      <alignment horizontal="center"/>
      <protection locked="0"/>
    </xf>
    <xf numFmtId="187" fontId="25" fillId="0" borderId="0" xfId="0" applyNumberFormat="1" applyFont="1" applyBorder="1" applyAlignment="1" applyProtection="1">
      <alignment horizontal="right"/>
      <protection/>
    </xf>
    <xf numFmtId="0" fontId="25" fillId="0" borderId="0" xfId="0" applyFont="1" applyAlignment="1" applyProtection="1">
      <alignment horizontal="right"/>
      <protection/>
    </xf>
    <xf numFmtId="0" fontId="25" fillId="0" borderId="0" xfId="0" applyFont="1" applyAlignment="1" applyProtection="1">
      <alignment/>
      <protection/>
    </xf>
    <xf numFmtId="49" fontId="25" fillId="0" borderId="0" xfId="0" applyNumberFormat="1" applyFont="1" applyAlignment="1" applyProtection="1">
      <alignment horizontal="right"/>
      <protection/>
    </xf>
    <xf numFmtId="0" fontId="25" fillId="0" borderId="0" xfId="0" applyFont="1" applyBorder="1" applyAlignment="1" applyProtection="1">
      <alignment/>
      <protection/>
    </xf>
    <xf numFmtId="189" fontId="0" fillId="0" borderId="0" xfId="0" applyNumberFormat="1" applyAlignment="1" applyProtection="1">
      <alignment/>
      <protection/>
    </xf>
    <xf numFmtId="189" fontId="0" fillId="0" borderId="14" xfId="90" applyNumberFormat="1" applyFont="1" applyFill="1" applyBorder="1" applyAlignment="1" applyProtection="1">
      <alignment horizontal="center"/>
      <protection locked="0"/>
    </xf>
    <xf numFmtId="187" fontId="25" fillId="0" borderId="15" xfId="0" applyNumberFormat="1" applyFont="1" applyBorder="1" applyAlignment="1" applyProtection="1">
      <alignment horizontal="right"/>
      <protection/>
    </xf>
    <xf numFmtId="0" fontId="0" fillId="0" borderId="0" xfId="0" applyBorder="1" applyAlignment="1" applyProtection="1">
      <alignment/>
      <protection/>
    </xf>
    <xf numFmtId="187" fontId="25" fillId="0" borderId="0" xfId="0" applyNumberFormat="1" applyFont="1" applyAlignment="1" applyProtection="1">
      <alignment/>
      <protection/>
    </xf>
    <xf numFmtId="0" fontId="0" fillId="0" borderId="0" xfId="0" applyAlignment="1" applyProtection="1">
      <alignment/>
      <protection/>
    </xf>
    <xf numFmtId="0" fontId="0" fillId="34" borderId="14" xfId="0" applyFill="1" applyBorder="1" applyAlignment="1" applyProtection="1">
      <alignment/>
      <protection/>
    </xf>
    <xf numFmtId="0" fontId="0" fillId="35" borderId="14" xfId="0" applyFill="1" applyBorder="1" applyAlignment="1" applyProtection="1">
      <alignment/>
      <protection/>
    </xf>
    <xf numFmtId="0" fontId="0" fillId="0" borderId="0" xfId="0" applyFill="1" applyBorder="1" applyAlignment="1">
      <alignment/>
    </xf>
    <xf numFmtId="187" fontId="28" fillId="0" borderId="16" xfId="96" applyNumberFormat="1" applyFont="1" applyFill="1" applyBorder="1" applyAlignment="1" applyProtection="1">
      <alignment/>
      <protection/>
    </xf>
    <xf numFmtId="187" fontId="0" fillId="0" borderId="16" xfId="96" applyNumberFormat="1" applyFill="1" applyBorder="1" applyAlignment="1" applyProtection="1">
      <alignment vertical="center"/>
      <protection/>
    </xf>
    <xf numFmtId="187" fontId="29" fillId="0" borderId="16" xfId="96" applyNumberFormat="1" applyFont="1" applyFill="1" applyBorder="1" applyAlignment="1" applyProtection="1">
      <alignment horizontal="left" vertical="center"/>
      <protection/>
    </xf>
    <xf numFmtId="187" fontId="0" fillId="34" borderId="17" xfId="96" applyNumberFormat="1" applyFill="1" applyBorder="1" applyAlignment="1" applyProtection="1">
      <alignment vertical="center"/>
      <protection/>
    </xf>
    <xf numFmtId="187" fontId="30" fillId="0" borderId="0" xfId="96" applyNumberFormat="1" applyFont="1" applyFill="1" applyBorder="1" applyAlignment="1" applyProtection="1">
      <alignment vertical="center"/>
      <protection locked="0"/>
    </xf>
    <xf numFmtId="187" fontId="7" fillId="0" borderId="14" xfId="0" applyNumberFormat="1" applyFont="1" applyBorder="1" applyAlignment="1" applyProtection="1">
      <alignment horizontal="center"/>
      <protection locked="0"/>
    </xf>
    <xf numFmtId="187" fontId="0" fillId="0" borderId="0" xfId="96" applyNumberFormat="1" applyFill="1" applyBorder="1" applyAlignment="1" applyProtection="1">
      <alignment vertical="center"/>
      <protection/>
    </xf>
    <xf numFmtId="187" fontId="0" fillId="0" borderId="0" xfId="96" applyNumberFormat="1" applyFont="1" applyFill="1" applyBorder="1" applyAlignment="1" applyProtection="1">
      <alignment vertical="center"/>
      <protection/>
    </xf>
    <xf numFmtId="187" fontId="0" fillId="0" borderId="0" xfId="96" applyNumberFormat="1" applyFill="1" applyBorder="1" applyAlignment="1" applyProtection="1">
      <alignment vertical="center"/>
      <protection locked="0"/>
    </xf>
    <xf numFmtId="187" fontId="28" fillId="0" borderId="0" xfId="96" applyNumberFormat="1" applyFont="1" applyFill="1" applyBorder="1" applyAlignment="1" applyProtection="1">
      <alignment/>
      <protection/>
    </xf>
    <xf numFmtId="190" fontId="26" fillId="36" borderId="0" xfId="0" applyNumberFormat="1" applyFont="1" applyFill="1" applyAlignment="1">
      <alignment/>
    </xf>
    <xf numFmtId="191" fontId="26" fillId="36" borderId="0" xfId="0" applyNumberFormat="1" applyFont="1" applyFill="1" applyAlignment="1">
      <alignment/>
    </xf>
    <xf numFmtId="0" fontId="26" fillId="36" borderId="0" xfId="0" applyFont="1" applyFill="1" applyAlignment="1">
      <alignment/>
    </xf>
    <xf numFmtId="187" fontId="31" fillId="0" borderId="18" xfId="0" applyNumberFormat="1" applyFont="1" applyBorder="1" applyAlignment="1" applyProtection="1">
      <alignment horizontal="left"/>
      <protection/>
    </xf>
    <xf numFmtId="190" fontId="31" fillId="37" borderId="19" xfId="0" applyNumberFormat="1" applyFont="1" applyFill="1" applyBorder="1" applyAlignment="1" applyProtection="1">
      <alignment horizontal="center"/>
      <protection locked="0"/>
    </xf>
    <xf numFmtId="189" fontId="22" fillId="0" borderId="20" xfId="0" applyNumberFormat="1" applyFont="1" applyBorder="1" applyAlignment="1" applyProtection="1">
      <alignment horizontal="left"/>
      <protection/>
    </xf>
    <xf numFmtId="193" fontId="22" fillId="34" borderId="19" xfId="0" applyNumberFormat="1" applyFont="1" applyFill="1" applyBorder="1" applyAlignment="1" applyProtection="1">
      <alignment/>
      <protection locked="0"/>
    </xf>
    <xf numFmtId="0" fontId="22" fillId="0" borderId="18" xfId="0" applyFont="1" applyBorder="1" applyAlignment="1" applyProtection="1">
      <alignment horizontal="left"/>
      <protection/>
    </xf>
    <xf numFmtId="193" fontId="22" fillId="34" borderId="21" xfId="0" applyNumberFormat="1" applyFont="1" applyFill="1" applyBorder="1" applyAlignment="1" applyProtection="1">
      <alignment/>
      <protection locked="0"/>
    </xf>
    <xf numFmtId="189" fontId="22" fillId="0" borderId="22" xfId="0" applyNumberFormat="1" applyFont="1" applyBorder="1" applyAlignment="1" applyProtection="1">
      <alignment horizontal="left"/>
      <protection/>
    </xf>
    <xf numFmtId="193" fontId="22" fillId="0" borderId="14" xfId="0" applyNumberFormat="1" applyFont="1" applyFill="1" applyBorder="1" applyAlignment="1" applyProtection="1">
      <alignment/>
      <protection/>
    </xf>
    <xf numFmtId="194" fontId="22" fillId="0" borderId="14" xfId="0" applyNumberFormat="1" applyFont="1" applyFill="1" applyBorder="1" applyAlignment="1" applyProtection="1">
      <alignment/>
      <protection/>
    </xf>
    <xf numFmtId="189" fontId="22" fillId="0" borderId="23" xfId="0" applyNumberFormat="1" applyFont="1" applyBorder="1" applyAlignment="1" applyProtection="1">
      <alignment horizontal="left"/>
      <protection/>
    </xf>
    <xf numFmtId="193" fontId="22" fillId="0" borderId="24" xfId="0" applyNumberFormat="1" applyFont="1" applyFill="1" applyBorder="1" applyAlignment="1" applyProtection="1">
      <alignment/>
      <protection/>
    </xf>
    <xf numFmtId="9" fontId="26" fillId="0" borderId="0" xfId="75" applyFont="1" applyFill="1" applyBorder="1" applyAlignment="1" applyProtection="1">
      <alignment/>
      <protection/>
    </xf>
    <xf numFmtId="190" fontId="26" fillId="36" borderId="0" xfId="0" applyNumberFormat="1" applyFont="1" applyFill="1" applyAlignment="1" applyProtection="1">
      <alignment/>
      <protection/>
    </xf>
    <xf numFmtId="49" fontId="0" fillId="0" borderId="0" xfId="0" applyNumberFormat="1" applyAlignment="1" applyProtection="1">
      <alignment/>
      <protection/>
    </xf>
    <xf numFmtId="191" fontId="0" fillId="0" borderId="0" xfId="0" applyNumberFormat="1" applyAlignment="1" applyProtection="1">
      <alignment/>
      <protection/>
    </xf>
    <xf numFmtId="190" fontId="31" fillId="0" borderId="0" xfId="0" applyNumberFormat="1" applyFont="1" applyFill="1" applyBorder="1" applyAlignment="1">
      <alignment horizontal="center"/>
    </xf>
    <xf numFmtId="187" fontId="22" fillId="0" borderId="0" xfId="0" applyNumberFormat="1" applyFont="1" applyFill="1" applyBorder="1" applyAlignment="1">
      <alignment/>
    </xf>
    <xf numFmtId="187" fontId="32" fillId="0" borderId="25" xfId="0" applyNumberFormat="1" applyFont="1" applyFill="1" applyBorder="1" applyAlignment="1" applyProtection="1">
      <alignment vertical="center" wrapText="1"/>
      <protection/>
    </xf>
    <xf numFmtId="0" fontId="32" fillId="0" borderId="26" xfId="0" applyNumberFormat="1" applyFont="1" applyFill="1" applyBorder="1" applyAlignment="1" applyProtection="1">
      <alignment horizontal="center" vertical="center" wrapText="1"/>
      <protection/>
    </xf>
    <xf numFmtId="0" fontId="32" fillId="0" borderId="27"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protection/>
    </xf>
    <xf numFmtId="0" fontId="33"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protection/>
    </xf>
    <xf numFmtId="0" fontId="34" fillId="0" borderId="0" xfId="0" applyFont="1" applyFill="1" applyBorder="1" applyAlignment="1">
      <alignment horizontal="center"/>
    </xf>
    <xf numFmtId="187" fontId="34" fillId="0" borderId="28" xfId="0" applyNumberFormat="1" applyFont="1" applyFill="1" applyBorder="1" applyAlignment="1" applyProtection="1">
      <alignment wrapText="1"/>
      <protection locked="0"/>
    </xf>
    <xf numFmtId="192" fontId="0" fillId="34" borderId="29" xfId="50" applyNumberFormat="1" applyFont="1" applyFill="1" applyBorder="1" applyAlignment="1" applyProtection="1">
      <alignment/>
      <protection locked="0"/>
    </xf>
    <xf numFmtId="196" fontId="0" fillId="0" borderId="0" xfId="0" applyNumberFormat="1" applyFill="1" applyBorder="1" applyAlignment="1" applyProtection="1">
      <alignment/>
      <protection locked="0"/>
    </xf>
    <xf numFmtId="196"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0" fontId="0" fillId="0" borderId="0" xfId="0" applyNumberFormat="1" applyFill="1" applyBorder="1" applyAlignment="1" applyProtection="1">
      <alignment/>
      <protection locked="0"/>
    </xf>
    <xf numFmtId="197"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92" fontId="0" fillId="34" borderId="30" xfId="50" applyNumberFormat="1" applyFont="1" applyFill="1" applyBorder="1" applyAlignment="1" applyProtection="1">
      <alignment/>
      <protection locked="0"/>
    </xf>
    <xf numFmtId="193" fontId="0" fillId="0" borderId="0" xfId="0" applyNumberFormat="1" applyFill="1" applyBorder="1" applyAlignment="1" applyProtection="1">
      <alignment/>
      <protection locked="0"/>
    </xf>
    <xf numFmtId="0" fontId="34" fillId="0" borderId="28" xfId="0" applyFont="1" applyFill="1" applyBorder="1" applyAlignment="1" applyProtection="1">
      <alignment wrapText="1"/>
      <protection locked="0"/>
    </xf>
    <xf numFmtId="188" fontId="1" fillId="34" borderId="29" xfId="53" applyFill="1" applyBorder="1" applyAlignment="1" applyProtection="1">
      <alignment/>
      <protection locked="0"/>
    </xf>
    <xf numFmtId="188" fontId="1" fillId="34" borderId="30" xfId="53" applyFill="1" applyBorder="1" applyAlignment="1" applyProtection="1">
      <alignment/>
      <protection locked="0"/>
    </xf>
    <xf numFmtId="187" fontId="0" fillId="0" borderId="31" xfId="0" applyNumberFormat="1" applyFont="1" applyBorder="1" applyAlignment="1" applyProtection="1">
      <alignment/>
      <protection/>
    </xf>
    <xf numFmtId="198" fontId="0" fillId="0" borderId="32" xfId="0" applyNumberFormat="1" applyBorder="1" applyAlignment="1" applyProtection="1">
      <alignment/>
      <protection/>
    </xf>
    <xf numFmtId="193" fontId="0" fillId="0" borderId="0" xfId="0" applyNumberFormat="1" applyAlignment="1" applyProtection="1">
      <alignment/>
      <protection/>
    </xf>
    <xf numFmtId="193" fontId="26" fillId="36" borderId="0" xfId="0" applyNumberFormat="1" applyFont="1" applyFill="1" applyAlignment="1" applyProtection="1">
      <alignment/>
      <protection/>
    </xf>
    <xf numFmtId="49" fontId="34" fillId="0" borderId="33" xfId="0" applyNumberFormat="1" applyFont="1" applyFill="1" applyBorder="1" applyAlignment="1" applyProtection="1">
      <alignment/>
      <protection locked="0"/>
    </xf>
    <xf numFmtId="193" fontId="33" fillId="0" borderId="0" xfId="0" applyNumberFormat="1" applyFont="1" applyAlignment="1" applyProtection="1">
      <alignment horizontal="right"/>
      <protection/>
    </xf>
    <xf numFmtId="0" fontId="32" fillId="0" borderId="34" xfId="0" applyFont="1" applyBorder="1" applyAlignment="1" applyProtection="1">
      <alignment vertical="distributed" wrapText="1"/>
      <protection/>
    </xf>
    <xf numFmtId="187" fontId="35" fillId="0" borderId="35" xfId="0" applyNumberFormat="1" applyFont="1" applyFill="1" applyBorder="1" applyAlignment="1" applyProtection="1">
      <alignment horizontal="center" vertical="center" wrapText="1"/>
      <protection/>
    </xf>
    <xf numFmtId="189" fontId="35" fillId="0" borderId="36" xfId="0" applyNumberFormat="1"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xf>
    <xf numFmtId="189" fontId="37" fillId="0" borderId="0" xfId="0" applyNumberFormat="1" applyFont="1" applyFill="1" applyBorder="1" applyAlignment="1" applyProtection="1">
      <alignment horizontal="center" vertical="center" wrapText="1"/>
      <protection/>
    </xf>
    <xf numFmtId="189" fontId="37" fillId="0" borderId="0" xfId="0" applyNumberFormat="1" applyFont="1" applyFill="1" applyBorder="1" applyAlignment="1" applyProtection="1">
      <alignment horizontal="center" vertical="center" wrapText="1"/>
      <protection locked="0"/>
    </xf>
    <xf numFmtId="200" fontId="33" fillId="0" borderId="37" xfId="50" applyNumberFormat="1" applyFont="1" applyFill="1" applyBorder="1" applyAlignment="1" applyProtection="1">
      <alignment/>
      <protection/>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protection locked="0"/>
    </xf>
    <xf numFmtId="191" fontId="26" fillId="0" borderId="0" xfId="0" applyNumberFormat="1" applyFont="1" applyFill="1" applyBorder="1" applyAlignment="1" applyProtection="1">
      <alignment/>
      <protection/>
    </xf>
    <xf numFmtId="191" fontId="33" fillId="0" borderId="0" xfId="50" applyNumberFormat="1" applyFont="1" applyFill="1" applyBorder="1" applyAlignment="1" applyProtection="1">
      <alignment/>
      <protection locked="0"/>
    </xf>
    <xf numFmtId="199" fontId="33" fillId="0" borderId="0" xfId="75" applyNumberFormat="1" applyFont="1" applyFill="1" applyBorder="1" applyAlignment="1" applyProtection="1">
      <alignment horizontal="center"/>
      <protection/>
    </xf>
    <xf numFmtId="189" fontId="33" fillId="0" borderId="0" xfId="0" applyNumberFormat="1" applyFont="1" applyFill="1" applyBorder="1" applyAlignment="1" applyProtection="1">
      <alignment horizontal="center"/>
      <protection/>
    </xf>
    <xf numFmtId="199" fontId="33" fillId="0" borderId="0" xfId="75" applyNumberFormat="1" applyFont="1" applyFill="1" applyBorder="1" applyAlignment="1" applyProtection="1">
      <alignment horizontal="center"/>
      <protection locked="0"/>
    </xf>
    <xf numFmtId="200" fontId="33" fillId="0" borderId="38" xfId="50" applyNumberFormat="1" applyFont="1" applyFill="1" applyBorder="1" applyAlignment="1" applyProtection="1">
      <alignment/>
      <protection/>
    </xf>
    <xf numFmtId="202" fontId="0" fillId="0" borderId="0" xfId="0" applyNumberFormat="1" applyAlignment="1" applyProtection="1">
      <alignment/>
      <protection/>
    </xf>
    <xf numFmtId="189" fontId="34" fillId="0" borderId="39" xfId="0" applyNumberFormat="1" applyFont="1" applyFill="1" applyBorder="1" applyAlignment="1" applyProtection="1">
      <alignment/>
      <protection/>
    </xf>
    <xf numFmtId="187" fontId="34" fillId="0" borderId="14" xfId="0" applyNumberFormat="1" applyFont="1" applyFill="1" applyBorder="1" applyAlignment="1" applyProtection="1">
      <alignment horizontal="center"/>
      <protection/>
    </xf>
    <xf numFmtId="187" fontId="34" fillId="0" borderId="40" xfId="0" applyNumberFormat="1" applyFont="1" applyFill="1" applyBorder="1" applyAlignment="1" applyProtection="1">
      <alignment horizontal="center"/>
      <protection/>
    </xf>
    <xf numFmtId="187" fontId="34" fillId="0" borderId="39" xfId="0" applyNumberFormat="1" applyFont="1" applyFill="1" applyBorder="1" applyAlignment="1" applyProtection="1">
      <alignment/>
      <protection/>
    </xf>
    <xf numFmtId="1" fontId="0" fillId="34" borderId="14" xfId="0" applyNumberFormat="1" applyFill="1" applyBorder="1" applyAlignment="1" applyProtection="1">
      <alignment horizontal="center"/>
      <protection locked="0"/>
    </xf>
    <xf numFmtId="1" fontId="0" fillId="34" borderId="40" xfId="0" applyNumberFormat="1" applyFill="1" applyBorder="1" applyAlignment="1" applyProtection="1">
      <alignment horizontal="center"/>
      <protection locked="0"/>
    </xf>
    <xf numFmtId="187" fontId="34" fillId="0" borderId="41" xfId="0" applyNumberFormat="1" applyFont="1" applyFill="1" applyBorder="1" applyAlignment="1" applyProtection="1">
      <alignment/>
      <protection/>
    </xf>
    <xf numFmtId="187" fontId="34" fillId="0" borderId="42" xfId="0" applyNumberFormat="1" applyFont="1" applyFill="1" applyBorder="1" applyAlignment="1" applyProtection="1">
      <alignment/>
      <protection/>
    </xf>
    <xf numFmtId="1" fontId="0" fillId="34" borderId="24" xfId="0" applyNumberFormat="1" applyFont="1" applyFill="1" applyBorder="1" applyAlignment="1" applyProtection="1">
      <alignment horizontal="center"/>
      <protection locked="0"/>
    </xf>
    <xf numFmtId="1" fontId="0" fillId="34" borderId="43" xfId="0" applyNumberFormat="1" applyFont="1" applyFill="1" applyBorder="1" applyAlignment="1" applyProtection="1">
      <alignment horizontal="center"/>
      <protection locked="0"/>
    </xf>
    <xf numFmtId="187" fontId="34" fillId="0" borderId="44" xfId="0" applyNumberFormat="1" applyFont="1" applyFill="1" applyBorder="1" applyAlignment="1" applyProtection="1">
      <alignment/>
      <protection/>
    </xf>
    <xf numFmtId="0" fontId="0" fillId="0" borderId="45" xfId="0" applyBorder="1" applyAlignment="1" applyProtection="1">
      <alignment/>
      <protection/>
    </xf>
    <xf numFmtId="187" fontId="39" fillId="0" borderId="45" xfId="96" applyNumberFormat="1" applyFont="1" applyFill="1" applyBorder="1" applyAlignment="1" applyProtection="1">
      <alignment/>
      <protection/>
    </xf>
    <xf numFmtId="187" fontId="30" fillId="0" borderId="45" xfId="96" applyNumberFormat="1" applyFont="1" applyFill="1" applyBorder="1" applyAlignment="1" applyProtection="1">
      <alignment vertical="center"/>
      <protection/>
    </xf>
    <xf numFmtId="187" fontId="40" fillId="0" borderId="45" xfId="96" applyNumberFormat="1" applyFont="1" applyFill="1" applyBorder="1" applyAlignment="1" applyProtection="1">
      <alignment vertical="center"/>
      <protection/>
    </xf>
    <xf numFmtId="187" fontId="30" fillId="0" borderId="45" xfId="96" applyNumberFormat="1" applyFont="1" applyFill="1" applyBorder="1" applyAlignment="1" applyProtection="1">
      <alignment horizontal="center" vertical="center"/>
      <protection/>
    </xf>
    <xf numFmtId="187" fontId="30" fillId="35" borderId="46" xfId="96" applyNumberFormat="1" applyFont="1" applyFill="1" applyBorder="1" applyAlignment="1" applyProtection="1">
      <alignment horizontal="center" vertical="center"/>
      <protection/>
    </xf>
    <xf numFmtId="187" fontId="30" fillId="0" borderId="47" xfId="96" applyNumberFormat="1" applyFont="1" applyFill="1" applyBorder="1" applyAlignment="1" applyProtection="1">
      <alignment vertical="center"/>
      <protection/>
    </xf>
    <xf numFmtId="187" fontId="30" fillId="0" borderId="0" xfId="96" applyNumberFormat="1" applyFont="1" applyFill="1" applyBorder="1" applyAlignment="1" applyProtection="1">
      <alignment horizontal="center" vertical="center"/>
      <protection locked="0"/>
    </xf>
    <xf numFmtId="187" fontId="39" fillId="0" borderId="0" xfId="96" applyNumberFormat="1" applyFont="1" applyFill="1" applyBorder="1" applyAlignment="1" applyProtection="1">
      <alignment/>
      <protection/>
    </xf>
    <xf numFmtId="187" fontId="30" fillId="0" borderId="0" xfId="96" applyNumberFormat="1" applyFont="1" applyFill="1" applyBorder="1" applyAlignment="1" applyProtection="1">
      <alignment vertical="center"/>
      <protection/>
    </xf>
    <xf numFmtId="187" fontId="41" fillId="0" borderId="0" xfId="96" applyNumberFormat="1" applyFont="1" applyFill="1" applyBorder="1" applyAlignment="1" applyProtection="1">
      <alignment vertic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187" fontId="19" fillId="0" borderId="48" xfId="0" applyNumberFormat="1" applyFont="1" applyBorder="1" applyAlignment="1" applyProtection="1">
      <alignment horizontal="center"/>
      <protection/>
    </xf>
    <xf numFmtId="187" fontId="19" fillId="0" borderId="48" xfId="0" applyNumberFormat="1" applyFont="1" applyBorder="1" applyAlignment="1" applyProtection="1">
      <alignment horizontal="center" wrapText="1"/>
      <protection/>
    </xf>
    <xf numFmtId="187" fontId="19" fillId="0" borderId="49"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protection/>
    </xf>
    <xf numFmtId="187" fontId="0" fillId="0" borderId="50" xfId="0" applyNumberFormat="1" applyFont="1" applyBorder="1" applyAlignment="1" applyProtection="1">
      <alignment horizontal="left"/>
      <protection/>
    </xf>
    <xf numFmtId="1" fontId="19" fillId="35" borderId="14" xfId="0" applyNumberFormat="1" applyFont="1" applyFill="1" applyBorder="1" applyAlignment="1" applyProtection="1">
      <alignment horizontal="center"/>
      <protection locked="0"/>
    </xf>
    <xf numFmtId="1" fontId="38" fillId="35" borderId="14" xfId="0" applyNumberFormat="1" applyFont="1" applyFill="1" applyBorder="1" applyAlignment="1" applyProtection="1">
      <alignment horizontal="center"/>
      <protection locked="0"/>
    </xf>
    <xf numFmtId="1" fontId="38" fillId="36" borderId="51"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7" fontId="0" fillId="0" borderId="52" xfId="0" applyNumberFormat="1" applyFont="1" applyBorder="1" applyAlignment="1" applyProtection="1">
      <alignment horizontal="left"/>
      <protection/>
    </xf>
    <xf numFmtId="1" fontId="42" fillId="35" borderId="53" xfId="0" applyNumberFormat="1" applyFont="1" applyFill="1" applyBorder="1" applyAlignment="1" applyProtection="1">
      <alignment horizontal="center"/>
      <protection locked="0"/>
    </xf>
    <xf numFmtId="1" fontId="38" fillId="35" borderId="53" xfId="0" applyNumberFormat="1" applyFont="1" applyFill="1" applyBorder="1" applyAlignment="1" applyProtection="1">
      <alignment horizontal="center"/>
      <protection locked="0"/>
    </xf>
    <xf numFmtId="1" fontId="38" fillId="36" borderId="54" xfId="0" applyNumberFormat="1" applyFont="1" applyFill="1" applyBorder="1" applyAlignment="1" applyProtection="1">
      <alignment horizontal="center"/>
      <protection/>
    </xf>
    <xf numFmtId="0" fontId="0" fillId="0" borderId="55" xfId="0" applyBorder="1" applyAlignment="1" applyProtection="1">
      <alignment/>
      <protection/>
    </xf>
    <xf numFmtId="187" fontId="0" fillId="0" borderId="48" xfId="0" applyNumberFormat="1" applyFont="1" applyBorder="1" applyAlignment="1" applyProtection="1">
      <alignment horizontal="center"/>
      <protection/>
    </xf>
    <xf numFmtId="187" fontId="0" fillId="0" borderId="49" xfId="0" applyNumberFormat="1" applyFont="1" applyBorder="1" applyAlignment="1" applyProtection="1">
      <alignment horizontal="center"/>
      <protection/>
    </xf>
    <xf numFmtId="0" fontId="19" fillId="35" borderId="53" xfId="0" applyNumberFormat="1" applyFont="1" applyFill="1" applyBorder="1" applyAlignment="1" applyProtection="1">
      <alignment horizontal="center"/>
      <protection locked="0"/>
    </xf>
    <xf numFmtId="0" fontId="0" fillId="0" borderId="54" xfId="0" applyNumberFormat="1" applyFill="1" applyBorder="1" applyAlignment="1" applyProtection="1">
      <alignment horizontal="center"/>
      <protection/>
    </xf>
    <xf numFmtId="0" fontId="25" fillId="0" borderId="0" xfId="0" applyFont="1" applyFill="1" applyBorder="1" applyAlignment="1" applyProtection="1">
      <alignment horizontal="right"/>
      <protection/>
    </xf>
    <xf numFmtId="189" fontId="0" fillId="0" borderId="0" xfId="0" applyNumberFormat="1" applyFont="1" applyFill="1" applyBorder="1" applyAlignment="1" applyProtection="1">
      <alignment horizontal="left"/>
      <protection/>
    </xf>
    <xf numFmtId="0" fontId="19" fillId="0" borderId="0" xfId="0" applyFont="1" applyBorder="1" applyAlignment="1" applyProtection="1">
      <alignment/>
      <protection/>
    </xf>
    <xf numFmtId="187" fontId="0" fillId="0" borderId="49" xfId="0" applyNumberFormat="1" applyFont="1" applyBorder="1" applyAlignment="1" applyProtection="1">
      <alignment horizontal="center" wrapText="1"/>
      <protection/>
    </xf>
    <xf numFmtId="0" fontId="43" fillId="0" borderId="0" xfId="0" applyFont="1" applyFill="1" applyBorder="1" applyAlignment="1" applyProtection="1">
      <alignment horizontal="center" wrapText="1"/>
      <protection/>
    </xf>
    <xf numFmtId="0" fontId="0" fillId="35" borderId="53" xfId="0" applyNumberFormat="1" applyFont="1" applyFill="1" applyBorder="1" applyAlignment="1" applyProtection="1">
      <alignment horizontal="center"/>
      <protection locked="0"/>
    </xf>
    <xf numFmtId="0" fontId="0" fillId="35" borderId="54" xfId="0" applyNumberFormat="1" applyFont="1" applyFill="1" applyBorder="1" applyAlignment="1" applyProtection="1">
      <alignment horizontal="center"/>
      <protection locked="0"/>
    </xf>
    <xf numFmtId="189" fontId="0" fillId="0" borderId="0" xfId="0" applyNumberFormat="1" applyFill="1" applyBorder="1" applyAlignment="1" applyProtection="1">
      <alignment horizontal="center"/>
      <protection locked="0"/>
    </xf>
    <xf numFmtId="0" fontId="19" fillId="0" borderId="0" xfId="0" applyFont="1" applyFill="1" applyBorder="1" applyAlignment="1" applyProtection="1">
      <alignment/>
      <protection/>
    </xf>
    <xf numFmtId="187" fontId="31" fillId="0" borderId="48" xfId="0" applyNumberFormat="1" applyFont="1" applyBorder="1" applyAlignment="1" applyProtection="1">
      <alignment horizontal="center"/>
      <protection/>
    </xf>
    <xf numFmtId="187" fontId="31" fillId="0" borderId="49" xfId="0" applyNumberFormat="1" applyFont="1" applyBorder="1" applyAlignment="1" applyProtection="1">
      <alignment horizontal="center"/>
      <protection/>
    </xf>
    <xf numFmtId="1" fontId="0" fillId="35" borderId="14" xfId="0" applyNumberFormat="1" applyFill="1" applyBorder="1" applyAlignment="1" applyProtection="1">
      <alignment horizontal="center"/>
      <protection locked="0"/>
    </xf>
    <xf numFmtId="1" fontId="0" fillId="0" borderId="51" xfId="0" applyNumberFormat="1" applyFill="1" applyBorder="1" applyAlignment="1" applyProtection="1">
      <alignment horizontal="center"/>
      <protection/>
    </xf>
    <xf numFmtId="1" fontId="19" fillId="35" borderId="56" xfId="0" applyNumberFormat="1" applyFont="1" applyFill="1" applyBorder="1" applyAlignment="1" applyProtection="1">
      <alignment horizontal="center"/>
      <protection locked="0"/>
    </xf>
    <xf numFmtId="1" fontId="0" fillId="35" borderId="56" xfId="0" applyNumberFormat="1" applyFill="1" applyBorder="1" applyAlignment="1" applyProtection="1">
      <alignment horizontal="center"/>
      <protection locked="0"/>
    </xf>
    <xf numFmtId="187" fontId="44" fillId="0" borderId="57" xfId="0" applyNumberFormat="1" applyFont="1" applyFill="1" applyBorder="1" applyAlignment="1" applyProtection="1">
      <alignment horizontal="left"/>
      <protection/>
    </xf>
    <xf numFmtId="0" fontId="0" fillId="0" borderId="58" xfId="0" applyBorder="1" applyAlignment="1" applyProtection="1">
      <alignment/>
      <protection/>
    </xf>
    <xf numFmtId="190" fontId="31" fillId="37" borderId="59" xfId="0" applyNumberFormat="1" applyFont="1" applyFill="1" applyBorder="1" applyAlignment="1" applyProtection="1">
      <alignment horizontal="center"/>
      <protection locked="0"/>
    </xf>
    <xf numFmtId="190" fontId="31" fillId="37" borderId="60" xfId="0" applyNumberFormat="1" applyFont="1" applyFill="1" applyBorder="1" applyAlignment="1" applyProtection="1">
      <alignment horizontal="center"/>
      <protection locked="0"/>
    </xf>
    <xf numFmtId="190" fontId="0" fillId="0" borderId="61" xfId="0" applyNumberFormat="1" applyFont="1" applyFill="1" applyBorder="1" applyAlignment="1" applyProtection="1">
      <alignment horizontal="left"/>
      <protection/>
    </xf>
    <xf numFmtId="192" fontId="0" fillId="35" borderId="62" xfId="0" applyNumberFormat="1" applyFill="1" applyBorder="1" applyAlignment="1" applyProtection="1">
      <alignment horizontal="right" wrapText="1"/>
      <protection/>
    </xf>
    <xf numFmtId="193" fontId="0" fillId="35" borderId="62" xfId="0" applyNumberFormat="1" applyFill="1" applyBorder="1" applyAlignment="1" applyProtection="1">
      <alignment horizontal="right" wrapText="1"/>
      <protection/>
    </xf>
    <xf numFmtId="193" fontId="0" fillId="35" borderId="14" xfId="0" applyNumberFormat="1" applyFill="1" applyBorder="1" applyAlignment="1" applyProtection="1">
      <alignment horizontal="right" wrapText="1"/>
      <protection locked="0"/>
    </xf>
    <xf numFmtId="190" fontId="0" fillId="0" borderId="63" xfId="0" applyNumberFormat="1" applyFont="1" applyBorder="1" applyAlignment="1" applyProtection="1">
      <alignment horizontal="left"/>
      <protection/>
    </xf>
    <xf numFmtId="190" fontId="0" fillId="0" borderId="41" xfId="0" applyNumberFormat="1" applyFont="1" applyBorder="1" applyAlignment="1" applyProtection="1">
      <alignment horizontal="left" wrapText="1"/>
      <protection/>
    </xf>
    <xf numFmtId="0" fontId="0" fillId="0" borderId="0" xfId="0" applyFill="1" applyBorder="1" applyAlignment="1" applyProtection="1">
      <alignment horizontal="center" wrapText="1"/>
      <protection/>
    </xf>
    <xf numFmtId="187" fontId="0" fillId="0" borderId="0" xfId="50" applyFont="1" applyFill="1" applyBorder="1" applyAlignment="1" applyProtection="1">
      <alignment/>
      <protection/>
    </xf>
    <xf numFmtId="187" fontId="0" fillId="0" borderId="0" xfId="0" applyNumberFormat="1" applyFill="1" applyBorder="1" applyAlignment="1" applyProtection="1">
      <alignment/>
      <protection/>
    </xf>
    <xf numFmtId="190" fontId="0" fillId="0" borderId="0" xfId="0" applyNumberFormat="1" applyFont="1" applyBorder="1" applyAlignment="1" applyProtection="1">
      <alignment/>
      <protection/>
    </xf>
    <xf numFmtId="187" fontId="0" fillId="0" borderId="58" xfId="0" applyNumberFormat="1" applyFont="1" applyFill="1" applyBorder="1" applyAlignment="1" applyProtection="1">
      <alignment horizontal="left"/>
      <protection/>
    </xf>
    <xf numFmtId="187" fontId="45" fillId="0" borderId="64" xfId="0" applyNumberFormat="1" applyFont="1" applyFill="1" applyBorder="1" applyAlignment="1" applyProtection="1">
      <alignment horizontal="center" wrapText="1"/>
      <protection/>
    </xf>
    <xf numFmtId="187" fontId="45" fillId="0" borderId="64" xfId="0" applyNumberFormat="1" applyFont="1" applyBorder="1" applyAlignment="1">
      <alignment horizontal="center" wrapText="1"/>
    </xf>
    <xf numFmtId="187" fontId="45" fillId="0" borderId="65" xfId="0" applyNumberFormat="1" applyFont="1" applyFill="1" applyBorder="1" applyAlignment="1" applyProtection="1">
      <alignment horizontal="center" wrapText="1"/>
      <protection/>
    </xf>
    <xf numFmtId="187" fontId="0" fillId="35" borderId="14" xfId="0" applyNumberFormat="1" applyFont="1" applyFill="1" applyBorder="1" applyAlignment="1" applyProtection="1">
      <alignment/>
      <protection locked="0"/>
    </xf>
    <xf numFmtId="0" fontId="0" fillId="35" borderId="62"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203" fontId="0" fillId="35" borderId="62" xfId="0" applyNumberFormat="1" applyFill="1" applyBorder="1" applyAlignment="1" applyProtection="1">
      <alignment horizontal="center" vertical="center"/>
      <protection/>
    </xf>
    <xf numFmtId="1" fontId="0" fillId="0" borderId="14" xfId="0" applyNumberFormat="1" applyFill="1" applyBorder="1" applyAlignment="1" applyProtection="1">
      <alignment horizontal="center" vertical="center"/>
      <protection/>
    </xf>
    <xf numFmtId="193" fontId="0" fillId="35" borderId="62" xfId="0" applyNumberFormat="1" applyFill="1" applyBorder="1" applyAlignment="1" applyProtection="1">
      <alignment horizontal="center" vertical="center"/>
      <protection/>
    </xf>
    <xf numFmtId="204" fontId="0" fillId="0" borderId="14" xfId="0" applyNumberFormat="1" applyFill="1" applyBorder="1" applyAlignment="1" applyProtection="1">
      <alignment horizontal="center" vertical="center"/>
      <protection/>
    </xf>
    <xf numFmtId="0" fontId="42" fillId="0" borderId="0" xfId="0" applyFont="1" applyAlignment="1" applyProtection="1">
      <alignment/>
      <protection/>
    </xf>
    <xf numFmtId="0" fontId="0" fillId="0" borderId="0" xfId="0" applyNumberFormat="1" applyFill="1" applyBorder="1" applyAlignment="1" applyProtection="1">
      <alignment/>
      <protection/>
    </xf>
    <xf numFmtId="187" fontId="46" fillId="0" borderId="66" xfId="96" applyNumberFormat="1" applyFont="1" applyFill="1" applyBorder="1" applyAlignment="1" applyProtection="1">
      <alignment/>
      <protection/>
    </xf>
    <xf numFmtId="187" fontId="47" fillId="0" borderId="66" xfId="96" applyNumberFormat="1" applyFont="1" applyFill="1" applyBorder="1" applyAlignment="1" applyProtection="1">
      <alignment/>
      <protection/>
    </xf>
    <xf numFmtId="187" fontId="30" fillId="0" borderId="66" xfId="96" applyNumberFormat="1" applyFont="1" applyFill="1" applyBorder="1" applyAlignment="1" applyProtection="1">
      <alignment vertical="center"/>
      <protection/>
    </xf>
    <xf numFmtId="187" fontId="48" fillId="0" borderId="66" xfId="96" applyNumberFormat="1" applyFont="1" applyFill="1" applyBorder="1" applyAlignment="1" applyProtection="1">
      <alignment vertical="center"/>
      <protection/>
    </xf>
    <xf numFmtId="187" fontId="49" fillId="0" borderId="66" xfId="96" applyNumberFormat="1" applyFont="1" applyFill="1" applyBorder="1" applyAlignment="1" applyProtection="1">
      <alignment vertical="center"/>
      <protection/>
    </xf>
    <xf numFmtId="0" fontId="0" fillId="0" borderId="66" xfId="0" applyFill="1" applyBorder="1" applyAlignment="1" applyProtection="1">
      <alignment/>
      <protection/>
    </xf>
    <xf numFmtId="187" fontId="47" fillId="0" borderId="66" xfId="96" applyNumberFormat="1" applyFont="1" applyFill="1" applyBorder="1" applyAlignment="1" applyProtection="1">
      <alignment vertical="center"/>
      <protection/>
    </xf>
    <xf numFmtId="0" fontId="0" fillId="0" borderId="66" xfId="0" applyBorder="1" applyAlignment="1" applyProtection="1">
      <alignment/>
      <protection/>
    </xf>
    <xf numFmtId="0" fontId="0" fillId="0" borderId="66" xfId="0" applyBorder="1" applyAlignment="1">
      <alignment/>
    </xf>
    <xf numFmtId="187" fontId="50" fillId="0" borderId="67" xfId="0" applyNumberFormat="1" applyFont="1" applyFill="1" applyBorder="1" applyAlignment="1" applyProtection="1">
      <alignment horizontal="center" vertical="center"/>
      <protection/>
    </xf>
    <xf numFmtId="187" fontId="50" fillId="0" borderId="68" xfId="0" applyNumberFormat="1" applyFont="1" applyFill="1" applyBorder="1" applyAlignment="1" applyProtection="1">
      <alignment horizontal="center" vertical="center" wrapText="1"/>
      <protection/>
    </xf>
    <xf numFmtId="0" fontId="1" fillId="0" borderId="69" xfId="0" applyFont="1" applyFill="1" applyBorder="1" applyAlignment="1" applyProtection="1">
      <alignment horizontal="center"/>
      <protection/>
    </xf>
    <xf numFmtId="190" fontId="19" fillId="37" borderId="70" xfId="0" applyNumberFormat="1" applyFont="1" applyFill="1" applyBorder="1" applyAlignment="1" applyProtection="1">
      <alignment horizontal="center"/>
      <protection locked="0"/>
    </xf>
    <xf numFmtId="187" fontId="50" fillId="0" borderId="71" xfId="0" applyNumberFormat="1" applyFont="1" applyFill="1" applyBorder="1" applyAlignment="1" applyProtection="1">
      <alignment horizontal="center" vertical="center"/>
      <protection/>
    </xf>
    <xf numFmtId="0" fontId="50" fillId="0" borderId="72" xfId="0" applyFont="1" applyFill="1" applyBorder="1" applyAlignment="1" applyProtection="1">
      <alignment horizontal="center" vertical="center"/>
      <protection/>
    </xf>
    <xf numFmtId="187" fontId="50" fillId="0" borderId="73" xfId="0" applyNumberFormat="1" applyFont="1" applyFill="1" applyBorder="1" applyAlignment="1" applyProtection="1">
      <alignment horizontal="center" vertical="center"/>
      <protection/>
    </xf>
    <xf numFmtId="187" fontId="50" fillId="0" borderId="74" xfId="0" applyNumberFormat="1" applyFont="1" applyFill="1" applyBorder="1" applyAlignment="1" applyProtection="1">
      <alignment horizontal="center" vertical="center" wrapText="1"/>
      <protection/>
    </xf>
    <xf numFmtId="0" fontId="1" fillId="0" borderId="75" xfId="0" applyFont="1" applyFill="1" applyBorder="1" applyAlignment="1" applyProtection="1">
      <alignment horizontal="center"/>
      <protection/>
    </xf>
    <xf numFmtId="190" fontId="19" fillId="37" borderId="0" xfId="0" applyNumberFormat="1" applyFont="1" applyFill="1" applyBorder="1" applyAlignment="1" applyProtection="1">
      <alignment horizontal="center"/>
      <protection locked="0"/>
    </xf>
    <xf numFmtId="190" fontId="19" fillId="37" borderId="76" xfId="0" applyNumberFormat="1" applyFont="1" applyFill="1" applyBorder="1" applyAlignment="1" applyProtection="1">
      <alignment horizontal="center"/>
      <protection locked="0"/>
    </xf>
    <xf numFmtId="49" fontId="0" fillId="0" borderId="0" xfId="0" applyNumberFormat="1" applyFont="1" applyAlignment="1" applyProtection="1">
      <alignment/>
      <protection/>
    </xf>
    <xf numFmtId="49" fontId="50" fillId="0" borderId="67" xfId="0" applyNumberFormat="1" applyFont="1" applyFill="1" applyBorder="1" applyAlignment="1" applyProtection="1">
      <alignment horizontal="center" vertical="center"/>
      <protection/>
    </xf>
    <xf numFmtId="49" fontId="50" fillId="0" borderId="68" xfId="0" applyNumberFormat="1" applyFont="1" applyFill="1" applyBorder="1" applyAlignment="1" applyProtection="1">
      <alignment horizontal="center" vertical="center" wrapText="1"/>
      <protection/>
    </xf>
    <xf numFmtId="49" fontId="1" fillId="36" borderId="77" xfId="0" applyNumberFormat="1" applyFont="1" applyFill="1" applyBorder="1" applyAlignment="1" applyProtection="1">
      <alignment/>
      <protection/>
    </xf>
    <xf numFmtId="193" fontId="1" fillId="0" borderId="62" xfId="0" applyNumberFormat="1" applyFont="1" applyFill="1" applyBorder="1" applyAlignment="1" applyProtection="1">
      <alignment vertical="center"/>
      <protection/>
    </xf>
    <xf numFmtId="193" fontId="1" fillId="0" borderId="14" xfId="0" applyNumberFormat="1" applyFont="1" applyFill="1" applyBorder="1" applyAlignment="1" applyProtection="1">
      <alignment vertical="center"/>
      <protection/>
    </xf>
    <xf numFmtId="49" fontId="1" fillId="36" borderId="11" xfId="0" applyNumberFormat="1" applyFont="1" applyFill="1" applyBorder="1" applyAlignment="1" applyProtection="1">
      <alignment/>
      <protection/>
    </xf>
    <xf numFmtId="49" fontId="1" fillId="38" borderId="14" xfId="0" applyNumberFormat="1" applyFont="1" applyFill="1" applyBorder="1" applyAlignment="1" applyProtection="1">
      <alignment/>
      <protection/>
    </xf>
    <xf numFmtId="193" fontId="1" fillId="39" borderId="62" xfId="0" applyNumberFormat="1" applyFont="1" applyFill="1" applyBorder="1" applyAlignment="1" applyProtection="1">
      <alignment vertical="center"/>
      <protection/>
    </xf>
    <xf numFmtId="193" fontId="1" fillId="38" borderId="14" xfId="0" applyNumberFormat="1" applyFont="1" applyFill="1" applyBorder="1" applyAlignment="1" applyProtection="1">
      <alignment vertical="center"/>
      <protection/>
    </xf>
    <xf numFmtId="49" fontId="1" fillId="36" borderId="78" xfId="0" applyNumberFormat="1" applyFont="1" applyFill="1" applyBorder="1" applyAlignment="1" applyProtection="1">
      <alignment/>
      <protection/>
    </xf>
    <xf numFmtId="193" fontId="1" fillId="0" borderId="79" xfId="0" applyNumberFormat="1" applyFont="1" applyFill="1" applyBorder="1" applyAlignment="1" applyProtection="1">
      <alignment vertical="center"/>
      <protection/>
    </xf>
    <xf numFmtId="187" fontId="52" fillId="0" borderId="0" xfId="56" applyFont="1" applyFill="1" applyAlignment="1" applyProtection="1">
      <alignment vertical="center"/>
      <protection/>
    </xf>
    <xf numFmtId="0" fontId="38" fillId="0" borderId="0" xfId="0" applyFont="1" applyAlignment="1" applyProtection="1">
      <alignment/>
      <protection/>
    </xf>
    <xf numFmtId="187" fontId="53" fillId="0" borderId="0" xfId="68" applyFont="1" applyFill="1" applyAlignment="1" applyProtection="1">
      <alignment horizontal="right" vertical="center"/>
      <protection/>
    </xf>
    <xf numFmtId="0" fontId="26" fillId="0" borderId="0" xfId="0" applyFont="1" applyFill="1" applyBorder="1" applyAlignment="1" applyProtection="1">
      <alignment horizontal="center"/>
      <protection/>
    </xf>
    <xf numFmtId="0" fontId="44" fillId="0" borderId="0" xfId="0" applyFont="1" applyFill="1" applyBorder="1" applyAlignment="1" applyProtection="1">
      <alignment horizontal="left"/>
      <protection/>
    </xf>
    <xf numFmtId="0" fontId="54" fillId="0" borderId="0" xfId="0" applyFont="1" applyFill="1" applyAlignment="1" applyProtection="1">
      <alignment/>
      <protection/>
    </xf>
    <xf numFmtId="0" fontId="26" fillId="0" borderId="0" xfId="0" applyFont="1" applyAlignment="1" applyProtection="1">
      <alignment/>
      <protection/>
    </xf>
    <xf numFmtId="187" fontId="55" fillId="0" borderId="0" xfId="68" applyFont="1" applyFill="1" applyAlignment="1" applyProtection="1">
      <alignment/>
      <protection/>
    </xf>
    <xf numFmtId="187" fontId="55" fillId="0" borderId="0" xfId="68" applyFont="1" applyFill="1" applyAlignment="1" applyProtection="1">
      <alignment horizontal="center"/>
      <protection/>
    </xf>
    <xf numFmtId="187" fontId="55" fillId="0" borderId="0" xfId="68" applyFont="1" applyFill="1" applyAlignment="1" applyProtection="1">
      <alignment horizontal="right"/>
      <protection/>
    </xf>
    <xf numFmtId="187" fontId="55" fillId="0" borderId="0" xfId="68" applyFont="1" applyFill="1" applyBorder="1" applyAlignment="1" applyProtection="1">
      <alignment horizontal="center"/>
      <protection/>
    </xf>
    <xf numFmtId="187" fontId="0" fillId="0" borderId="0" xfId="67" applyProtection="1">
      <alignment/>
      <protection/>
    </xf>
    <xf numFmtId="0" fontId="26" fillId="0" borderId="0" xfId="0" applyFont="1" applyAlignment="1" applyProtection="1">
      <alignment horizontal="left" indent="1"/>
      <protection/>
    </xf>
    <xf numFmtId="0" fontId="6" fillId="0" borderId="0" xfId="0" applyFont="1" applyAlignment="1" applyProtection="1">
      <alignment horizontal="left" indent="1"/>
      <protection/>
    </xf>
    <xf numFmtId="187" fontId="0" fillId="0" borderId="80" xfId="90" applyNumberFormat="1" applyFont="1" applyFill="1" applyBorder="1" applyAlignment="1" applyProtection="1">
      <alignment horizontal="right"/>
      <protection/>
    </xf>
    <xf numFmtId="208" fontId="20" fillId="35" borderId="80" xfId="90" applyNumberFormat="1" applyFont="1" applyFill="1" applyBorder="1" applyAlignment="1" applyProtection="1">
      <alignment horizontal="center" vertical="center"/>
      <protection/>
    </xf>
    <xf numFmtId="187" fontId="53" fillId="0" borderId="80" xfId="90" applyNumberFormat="1" applyFont="1" applyFill="1" applyBorder="1" applyAlignment="1" applyProtection="1">
      <alignment horizontal="right"/>
      <protection/>
    </xf>
    <xf numFmtId="187" fontId="20" fillId="35" borderId="80" xfId="90" applyNumberFormat="1" applyFont="1" applyFill="1" applyBorder="1" applyAlignment="1" applyProtection="1">
      <alignment horizontal="center" vertical="center"/>
      <protection/>
    </xf>
    <xf numFmtId="189" fontId="20" fillId="35" borderId="80" xfId="90" applyNumberFormat="1" applyFont="1" applyFill="1" applyBorder="1" applyAlignment="1" applyProtection="1">
      <alignment horizontal="center" vertical="center"/>
      <protection/>
    </xf>
    <xf numFmtId="187" fontId="26" fillId="0" borderId="0" xfId="67" applyFont="1" applyProtection="1">
      <alignment/>
      <protection/>
    </xf>
    <xf numFmtId="210" fontId="20" fillId="35" borderId="80" xfId="90" applyNumberFormat="1" applyFont="1" applyFill="1" applyBorder="1" applyAlignment="1" applyProtection="1">
      <alignment horizontal="center"/>
      <protection/>
    </xf>
    <xf numFmtId="193" fontId="20" fillId="35" borderId="80" xfId="90" applyNumberFormat="1" applyFont="1" applyFill="1" applyBorder="1" applyAlignment="1" applyProtection="1">
      <alignment horizontal="center"/>
      <protection/>
    </xf>
    <xf numFmtId="187" fontId="20" fillId="35" borderId="80" xfId="90" applyNumberFormat="1" applyFont="1" applyFill="1" applyBorder="1" applyAlignment="1" applyProtection="1">
      <alignment horizontal="center"/>
      <protection/>
    </xf>
    <xf numFmtId="0" fontId="26" fillId="0" borderId="0" xfId="0" applyFont="1" applyFill="1" applyBorder="1" applyAlignment="1" applyProtection="1">
      <alignment/>
      <protection/>
    </xf>
    <xf numFmtId="189" fontId="20" fillId="35" borderId="80" xfId="90" applyNumberFormat="1" applyFont="1" applyFill="1" applyBorder="1" applyAlignment="1" applyProtection="1">
      <alignment horizontal="center"/>
      <protection/>
    </xf>
    <xf numFmtId="0" fontId="57" fillId="0" borderId="0" xfId="0" applyFont="1" applyFill="1" applyBorder="1" applyAlignment="1" applyProtection="1">
      <alignment/>
      <protection/>
    </xf>
    <xf numFmtId="0" fontId="6" fillId="0" borderId="0" xfId="67" applyNumberFormat="1" applyFont="1" applyBorder="1" applyProtection="1">
      <alignment/>
      <protection/>
    </xf>
    <xf numFmtId="187" fontId="58" fillId="0" borderId="0" xfId="67" applyFont="1" applyProtection="1">
      <alignment/>
      <protection/>
    </xf>
    <xf numFmtId="187" fontId="26" fillId="0" borderId="0" xfId="69" applyFont="1" applyProtection="1">
      <alignment/>
      <protection/>
    </xf>
    <xf numFmtId="187" fontId="58" fillId="0" borderId="0" xfId="69" applyFont="1" applyProtection="1">
      <alignment/>
      <protection/>
    </xf>
    <xf numFmtId="187" fontId="3" fillId="0" borderId="0" xfId="56" applyFont="1" applyFill="1" applyAlignment="1">
      <alignment vertical="center"/>
      <protection/>
    </xf>
    <xf numFmtId="187" fontId="22" fillId="0" borderId="0" xfId="0" applyNumberFormat="1" applyFont="1" applyAlignment="1" applyProtection="1">
      <alignment horizontal="right"/>
      <protection/>
    </xf>
    <xf numFmtId="187" fontId="22" fillId="0" borderId="0" xfId="0" applyNumberFormat="1" applyFont="1" applyBorder="1" applyAlignment="1" applyProtection="1">
      <alignment horizontal="right"/>
      <protection/>
    </xf>
    <xf numFmtId="0" fontId="22" fillId="0" borderId="0" xfId="0" applyNumberFormat="1" applyFont="1" applyAlignment="1" applyProtection="1">
      <alignment horizontal="center"/>
      <protection/>
    </xf>
    <xf numFmtId="0" fontId="57" fillId="0" borderId="0" xfId="0" applyFont="1" applyAlignment="1">
      <alignment/>
    </xf>
    <xf numFmtId="189" fontId="22" fillId="0" borderId="0" xfId="0" applyNumberFormat="1" applyFont="1" applyAlignment="1" applyProtection="1">
      <alignment horizontal="center"/>
      <protection/>
    </xf>
    <xf numFmtId="187" fontId="22" fillId="0" borderId="0" xfId="0" applyNumberFormat="1" applyFont="1" applyAlignment="1" applyProtection="1">
      <alignment/>
      <protection/>
    </xf>
    <xf numFmtId="191" fontId="22" fillId="0" borderId="0" xfId="50" applyNumberFormat="1" applyFont="1" applyFill="1" applyBorder="1" applyAlignment="1" applyProtection="1">
      <alignment horizontal="left"/>
      <protection/>
    </xf>
    <xf numFmtId="187" fontId="22" fillId="0" borderId="0" xfId="0" applyNumberFormat="1" applyFont="1" applyBorder="1" applyAlignment="1" applyProtection="1">
      <alignment/>
      <protection/>
    </xf>
    <xf numFmtId="0" fontId="55" fillId="0" borderId="0" xfId="0" applyFont="1" applyBorder="1" applyAlignment="1" applyProtection="1">
      <alignment horizontal="center"/>
      <protection/>
    </xf>
    <xf numFmtId="0" fontId="55" fillId="0" borderId="0" xfId="0" applyFont="1" applyAlignment="1" applyProtection="1">
      <alignment horizontal="center"/>
      <protection/>
    </xf>
    <xf numFmtId="189" fontId="22" fillId="0" borderId="0" xfId="0" applyNumberFormat="1" applyFont="1" applyAlignment="1" applyProtection="1">
      <alignment horizontal="right"/>
      <protection/>
    </xf>
    <xf numFmtId="189" fontId="22" fillId="0" borderId="0" xfId="0" applyNumberFormat="1" applyFont="1" applyAlignment="1" applyProtection="1">
      <alignment horizontal="left"/>
      <protection/>
    </xf>
    <xf numFmtId="187" fontId="60" fillId="0" borderId="0" xfId="0" applyNumberFormat="1" applyFont="1" applyBorder="1" applyAlignment="1" applyProtection="1">
      <alignment/>
      <protection/>
    </xf>
    <xf numFmtId="0" fontId="45" fillId="0" borderId="0" xfId="0" applyFont="1" applyBorder="1" applyAlignment="1" applyProtection="1">
      <alignment/>
      <protection/>
    </xf>
    <xf numFmtId="0" fontId="61" fillId="33" borderId="0" xfId="0" applyNumberFormat="1" applyFont="1" applyFill="1" applyBorder="1" applyAlignment="1" applyProtection="1">
      <alignment horizontal="left" vertical="center"/>
      <protection locked="0"/>
    </xf>
    <xf numFmtId="0" fontId="63" fillId="33" borderId="0" xfId="0" applyNumberFormat="1" applyFont="1" applyFill="1" applyBorder="1" applyAlignment="1" applyProtection="1">
      <alignment horizontal="left" vertical="center"/>
      <protection locked="0"/>
    </xf>
    <xf numFmtId="0" fontId="26" fillId="0" borderId="0" xfId="0" applyFont="1" applyAlignment="1">
      <alignment/>
    </xf>
    <xf numFmtId="187" fontId="63" fillId="0" borderId="0" xfId="0" applyNumberFormat="1" applyFont="1" applyAlignment="1" applyProtection="1">
      <alignment/>
      <protection/>
    </xf>
    <xf numFmtId="0" fontId="0" fillId="0" borderId="0" xfId="0" applyBorder="1" applyAlignment="1">
      <alignment horizontal="left" wrapText="1"/>
    </xf>
    <xf numFmtId="0" fontId="45" fillId="0" borderId="0" xfId="0" applyFont="1" applyFill="1" applyAlignment="1" applyProtection="1">
      <alignment horizontal="left"/>
      <protection locked="0"/>
    </xf>
    <xf numFmtId="0" fontId="45" fillId="0" borderId="0" xfId="0" applyFont="1" applyFill="1" applyBorder="1" applyAlignment="1" applyProtection="1">
      <alignment horizontal="left"/>
      <protection locked="0"/>
    </xf>
    <xf numFmtId="187" fontId="64" fillId="0" borderId="0" xfId="0" applyNumberFormat="1" applyFont="1" applyBorder="1" applyAlignment="1" applyProtection="1">
      <alignment vertical="center" wrapText="1"/>
      <protection/>
    </xf>
    <xf numFmtId="187" fontId="64" fillId="0" borderId="58" xfId="0" applyNumberFormat="1" applyFont="1" applyFill="1" applyBorder="1" applyAlignment="1" applyProtection="1">
      <alignment horizontal="center" wrapText="1"/>
      <protection/>
    </xf>
    <xf numFmtId="187" fontId="64" fillId="0" borderId="65" xfId="0" applyNumberFormat="1" applyFont="1" applyFill="1" applyBorder="1" applyAlignment="1" applyProtection="1">
      <alignment horizontal="center" wrapText="1"/>
      <protection/>
    </xf>
    <xf numFmtId="0" fontId="64" fillId="0" borderId="0" xfId="0" applyFont="1" applyFill="1" applyBorder="1" applyAlignment="1" applyProtection="1">
      <alignment wrapText="1"/>
      <protection/>
    </xf>
    <xf numFmtId="0" fontId="60" fillId="0" borderId="41" xfId="0" applyFont="1" applyFill="1" applyBorder="1" applyAlignment="1" applyProtection="1">
      <alignment horizontal="center"/>
      <protection/>
    </xf>
    <xf numFmtId="1" fontId="31" fillId="34" borderId="81" xfId="0" applyNumberFormat="1" applyFont="1" applyFill="1" applyBorder="1" applyAlignment="1" applyProtection="1">
      <alignment horizontal="center"/>
      <protection/>
    </xf>
    <xf numFmtId="0" fontId="31" fillId="34" borderId="81" xfId="0" applyFont="1" applyFill="1" applyBorder="1" applyAlignment="1" applyProtection="1">
      <alignment horizontal="center"/>
      <protection/>
    </xf>
    <xf numFmtId="0" fontId="60" fillId="0" borderId="82" xfId="0" applyFont="1" applyFill="1" applyBorder="1" applyAlignment="1" applyProtection="1">
      <alignment horizontal="center"/>
      <protection/>
    </xf>
    <xf numFmtId="0" fontId="45" fillId="0" borderId="0" xfId="0" applyFont="1" applyAlignment="1" applyProtection="1">
      <alignment/>
      <protection/>
    </xf>
    <xf numFmtId="187" fontId="0" fillId="0" borderId="0" xfId="0" applyNumberFormat="1" applyAlignment="1">
      <alignment/>
    </xf>
    <xf numFmtId="187" fontId="3" fillId="0" borderId="0" xfId="66" applyFont="1" applyFill="1" applyAlignment="1">
      <alignment vertical="center"/>
      <protection/>
    </xf>
    <xf numFmtId="187" fontId="22" fillId="0" borderId="0" xfId="0" applyNumberFormat="1" applyFont="1" applyAlignment="1">
      <alignment horizontal="right"/>
    </xf>
    <xf numFmtId="187" fontId="22" fillId="0" borderId="0" xfId="0" applyNumberFormat="1" applyFont="1" applyAlignment="1">
      <alignment/>
    </xf>
    <xf numFmtId="187" fontId="63" fillId="0" borderId="0" xfId="0" applyNumberFormat="1" applyFont="1" applyAlignment="1">
      <alignment/>
    </xf>
    <xf numFmtId="0" fontId="45" fillId="0" borderId="0" xfId="0" applyFont="1" applyAlignment="1">
      <alignment/>
    </xf>
    <xf numFmtId="0" fontId="63" fillId="33" borderId="0" xfId="0" applyNumberFormat="1" applyFont="1" applyFill="1" applyAlignment="1" applyProtection="1">
      <alignment horizontal="left" vertical="center"/>
      <protection locked="0"/>
    </xf>
    <xf numFmtId="0" fontId="0" fillId="0" borderId="0" xfId="0" applyBorder="1" applyAlignment="1">
      <alignment horizontal="left"/>
    </xf>
    <xf numFmtId="211" fontId="0" fillId="0" borderId="0" xfId="0" applyNumberFormat="1" applyAlignment="1">
      <alignment/>
    </xf>
    <xf numFmtId="0" fontId="19" fillId="0" borderId="0" xfId="0" applyFont="1" applyBorder="1" applyAlignment="1">
      <alignment horizontal="center"/>
    </xf>
    <xf numFmtId="201" fontId="0" fillId="0" borderId="0" xfId="90" applyNumberFormat="1" applyFill="1" applyBorder="1" applyAlignment="1" applyProtection="1">
      <alignment horizontal="center"/>
      <protection locked="0"/>
    </xf>
    <xf numFmtId="201" fontId="0" fillId="0" borderId="0" xfId="0" applyNumberFormat="1" applyFill="1" applyAlignment="1">
      <alignment/>
    </xf>
    <xf numFmtId="189" fontId="0" fillId="0" borderId="0" xfId="0" applyNumberFormat="1" applyFont="1" applyFill="1" applyBorder="1" applyAlignment="1">
      <alignment horizontal="center"/>
    </xf>
    <xf numFmtId="1" fontId="38" fillId="0" borderId="0" xfId="0" applyNumberFormat="1" applyFont="1" applyFill="1" applyBorder="1" applyAlignment="1">
      <alignment horizontal="center"/>
    </xf>
    <xf numFmtId="1" fontId="44" fillId="36"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67" fillId="0" borderId="0" xfId="0" applyFont="1" applyAlignment="1">
      <alignment/>
    </xf>
    <xf numFmtId="0" fontId="22" fillId="0" borderId="0" xfId="0" applyFont="1" applyFill="1" applyBorder="1" applyAlignment="1" applyProtection="1">
      <alignment wrapText="1"/>
      <protection/>
    </xf>
    <xf numFmtId="0" fontId="45" fillId="0" borderId="58" xfId="0" applyFont="1" applyFill="1" applyBorder="1" applyAlignment="1" applyProtection="1">
      <alignment horizontal="center" vertical="center" wrapText="1"/>
      <protection/>
    </xf>
    <xf numFmtId="0" fontId="45" fillId="0" borderId="83" xfId="0" applyFont="1" applyFill="1" applyBorder="1" applyAlignment="1" applyProtection="1">
      <alignment horizontal="center" vertical="center" wrapText="1"/>
      <protection/>
    </xf>
    <xf numFmtId="0" fontId="45" fillId="0" borderId="64" xfId="0" applyFont="1" applyFill="1" applyBorder="1" applyAlignment="1" applyProtection="1">
      <alignment horizontal="center" vertical="center" wrapText="1"/>
      <protection/>
    </xf>
    <xf numFmtId="0" fontId="45" fillId="0" borderId="64" xfId="0" applyNumberFormat="1" applyFont="1" applyFill="1" applyBorder="1" applyAlignment="1" applyProtection="1">
      <alignment horizontal="center" vertical="center" wrapText="1"/>
      <protection/>
    </xf>
    <xf numFmtId="0" fontId="45" fillId="0" borderId="84" xfId="0" applyNumberFormat="1" applyFont="1" applyFill="1" applyBorder="1" applyAlignment="1" applyProtection="1">
      <alignment horizontal="center" vertical="center" wrapText="1"/>
      <protection/>
    </xf>
    <xf numFmtId="0" fontId="45" fillId="0" borderId="82" xfId="0" applyFont="1" applyFill="1" applyBorder="1" applyAlignment="1" applyProtection="1">
      <alignment horizontal="center" vertical="center"/>
      <protection/>
    </xf>
    <xf numFmtId="204" fontId="45" fillId="0" borderId="82" xfId="0" applyNumberFormat="1" applyFont="1" applyFill="1" applyBorder="1" applyAlignment="1" applyProtection="1">
      <alignment horizontal="center" vertical="center"/>
      <protection/>
    </xf>
    <xf numFmtId="204" fontId="26" fillId="40" borderId="85" xfId="0" applyNumberFormat="1" applyFont="1" applyFill="1" applyBorder="1" applyAlignment="1" applyProtection="1">
      <alignment horizontal="center"/>
      <protection/>
    </xf>
    <xf numFmtId="204" fontId="38" fillId="40" borderId="85" xfId="0" applyNumberFormat="1" applyFont="1" applyFill="1" applyBorder="1" applyAlignment="1" applyProtection="1">
      <alignment horizontal="center"/>
      <protection/>
    </xf>
    <xf numFmtId="0" fontId="22" fillId="0" borderId="0" xfId="0" applyFont="1" applyAlignment="1" applyProtection="1">
      <alignment horizontal="center"/>
      <protection/>
    </xf>
    <xf numFmtId="187" fontId="22" fillId="0" borderId="0" xfId="0" applyNumberFormat="1" applyFont="1" applyAlignment="1" applyProtection="1">
      <alignment/>
      <protection/>
    </xf>
    <xf numFmtId="189" fontId="22" fillId="0" borderId="0" xfId="0" applyNumberFormat="1" applyFont="1" applyAlignment="1">
      <alignment/>
    </xf>
    <xf numFmtId="0" fontId="69" fillId="0" borderId="0" xfId="0" applyFont="1" applyAlignment="1">
      <alignment/>
    </xf>
    <xf numFmtId="0" fontId="26" fillId="0" borderId="0" xfId="0" applyNumberFormat="1" applyFont="1" applyAlignment="1">
      <alignment/>
    </xf>
    <xf numFmtId="187" fontId="19" fillId="0" borderId="0" xfId="0" applyNumberFormat="1" applyFont="1" applyAlignment="1" applyProtection="1">
      <alignment horizontal="center"/>
      <protection/>
    </xf>
    <xf numFmtId="187" fontId="0" fillId="0" borderId="0" xfId="0" applyNumberFormat="1" applyAlignment="1" applyProtection="1">
      <alignment horizontal="right"/>
      <protection/>
    </xf>
    <xf numFmtId="189" fontId="31" fillId="0" borderId="0" xfId="0" applyNumberFormat="1" applyFont="1" applyAlignment="1" applyProtection="1">
      <alignment horizontal="center"/>
      <protection/>
    </xf>
    <xf numFmtId="187" fontId="60" fillId="33" borderId="0" xfId="0" applyNumberFormat="1" applyFont="1" applyFill="1" applyAlignment="1" applyProtection="1">
      <alignment horizontal="left" vertical="top"/>
      <protection locked="0"/>
    </xf>
    <xf numFmtId="0" fontId="45" fillId="0" borderId="14" xfId="0" applyFont="1" applyBorder="1" applyAlignment="1" applyProtection="1">
      <alignment horizontal="center" vertical="center" wrapText="1"/>
      <protection/>
    </xf>
    <xf numFmtId="193" fontId="26" fillId="36" borderId="86" xfId="0" applyNumberFormat="1" applyFont="1" applyFill="1" applyBorder="1" applyAlignment="1">
      <alignment horizontal="right"/>
    </xf>
    <xf numFmtId="193" fontId="26" fillId="36" borderId="87" xfId="50" applyNumberFormat="1" applyFont="1" applyFill="1" applyBorder="1" applyAlignment="1" applyProtection="1">
      <alignment/>
      <protection/>
    </xf>
    <xf numFmtId="9" fontId="26" fillId="36" borderId="87" xfId="75" applyFont="1" applyFill="1" applyBorder="1" applyAlignment="1" applyProtection="1">
      <alignment/>
      <protection/>
    </xf>
    <xf numFmtId="193" fontId="26" fillId="36" borderId="87" xfId="0" applyNumberFormat="1" applyFont="1" applyFill="1" applyBorder="1" applyAlignment="1">
      <alignment horizontal="right"/>
    </xf>
    <xf numFmtId="212" fontId="0" fillId="0" borderId="14" xfId="0" applyNumberFormat="1" applyFont="1" applyBorder="1" applyAlignment="1" applyProtection="1">
      <alignment horizontal="center" vertical="center" wrapText="1"/>
      <protection/>
    </xf>
    <xf numFmtId="9" fontId="26" fillId="36" borderId="87" xfId="75" applyNumberFormat="1" applyFont="1" applyFill="1" applyBorder="1" applyAlignment="1" applyProtection="1">
      <alignment/>
      <protection/>
    </xf>
    <xf numFmtId="9" fontId="0" fillId="0" borderId="14" xfId="0" applyNumberFormat="1" applyFont="1" applyBorder="1" applyAlignment="1" applyProtection="1">
      <alignment horizontal="center" vertical="center" wrapText="1"/>
      <protection/>
    </xf>
    <xf numFmtId="0" fontId="26" fillId="36" borderId="86" xfId="0" applyFont="1" applyFill="1" applyBorder="1" applyAlignment="1">
      <alignment/>
    </xf>
    <xf numFmtId="9" fontId="26" fillId="36" borderId="87" xfId="75" applyFont="1" applyFill="1" applyBorder="1" applyAlignment="1" applyProtection="1">
      <alignment horizontal="center"/>
      <protection/>
    </xf>
    <xf numFmtId="193" fontId="26" fillId="0" borderId="0" xfId="0" applyNumberFormat="1" applyFont="1" applyAlignment="1">
      <alignment/>
    </xf>
    <xf numFmtId="193" fontId="26" fillId="36" borderId="87" xfId="0" applyNumberFormat="1" applyFont="1" applyFill="1" applyBorder="1" applyAlignment="1">
      <alignment/>
    </xf>
    <xf numFmtId="187" fontId="26" fillId="0" borderId="0" xfId="0" applyNumberFormat="1" applyFont="1" applyAlignment="1">
      <alignment/>
    </xf>
    <xf numFmtId="0" fontId="71" fillId="0" borderId="0" xfId="0" applyFont="1" applyAlignment="1">
      <alignment/>
    </xf>
    <xf numFmtId="0" fontId="71" fillId="0" borderId="0" xfId="0" applyFont="1" applyAlignment="1">
      <alignment horizontal="right"/>
    </xf>
    <xf numFmtId="0" fontId="71" fillId="0" borderId="0" xfId="0" applyFont="1" applyAlignment="1" applyProtection="1">
      <alignment/>
      <protection/>
    </xf>
    <xf numFmtId="0" fontId="71" fillId="0" borderId="0" xfId="0" applyFont="1" applyAlignment="1" applyProtection="1">
      <alignment horizontal="right"/>
      <protection/>
    </xf>
    <xf numFmtId="187" fontId="23" fillId="0" borderId="0" xfId="66" applyFont="1" applyFill="1" applyAlignment="1">
      <alignment vertical="center"/>
      <protection/>
    </xf>
    <xf numFmtId="0" fontId="71" fillId="0" borderId="0" xfId="0" applyFont="1" applyBorder="1" applyAlignment="1" applyProtection="1">
      <alignment/>
      <protection/>
    </xf>
    <xf numFmtId="0" fontId="72" fillId="0" borderId="0" xfId="0" applyFont="1" applyBorder="1" applyAlignment="1" applyProtection="1">
      <alignment horizontal="left" vertical="center"/>
      <protection/>
    </xf>
    <xf numFmtId="0" fontId="72" fillId="0" borderId="0" xfId="0" applyFont="1" applyBorder="1" applyAlignment="1" applyProtection="1">
      <alignment horizontal="left"/>
      <protection/>
    </xf>
    <xf numFmtId="213" fontId="72" fillId="0" borderId="0" xfId="0" applyNumberFormat="1" applyFont="1" applyBorder="1" applyAlignment="1" applyProtection="1">
      <alignment horizontal="left"/>
      <protection/>
    </xf>
    <xf numFmtId="0" fontId="71" fillId="0" borderId="0" xfId="0" applyFont="1" applyBorder="1" applyAlignment="1">
      <alignment/>
    </xf>
    <xf numFmtId="0" fontId="74" fillId="0" borderId="0" xfId="0" applyFont="1" applyAlignment="1" applyProtection="1">
      <alignment/>
      <protection/>
    </xf>
    <xf numFmtId="0" fontId="77" fillId="0" borderId="0" xfId="0" applyFont="1" applyFill="1" applyBorder="1" applyAlignment="1" applyProtection="1">
      <alignment horizontal="right"/>
      <protection/>
    </xf>
    <xf numFmtId="0" fontId="74" fillId="0" borderId="0" xfId="0" applyFont="1" applyAlignment="1">
      <alignment/>
    </xf>
    <xf numFmtId="0" fontId="50" fillId="0" borderId="88" xfId="0" applyFont="1" applyFill="1" applyBorder="1" applyAlignment="1" applyProtection="1">
      <alignment horizontal="center" vertical="center" wrapText="1"/>
      <protection/>
    </xf>
    <xf numFmtId="0" fontId="78" fillId="0" borderId="89" xfId="0" applyNumberFormat="1" applyFont="1" applyFill="1" applyBorder="1" applyAlignment="1" applyProtection="1">
      <alignment horizontal="right"/>
      <protection/>
    </xf>
    <xf numFmtId="9" fontId="79" fillId="0" borderId="0" xfId="0" applyNumberFormat="1" applyFont="1" applyFill="1" applyBorder="1" applyAlignment="1" applyProtection="1">
      <alignment/>
      <protection/>
    </xf>
    <xf numFmtId="0" fontId="50" fillId="0" borderId="90" xfId="0" applyFont="1" applyFill="1" applyBorder="1" applyAlignment="1" applyProtection="1">
      <alignment horizontal="center"/>
      <protection/>
    </xf>
    <xf numFmtId="0" fontId="78" fillId="0" borderId="91" xfId="0" applyNumberFormat="1" applyFont="1" applyFill="1" applyBorder="1" applyAlignment="1" applyProtection="1">
      <alignment horizontal="right"/>
      <protection/>
    </xf>
    <xf numFmtId="0" fontId="50" fillId="0" borderId="92" xfId="0" applyFont="1" applyFill="1" applyBorder="1" applyAlignment="1" applyProtection="1">
      <alignment horizontal="center"/>
      <protection/>
    </xf>
    <xf numFmtId="0" fontId="78" fillId="0" borderId="93" xfId="0" applyNumberFormat="1" applyFont="1" applyFill="1" applyBorder="1" applyAlignment="1" applyProtection="1">
      <alignment horizontal="right"/>
      <protection/>
    </xf>
    <xf numFmtId="0" fontId="80" fillId="0" borderId="0" xfId="0" applyFont="1" applyFill="1" applyBorder="1" applyAlignment="1" applyProtection="1">
      <alignment horizontal="center"/>
      <protection/>
    </xf>
    <xf numFmtId="0" fontId="78"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9" fontId="79" fillId="0" borderId="0" xfId="0" applyNumberFormat="1" applyFont="1" applyFill="1" applyBorder="1" applyAlignment="1" applyProtection="1">
      <alignment horizontal="center"/>
      <protection/>
    </xf>
    <xf numFmtId="0" fontId="74" fillId="0" borderId="0" xfId="0" applyFont="1" applyFill="1" applyAlignment="1">
      <alignment/>
    </xf>
    <xf numFmtId="214" fontId="81" fillId="36" borderId="0" xfId="0" applyNumberFormat="1" applyFont="1" applyFill="1" applyBorder="1" applyAlignment="1" applyProtection="1">
      <alignment vertical="center"/>
      <protection/>
    </xf>
    <xf numFmtId="0" fontId="78" fillId="36" borderId="0" xfId="0" applyNumberFormat="1" applyFont="1" applyFill="1" applyBorder="1" applyAlignment="1" applyProtection="1">
      <alignment horizontal="right"/>
      <protection/>
    </xf>
    <xf numFmtId="0" fontId="9" fillId="36" borderId="0" xfId="0" applyFont="1" applyFill="1" applyBorder="1" applyAlignment="1" applyProtection="1">
      <alignment horizontal="center" vertical="center"/>
      <protection/>
    </xf>
    <xf numFmtId="0" fontId="82" fillId="36" borderId="0" xfId="0" applyFont="1" applyFill="1" applyBorder="1" applyAlignment="1" applyProtection="1">
      <alignment horizontal="center" vertical="center"/>
      <protection/>
    </xf>
    <xf numFmtId="204" fontId="81" fillId="36" borderId="0" xfId="75" applyNumberFormat="1" applyFont="1" applyFill="1" applyBorder="1" applyAlignment="1" applyProtection="1">
      <alignment horizontal="right"/>
      <protection/>
    </xf>
    <xf numFmtId="9" fontId="83" fillId="36" borderId="0" xfId="0" applyNumberFormat="1" applyFont="1" applyFill="1" applyBorder="1" applyAlignment="1" applyProtection="1">
      <alignment/>
      <protection/>
    </xf>
    <xf numFmtId="0" fontId="84" fillId="36" borderId="0" xfId="0" applyFont="1" applyFill="1" applyBorder="1" applyAlignment="1" applyProtection="1">
      <alignment horizontal="center" vertical="center"/>
      <protection/>
    </xf>
    <xf numFmtId="9" fontId="83" fillId="36" borderId="0" xfId="0" applyNumberFormat="1" applyFont="1" applyFill="1" applyBorder="1" applyAlignment="1" applyProtection="1">
      <alignment horizontal="left"/>
      <protection/>
    </xf>
    <xf numFmtId="0" fontId="45" fillId="0" borderId="0" xfId="0" applyFont="1" applyBorder="1" applyAlignment="1" applyProtection="1">
      <alignment horizontal="center" vertical="center"/>
      <protection/>
    </xf>
    <xf numFmtId="0" fontId="81" fillId="36" borderId="0" xfId="0" applyFont="1" applyFill="1" applyBorder="1" applyAlignment="1" applyProtection="1">
      <alignment horizontal="left" vertical="center"/>
      <protection/>
    </xf>
    <xf numFmtId="193" fontId="85" fillId="0" borderId="0" xfId="0" applyNumberFormat="1" applyFont="1" applyFill="1" applyBorder="1" applyAlignment="1" applyProtection="1">
      <alignment horizontal="right" vertical="center"/>
      <protection/>
    </xf>
    <xf numFmtId="0" fontId="86" fillId="36" borderId="0" xfId="0" applyFont="1" applyFill="1" applyBorder="1" applyAlignment="1" applyProtection="1">
      <alignment horizontal="left" vertical="center"/>
      <protection/>
    </xf>
    <xf numFmtId="0" fontId="50" fillId="0" borderId="94" xfId="0" applyNumberFormat="1" applyFont="1" applyFill="1" applyBorder="1" applyAlignment="1" applyProtection="1">
      <alignment horizontal="center"/>
      <protection/>
    </xf>
    <xf numFmtId="0" fontId="78" fillId="0" borderId="95" xfId="0" applyNumberFormat="1" applyFont="1" applyFill="1" applyBorder="1" applyAlignment="1" applyProtection="1">
      <alignment horizontal="right"/>
      <protection/>
    </xf>
    <xf numFmtId="9" fontId="83" fillId="0" borderId="0" xfId="0" applyNumberFormat="1" applyFont="1" applyFill="1" applyBorder="1" applyAlignment="1" applyProtection="1">
      <alignment/>
      <protection/>
    </xf>
    <xf numFmtId="0" fontId="50" fillId="0" borderId="96" xfId="0" applyNumberFormat="1" applyFont="1" applyFill="1" applyBorder="1" applyAlignment="1" applyProtection="1">
      <alignment horizontal="center"/>
      <protection/>
    </xf>
    <xf numFmtId="0" fontId="78" fillId="0" borderId="97" xfId="0" applyNumberFormat="1" applyFont="1" applyFill="1" applyBorder="1" applyAlignment="1" applyProtection="1">
      <alignment horizontal="right"/>
      <protection/>
    </xf>
    <xf numFmtId="0" fontId="71" fillId="0" borderId="0" xfId="0" applyNumberFormat="1" applyFont="1" applyBorder="1" applyAlignment="1">
      <alignment/>
    </xf>
    <xf numFmtId="0" fontId="50" fillId="0" borderId="96" xfId="0" applyNumberFormat="1" applyFont="1" applyFill="1" applyBorder="1" applyAlignment="1" applyProtection="1">
      <alignment horizontal="center" vertical="center"/>
      <protection/>
    </xf>
    <xf numFmtId="0" fontId="50" fillId="0" borderId="98" xfId="0" applyNumberFormat="1" applyFont="1" applyFill="1" applyBorder="1" applyAlignment="1" applyProtection="1">
      <alignment horizontal="center" vertical="center"/>
      <protection/>
    </xf>
    <xf numFmtId="0" fontId="78" fillId="0" borderId="99" xfId="0" applyNumberFormat="1" applyFont="1" applyFill="1" applyBorder="1" applyAlignment="1" applyProtection="1">
      <alignment horizontal="right"/>
      <protection/>
    </xf>
    <xf numFmtId="0" fontId="88" fillId="0" borderId="0" xfId="0" applyFont="1" applyFill="1" applyBorder="1" applyAlignment="1" applyProtection="1">
      <alignment/>
      <protection/>
    </xf>
    <xf numFmtId="0" fontId="89" fillId="0" borderId="0" xfId="0" applyFont="1" applyFill="1" applyBorder="1" applyAlignment="1" applyProtection="1">
      <alignment/>
      <protection/>
    </xf>
    <xf numFmtId="0" fontId="90"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right" vertical="center" indent="1"/>
      <protection/>
    </xf>
    <xf numFmtId="0" fontId="92" fillId="0" borderId="0" xfId="0" applyFont="1" applyFill="1" applyBorder="1" applyAlignment="1" applyProtection="1">
      <alignment horizontal="center"/>
      <protection/>
    </xf>
    <xf numFmtId="0" fontId="93" fillId="0" borderId="100" xfId="0" applyNumberFormat="1" applyFont="1" applyFill="1" applyBorder="1" applyAlignment="1" applyProtection="1">
      <alignment horizontal="center" vertical="center"/>
      <protection/>
    </xf>
    <xf numFmtId="0" fontId="45" fillId="0" borderId="101" xfId="0" applyNumberFormat="1" applyFont="1" applyFill="1" applyBorder="1" applyAlignment="1" applyProtection="1">
      <alignment vertical="center"/>
      <protection/>
    </xf>
    <xf numFmtId="0" fontId="93" fillId="0" borderId="102" xfId="0" applyNumberFormat="1" applyFont="1" applyFill="1" applyBorder="1" applyAlignment="1" applyProtection="1">
      <alignment horizontal="center" vertical="center"/>
      <protection/>
    </xf>
    <xf numFmtId="0" fontId="45" fillId="0" borderId="103" xfId="0" applyNumberFormat="1" applyFont="1" applyFill="1" applyBorder="1" applyAlignment="1" applyProtection="1">
      <alignment vertical="center"/>
      <protection/>
    </xf>
    <xf numFmtId="0" fontId="93" fillId="0" borderId="104" xfId="0" applyNumberFormat="1" applyFont="1" applyFill="1" applyBorder="1" applyAlignment="1" applyProtection="1">
      <alignment horizontal="center" vertical="center"/>
      <protection/>
    </xf>
    <xf numFmtId="0" fontId="45" fillId="0" borderId="105" xfId="0" applyNumberFormat="1" applyFont="1" applyFill="1" applyBorder="1" applyAlignment="1" applyProtection="1">
      <alignment vertical="center"/>
      <protection/>
    </xf>
    <xf numFmtId="0" fontId="45" fillId="0" borderId="106" xfId="0" applyNumberFormat="1" applyFont="1" applyFill="1" applyBorder="1" applyAlignment="1" applyProtection="1">
      <alignment vertical="center"/>
      <protection/>
    </xf>
    <xf numFmtId="189" fontId="0" fillId="0" borderId="0" xfId="0" applyNumberFormat="1" applyAlignment="1">
      <alignment/>
    </xf>
    <xf numFmtId="0" fontId="4" fillId="0" borderId="0" xfId="0" applyFont="1" applyAlignment="1">
      <alignment horizontal="center"/>
    </xf>
    <xf numFmtId="0" fontId="73" fillId="37" borderId="107" xfId="0" applyNumberFormat="1" applyFont="1" applyFill="1" applyBorder="1" applyAlignment="1">
      <alignment vertical="center"/>
    </xf>
    <xf numFmtId="0" fontId="73" fillId="37" borderId="107" xfId="0" applyFont="1" applyFill="1" applyBorder="1" applyAlignment="1">
      <alignment vertical="center"/>
    </xf>
    <xf numFmtId="0" fontId="19" fillId="0" borderId="0" xfId="0" applyFont="1" applyAlignment="1">
      <alignment/>
    </xf>
    <xf numFmtId="0" fontId="34" fillId="0" borderId="0" xfId="0" applyFont="1" applyAlignment="1">
      <alignment/>
    </xf>
    <xf numFmtId="0" fontId="94" fillId="0" borderId="0" xfId="73" applyNumberFormat="1" applyFont="1" applyFill="1" applyBorder="1" applyAlignment="1">
      <alignment horizontal="center" vertical="center" wrapText="1"/>
      <protection/>
    </xf>
    <xf numFmtId="0" fontId="94" fillId="41" borderId="108" xfId="73" applyNumberFormat="1" applyFont="1" applyFill="1" applyBorder="1" applyAlignment="1">
      <alignment horizontal="center" vertical="center" wrapText="1"/>
      <protection/>
    </xf>
    <xf numFmtId="0" fontId="96" fillId="0" borderId="0" xfId="0" applyNumberFormat="1" applyFont="1" applyAlignment="1">
      <alignment/>
    </xf>
    <xf numFmtId="0" fontId="96" fillId="0" borderId="0" xfId="0" applyFont="1" applyAlignment="1">
      <alignment/>
    </xf>
    <xf numFmtId="0" fontId="96" fillId="0" borderId="0" xfId="0" applyFont="1" applyAlignment="1">
      <alignment horizontal="center"/>
    </xf>
    <xf numFmtId="0" fontId="97" fillId="0" borderId="0" xfId="0" applyFont="1" applyBorder="1" applyAlignment="1">
      <alignment/>
    </xf>
    <xf numFmtId="0" fontId="98" fillId="37" borderId="107" xfId="0" applyFont="1" applyFill="1" applyBorder="1" applyAlignment="1">
      <alignment vertical="center"/>
    </xf>
    <xf numFmtId="0" fontId="32" fillId="0" borderId="0" xfId="0" applyFont="1" applyAlignment="1">
      <alignment/>
    </xf>
    <xf numFmtId="0" fontId="99" fillId="37" borderId="14" xfId="0" applyFont="1" applyFill="1" applyBorder="1" applyAlignment="1" applyProtection="1">
      <alignment horizontal="center"/>
      <protection/>
    </xf>
    <xf numFmtId="0" fontId="99" fillId="37"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58" fillId="0" borderId="14" xfId="0" applyFont="1" applyFill="1" applyBorder="1" applyAlignment="1" applyProtection="1">
      <alignment horizontal="center"/>
      <protection/>
    </xf>
    <xf numFmtId="0" fontId="58" fillId="0" borderId="14" xfId="0" applyFont="1" applyBorder="1" applyAlignment="1" applyProtection="1">
      <alignment horizontal="center"/>
      <protection/>
    </xf>
    <xf numFmtId="0" fontId="100" fillId="0" borderId="14" xfId="0" applyFont="1" applyBorder="1" applyAlignment="1" applyProtection="1">
      <alignment horizontal="left" indent="1"/>
      <protection/>
    </xf>
    <xf numFmtId="0" fontId="0" fillId="0" borderId="14" xfId="0" applyFont="1" applyBorder="1" applyAlignment="1">
      <alignment horizontal="center"/>
    </xf>
    <xf numFmtId="0" fontId="58" fillId="0" borderId="0" xfId="0" applyFont="1" applyFill="1" applyBorder="1" applyAlignment="1" applyProtection="1">
      <alignment/>
      <protection/>
    </xf>
    <xf numFmtId="0" fontId="58" fillId="0" borderId="14" xfId="0" applyFont="1" applyFill="1" applyBorder="1" applyAlignment="1" applyProtection="1">
      <alignment/>
      <protection/>
    </xf>
    <xf numFmtId="187" fontId="58" fillId="0" borderId="14" xfId="69" applyFont="1" applyBorder="1" applyProtection="1">
      <alignment/>
      <protection/>
    </xf>
    <xf numFmtId="0" fontId="0" fillId="0" borderId="14" xfId="0" applyFont="1" applyBorder="1" applyAlignment="1">
      <alignment/>
    </xf>
    <xf numFmtId="0" fontId="0" fillId="0" borderId="14" xfId="0" applyBorder="1" applyAlignment="1">
      <alignment/>
    </xf>
    <xf numFmtId="217" fontId="22" fillId="42" borderId="21" xfId="0" applyNumberFormat="1" applyFont="1" applyFill="1" applyBorder="1" applyAlignment="1" applyProtection="1">
      <alignment/>
      <protection locked="0"/>
    </xf>
    <xf numFmtId="219" fontId="22" fillId="42" borderId="19" xfId="53" applyNumberFormat="1" applyFont="1" applyFill="1" applyBorder="1" applyAlignment="1" applyProtection="1">
      <alignment/>
      <protection locked="0"/>
    </xf>
    <xf numFmtId="188" fontId="38" fillId="42" borderId="14" xfId="53" applyNumberFormat="1" applyFont="1" applyFill="1" applyBorder="1" applyAlignment="1" applyProtection="1">
      <alignment/>
      <protection locked="0"/>
    </xf>
    <xf numFmtId="9" fontId="0" fillId="0" borderId="0" xfId="75" applyFill="1" applyBorder="1" applyAlignment="1" applyProtection="1">
      <alignment horizontal="center"/>
      <protection/>
    </xf>
    <xf numFmtId="187" fontId="33" fillId="0" borderId="109" xfId="0" applyNumberFormat="1" applyFont="1" applyBorder="1" applyAlignment="1" applyProtection="1">
      <alignment/>
      <protection/>
    </xf>
    <xf numFmtId="187" fontId="33" fillId="0" borderId="110" xfId="0" applyNumberFormat="1" applyFont="1" applyBorder="1" applyAlignment="1" applyProtection="1">
      <alignment wrapText="1"/>
      <protection/>
    </xf>
    <xf numFmtId="188" fontId="38" fillId="42" borderId="111" xfId="53" applyNumberFormat="1" applyFont="1" applyFill="1" applyBorder="1" applyAlignment="1" applyProtection="1">
      <alignment/>
      <protection locked="0"/>
    </xf>
    <xf numFmtId="220" fontId="0" fillId="35" borderId="14" xfId="53" applyNumberFormat="1" applyFont="1" applyFill="1" applyBorder="1" applyAlignment="1" applyProtection="1">
      <alignment horizontal="right" wrapText="1"/>
      <protection locked="0"/>
    </xf>
    <xf numFmtId="192" fontId="0" fillId="13" borderId="62" xfId="0" applyNumberFormat="1" applyFill="1" applyBorder="1" applyAlignment="1" applyProtection="1">
      <alignment horizontal="right" wrapText="1"/>
      <protection/>
    </xf>
    <xf numFmtId="193" fontId="0" fillId="13" borderId="62" xfId="0" applyNumberFormat="1" applyFill="1" applyBorder="1" applyAlignment="1" applyProtection="1">
      <alignment horizontal="right" wrapText="1"/>
      <protection/>
    </xf>
    <xf numFmtId="193" fontId="0" fillId="13" borderId="14" xfId="0" applyNumberFormat="1" applyFill="1" applyBorder="1" applyAlignment="1" applyProtection="1">
      <alignment horizontal="right" wrapText="1"/>
      <protection/>
    </xf>
    <xf numFmtId="192" fontId="0" fillId="13" borderId="62" xfId="50" applyNumberFormat="1" applyFont="1" applyFill="1" applyBorder="1" applyAlignment="1" applyProtection="1">
      <alignment horizontal="right"/>
      <protection/>
    </xf>
    <xf numFmtId="207" fontId="0" fillId="0" borderId="14" xfId="0" applyNumberFormat="1" applyFont="1" applyBorder="1" applyAlignment="1" applyProtection="1">
      <alignment horizontal="center" vertical="center" wrapText="1"/>
      <protection/>
    </xf>
    <xf numFmtId="1" fontId="0" fillId="0" borderId="14" xfId="0" applyNumberFormat="1" applyFont="1" applyBorder="1" applyAlignment="1" applyProtection="1">
      <alignment horizontal="center" vertical="center" wrapText="1"/>
      <protection/>
    </xf>
    <xf numFmtId="221" fontId="0" fillId="0" borderId="14" xfId="0" applyNumberFormat="1" applyFont="1" applyBorder="1" applyAlignment="1" applyProtection="1">
      <alignment horizontal="center" vertical="center" wrapText="1"/>
      <protection/>
    </xf>
    <xf numFmtId="190" fontId="19" fillId="43" borderId="112" xfId="0" applyNumberFormat="1" applyFont="1" applyFill="1" applyBorder="1" applyAlignment="1" applyProtection="1">
      <alignment horizontal="center"/>
      <protection locked="0"/>
    </xf>
    <xf numFmtId="190" fontId="19" fillId="43" borderId="76" xfId="0" applyNumberFormat="1" applyFont="1" applyFill="1" applyBorder="1" applyAlignment="1" applyProtection="1">
      <alignment horizontal="center"/>
      <protection locked="0"/>
    </xf>
    <xf numFmtId="193" fontId="154" fillId="44" borderId="113" xfId="0" applyNumberFormat="1" applyFont="1" applyFill="1" applyBorder="1" applyAlignment="1" applyProtection="1">
      <alignment horizontal="justify" vertical="center" wrapText="1"/>
      <protection locked="0"/>
    </xf>
    <xf numFmtId="193" fontId="102" fillId="44" borderId="113" xfId="0" applyNumberFormat="1" applyFont="1" applyFill="1" applyBorder="1" applyAlignment="1" applyProtection="1">
      <alignment horizontal="justify" vertical="center" wrapText="1"/>
      <protection locked="0"/>
    </xf>
    <xf numFmtId="193" fontId="103" fillId="33" borderId="62" xfId="0" applyNumberFormat="1" applyFont="1" applyFill="1" applyBorder="1" applyAlignment="1" applyProtection="1">
      <alignment horizontal="center" vertical="center" wrapText="1"/>
      <protection/>
    </xf>
    <xf numFmtId="49" fontId="103" fillId="0" borderId="14" xfId="0" applyNumberFormat="1" applyFont="1" applyFill="1" applyBorder="1" applyAlignment="1" applyProtection="1">
      <alignment horizontal="left"/>
      <protection/>
    </xf>
    <xf numFmtId="205" fontId="103" fillId="33" borderId="14" xfId="0" applyNumberFormat="1" applyFont="1" applyFill="1" applyBorder="1" applyAlignment="1" applyProtection="1">
      <alignment horizontal="center" vertical="center" wrapText="1"/>
      <protection/>
    </xf>
    <xf numFmtId="204" fontId="103" fillId="33" borderId="62" xfId="0" applyNumberFormat="1" applyFont="1" applyFill="1" applyBorder="1" applyAlignment="1" applyProtection="1">
      <alignment horizontal="center" vertical="center" wrapText="1"/>
      <protection/>
    </xf>
    <xf numFmtId="193" fontId="103" fillId="33" borderId="14" xfId="0" applyNumberFormat="1" applyFont="1" applyFill="1" applyBorder="1" applyAlignment="1" applyProtection="1">
      <alignment horizontal="center" vertical="center" wrapText="1"/>
      <protection/>
    </xf>
    <xf numFmtId="196" fontId="103" fillId="33" borderId="14" xfId="0" applyNumberFormat="1" applyFont="1" applyFill="1" applyBorder="1" applyAlignment="1" applyProtection="1">
      <alignment horizontal="center" vertical="center" wrapText="1"/>
      <protection/>
    </xf>
    <xf numFmtId="193" fontId="103" fillId="33" borderId="14" xfId="0" applyNumberFormat="1" applyFont="1" applyFill="1" applyBorder="1" applyAlignment="1" applyProtection="1">
      <alignment vertical="center"/>
      <protection locked="0"/>
    </xf>
    <xf numFmtId="193" fontId="103" fillId="44" borderId="113" xfId="0" applyNumberFormat="1" applyFont="1" applyFill="1" applyBorder="1" applyAlignment="1" applyProtection="1">
      <alignment vertical="center" wrapText="1"/>
      <protection locked="0"/>
    </xf>
    <xf numFmtId="49" fontId="103" fillId="38" borderId="14" xfId="0" applyNumberFormat="1" applyFont="1" applyFill="1" applyBorder="1" applyAlignment="1" applyProtection="1">
      <alignment horizontal="left"/>
      <protection/>
    </xf>
    <xf numFmtId="207" fontId="53" fillId="33" borderId="62" xfId="75" applyNumberFormat="1" applyFont="1" applyFill="1" applyBorder="1" applyAlignment="1" applyProtection="1">
      <alignment horizontal="center" vertical="center" wrapText="1"/>
      <protection/>
    </xf>
    <xf numFmtId="193" fontId="103" fillId="45" borderId="14" xfId="0" applyNumberFormat="1" applyFont="1" applyFill="1" applyBorder="1" applyAlignment="1" applyProtection="1">
      <alignment vertical="center"/>
      <protection locked="0"/>
    </xf>
    <xf numFmtId="9" fontId="53" fillId="33" borderId="62" xfId="75" applyFont="1" applyFill="1" applyBorder="1" applyAlignment="1" applyProtection="1">
      <alignment horizontal="center" vertical="center" wrapText="1"/>
      <protection/>
    </xf>
    <xf numFmtId="206" fontId="103" fillId="33" borderId="14" xfId="0" applyNumberFormat="1" applyFont="1" applyFill="1" applyBorder="1" applyAlignment="1" applyProtection="1">
      <alignment horizontal="center" vertical="center" wrapText="1"/>
      <protection/>
    </xf>
    <xf numFmtId="1" fontId="53" fillId="33" borderId="62" xfId="75" applyNumberFormat="1" applyFont="1" applyFill="1" applyBorder="1" applyAlignment="1" applyProtection="1">
      <alignment horizontal="center" vertical="center" wrapText="1"/>
      <protection/>
    </xf>
    <xf numFmtId="1" fontId="103" fillId="33" borderId="62" xfId="0" applyNumberFormat="1" applyFont="1" applyFill="1" applyBorder="1" applyAlignment="1" applyProtection="1">
      <alignment horizontal="center" vertical="center" wrapText="1"/>
      <protection/>
    </xf>
    <xf numFmtId="193" fontId="103" fillId="45" borderId="14" xfId="0" applyNumberFormat="1" applyFont="1" applyFill="1" applyBorder="1" applyAlignment="1" applyProtection="1">
      <alignment horizontal="right" vertical="center"/>
      <protection locked="0"/>
    </xf>
    <xf numFmtId="193" fontId="155" fillId="46" borderId="114" xfId="0" applyNumberFormat="1" applyFont="1" applyFill="1" applyBorder="1" applyAlignment="1" applyProtection="1">
      <alignment horizontal="justify" vertical="center" wrapText="1"/>
      <protection locked="0"/>
    </xf>
    <xf numFmtId="0" fontId="63" fillId="0" borderId="0" xfId="0" applyNumberFormat="1" applyFont="1" applyFill="1" applyBorder="1" applyAlignment="1" applyProtection="1">
      <alignment horizontal="left" vertical="center"/>
      <protection locked="0"/>
    </xf>
    <xf numFmtId="9" fontId="70" fillId="47" borderId="11" xfId="75" applyFont="1" applyFill="1" applyBorder="1" applyAlignment="1" applyProtection="1">
      <alignment horizontal="center" vertical="center" wrapText="1"/>
      <protection/>
    </xf>
    <xf numFmtId="194" fontId="0" fillId="0" borderId="0" xfId="0" applyNumberFormat="1" applyAlignment="1" applyProtection="1">
      <alignment/>
      <protection/>
    </xf>
    <xf numFmtId="221" fontId="0" fillId="0" borderId="0" xfId="0" applyNumberFormat="1" applyBorder="1" applyAlignment="1" applyProtection="1">
      <alignment/>
      <protection/>
    </xf>
    <xf numFmtId="9" fontId="149" fillId="0" borderId="0" xfId="75" applyFont="1" applyFill="1" applyBorder="1" applyAlignment="1" applyProtection="1">
      <alignment/>
      <protection/>
    </xf>
    <xf numFmtId="198" fontId="0" fillId="0" borderId="0" xfId="0" applyNumberFormat="1" applyAlignment="1" applyProtection="1">
      <alignment/>
      <protection/>
    </xf>
    <xf numFmtId="43" fontId="0" fillId="0" borderId="0" xfId="0" applyNumberFormat="1" applyAlignment="1" applyProtection="1">
      <alignment/>
      <protection/>
    </xf>
    <xf numFmtId="188" fontId="17" fillId="34" borderId="62" xfId="53" applyFont="1" applyFill="1" applyBorder="1" applyAlignment="1" applyProtection="1">
      <alignment/>
      <protection locked="0"/>
    </xf>
    <xf numFmtId="188" fontId="17" fillId="42" borderId="111" xfId="53" applyFont="1" applyFill="1" applyBorder="1" applyAlignment="1" applyProtection="1">
      <alignment/>
      <protection locked="0"/>
    </xf>
    <xf numFmtId="10" fontId="0" fillId="0" borderId="0" xfId="0" applyNumberFormat="1" applyFill="1" applyAlignment="1" applyProtection="1">
      <alignment/>
      <protection/>
    </xf>
    <xf numFmtId="193" fontId="156" fillId="46" borderId="114" xfId="0" applyNumberFormat="1" applyFont="1" applyFill="1" applyBorder="1" applyAlignment="1" applyProtection="1">
      <alignment horizontal="justify" vertical="center" wrapText="1"/>
      <protection locked="0"/>
    </xf>
    <xf numFmtId="187" fontId="2" fillId="48" borderId="0" xfId="65" applyFont="1" applyFill="1" applyBorder="1" applyAlignment="1">
      <alignment horizontal="center" vertical="center"/>
      <protection/>
    </xf>
    <xf numFmtId="187" fontId="4" fillId="0" borderId="0" xfId="0" applyNumberFormat="1" applyFont="1" applyBorder="1" applyAlignment="1">
      <alignment horizontal="center"/>
    </xf>
    <xf numFmtId="0" fontId="2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21" fillId="36" borderId="14" xfId="0" applyFont="1" applyFill="1" applyBorder="1" applyAlignment="1" applyProtection="1">
      <alignment vertical="center" wrapText="1"/>
      <protection locked="0"/>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left" vertical="center" wrapText="1"/>
      <protection locked="0"/>
    </xf>
    <xf numFmtId="0" fontId="12" fillId="0" borderId="14" xfId="0" applyFont="1" applyBorder="1" applyAlignment="1" applyProtection="1">
      <alignment vertical="center" wrapText="1"/>
      <protection locked="0"/>
    </xf>
    <xf numFmtId="0" fontId="13" fillId="36" borderId="14" xfId="0" applyFont="1" applyFill="1" applyBorder="1" applyAlignment="1" applyProtection="1">
      <alignment vertical="center" wrapText="1"/>
      <protection locked="0"/>
    </xf>
    <xf numFmtId="0" fontId="9" fillId="0" borderId="14" xfId="0" applyNumberFormat="1" applyFont="1" applyBorder="1" applyAlignment="1" applyProtection="1">
      <alignment horizontal="left" vertical="center" wrapText="1"/>
      <protection locked="0"/>
    </xf>
    <xf numFmtId="0" fontId="13" fillId="0" borderId="14" xfId="0" applyFont="1" applyBorder="1" applyAlignment="1" applyProtection="1">
      <alignment vertical="center" wrapText="1"/>
      <protection locked="0"/>
    </xf>
    <xf numFmtId="0" fontId="13" fillId="33" borderId="14" xfId="0" applyFont="1" applyFill="1" applyBorder="1" applyAlignment="1">
      <alignment vertical="center" wrapText="1"/>
    </xf>
    <xf numFmtId="187" fontId="12" fillId="0" borderId="14" xfId="0" applyNumberFormat="1" applyFont="1" applyBorder="1" applyAlignment="1">
      <alignment horizontal="justify" vertical="center" wrapText="1"/>
    </xf>
    <xf numFmtId="0" fontId="17" fillId="0" borderId="75" xfId="0" applyNumberFormat="1" applyFont="1" applyBorder="1" applyAlignment="1">
      <alignment horizontal="justify" vertical="center" wrapText="1"/>
    </xf>
    <xf numFmtId="0" fontId="17" fillId="0" borderId="14" xfId="0" applyNumberFormat="1" applyFont="1" applyBorder="1" applyAlignment="1">
      <alignment horizontal="left" vertical="center" wrapText="1"/>
    </xf>
    <xf numFmtId="0" fontId="17" fillId="0" borderId="14" xfId="0" applyNumberFormat="1" applyFont="1" applyBorder="1" applyAlignment="1">
      <alignment horizontal="justify" vertical="center" wrapText="1"/>
    </xf>
    <xf numFmtId="0" fontId="10" fillId="0" borderId="0" xfId="0" applyNumberFormat="1" applyFont="1" applyBorder="1" applyAlignment="1">
      <alignment horizontal="center"/>
    </xf>
    <xf numFmtId="0" fontId="19" fillId="33" borderId="14" xfId="0" applyNumberFormat="1" applyFont="1" applyFill="1" applyBorder="1" applyAlignment="1">
      <alignment horizontal="center" vertical="center" wrapText="1"/>
    </xf>
    <xf numFmtId="0" fontId="20" fillId="33" borderId="14" xfId="0" applyNumberFormat="1" applyFont="1" applyFill="1" applyBorder="1" applyAlignment="1">
      <alignment horizontal="center" vertical="center"/>
    </xf>
    <xf numFmtId="0" fontId="9" fillId="0" borderId="14" xfId="0" applyNumberFormat="1" applyFont="1" applyBorder="1" applyAlignment="1">
      <alignment horizontal="justify" vertical="center" wrapText="1"/>
    </xf>
    <xf numFmtId="0" fontId="9" fillId="0" borderId="14" xfId="0" applyFont="1" applyBorder="1" applyAlignment="1">
      <alignment horizontal="left" vertical="center" wrapText="1"/>
    </xf>
    <xf numFmtId="0" fontId="9" fillId="0" borderId="14" xfId="0" applyNumberFormat="1" applyFont="1" applyBorder="1" applyAlignment="1">
      <alignment horizontal="left" vertical="center" wrapText="1"/>
    </xf>
    <xf numFmtId="187" fontId="12" fillId="0" borderId="14" xfId="0" applyNumberFormat="1" applyFont="1" applyBorder="1" applyAlignment="1">
      <alignment horizontal="left" vertical="center" wrapText="1"/>
    </xf>
    <xf numFmtId="0" fontId="9" fillId="0" borderId="56" xfId="0" applyFont="1" applyBorder="1" applyAlignment="1">
      <alignment horizontal="justify" wrapText="1"/>
    </xf>
    <xf numFmtId="0" fontId="13" fillId="0" borderId="75" xfId="0" applyFont="1" applyBorder="1" applyAlignment="1">
      <alignment horizontal="justify" vertical="center" wrapText="1"/>
    </xf>
    <xf numFmtId="0" fontId="13" fillId="0" borderId="14" xfId="0" applyFont="1" applyBorder="1" applyAlignment="1">
      <alignment horizontal="justify" vertical="center" wrapText="1"/>
    </xf>
    <xf numFmtId="0" fontId="9" fillId="0" borderId="14" xfId="0" applyFont="1" applyBorder="1" applyAlignment="1">
      <alignment horizontal="justify" vertical="center" wrapText="1"/>
    </xf>
    <xf numFmtId="0" fontId="11" fillId="35" borderId="14"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5" xfId="0" applyBorder="1" applyAlignment="1">
      <alignment horizontal="center"/>
    </xf>
    <xf numFmtId="0" fontId="0" fillId="0" borderId="115" xfId="0" applyBorder="1" applyAlignment="1">
      <alignment horizontal="center" wrapText="1"/>
    </xf>
    <xf numFmtId="9" fontId="13" fillId="0" borderId="14" xfId="75" applyFont="1" applyFill="1" applyBorder="1" applyAlignment="1" applyProtection="1">
      <alignment horizontal="justify" vertical="center" wrapText="1"/>
      <protection/>
    </xf>
    <xf numFmtId="9" fontId="9" fillId="0" borderId="14" xfId="0" applyNumberFormat="1" applyFont="1" applyBorder="1" applyAlignment="1">
      <alignment horizontal="left" vertical="center" wrapText="1"/>
    </xf>
    <xf numFmtId="187" fontId="2" fillId="49" borderId="0" xfId="64" applyFont="1" applyFill="1" applyBorder="1" applyAlignment="1" applyProtection="1">
      <alignment horizontal="center" vertical="center"/>
      <protection/>
    </xf>
    <xf numFmtId="0" fontId="11" fillId="34" borderId="14" xfId="0" applyNumberFormat="1" applyFont="1" applyFill="1" applyBorder="1" applyAlignment="1">
      <alignment horizontal="center"/>
    </xf>
    <xf numFmtId="0" fontId="1" fillId="0" borderId="116" xfId="0" applyFont="1" applyFill="1" applyBorder="1" applyAlignment="1" applyProtection="1">
      <alignment horizontal="left" vertical="center" wrapText="1"/>
      <protection/>
    </xf>
    <xf numFmtId="0" fontId="1" fillId="0" borderId="117" xfId="0" applyFont="1" applyFill="1" applyBorder="1" applyAlignment="1" applyProtection="1">
      <alignment horizontal="center" vertical="center" wrapText="1"/>
      <protection/>
    </xf>
    <xf numFmtId="0" fontId="1" fillId="0" borderId="118" xfId="0" applyFont="1" applyFill="1" applyBorder="1" applyAlignment="1" applyProtection="1">
      <alignment horizontal="center" vertical="center" wrapText="1"/>
      <protection/>
    </xf>
    <xf numFmtId="0" fontId="1" fillId="0" borderId="119" xfId="0" applyFont="1" applyFill="1" applyBorder="1" applyAlignment="1" applyProtection="1">
      <alignment horizontal="left" vertical="center" wrapText="1"/>
      <protection/>
    </xf>
    <xf numFmtId="0" fontId="1" fillId="38" borderId="116" xfId="0" applyFont="1" applyFill="1" applyBorder="1" applyAlignment="1" applyProtection="1">
      <alignment horizontal="left" vertical="center" wrapText="1"/>
      <protection/>
    </xf>
    <xf numFmtId="0" fontId="1" fillId="38" borderId="117" xfId="0" applyFont="1" applyFill="1" applyBorder="1" applyAlignment="1" applyProtection="1">
      <alignment horizontal="center" vertical="center" wrapText="1"/>
      <protection/>
    </xf>
    <xf numFmtId="0" fontId="1" fillId="38" borderId="118" xfId="0" applyFont="1" applyFill="1" applyBorder="1" applyAlignment="1" applyProtection="1">
      <alignment horizontal="center" vertical="center" wrapText="1"/>
      <protection/>
    </xf>
    <xf numFmtId="49" fontId="103" fillId="45" borderId="117" xfId="0" applyNumberFormat="1" applyFont="1" applyFill="1" applyBorder="1" applyAlignment="1" applyProtection="1">
      <alignment horizontal="left" vertical="center" wrapText="1"/>
      <protection/>
    </xf>
    <xf numFmtId="0" fontId="103" fillId="33" borderId="117" xfId="0" applyNumberFormat="1" applyFont="1" applyFill="1" applyBorder="1" applyAlignment="1" applyProtection="1">
      <alignment horizontal="center" vertical="center" wrapText="1"/>
      <protection/>
    </xf>
    <xf numFmtId="49" fontId="103" fillId="33" borderId="118" xfId="0" applyNumberFormat="1" applyFont="1" applyFill="1" applyBorder="1" applyAlignment="1" applyProtection="1">
      <alignment horizontal="center" vertical="center" wrapText="1"/>
      <protection/>
    </xf>
    <xf numFmtId="49" fontId="103" fillId="33" borderId="117" xfId="0" applyNumberFormat="1" applyFont="1" applyFill="1" applyBorder="1" applyAlignment="1" applyProtection="1">
      <alignment horizontal="left" vertical="center" wrapText="1"/>
      <protection/>
    </xf>
    <xf numFmtId="187" fontId="0" fillId="0" borderId="52" xfId="0" applyNumberFormat="1" applyFont="1" applyBorder="1" applyAlignment="1" applyProtection="1">
      <alignment horizontal="left"/>
      <protection/>
    </xf>
    <xf numFmtId="187" fontId="0" fillId="0" borderId="82" xfId="0" applyNumberFormat="1" applyFont="1" applyFill="1" applyBorder="1" applyAlignment="1" applyProtection="1">
      <alignment horizontal="left" vertical="center"/>
      <protection locked="0"/>
    </xf>
    <xf numFmtId="187" fontId="50" fillId="0" borderId="67" xfId="0" applyNumberFormat="1" applyFont="1" applyFill="1" applyBorder="1" applyAlignment="1" applyProtection="1">
      <alignment horizontal="center" vertical="center"/>
      <protection/>
    </xf>
    <xf numFmtId="190" fontId="0" fillId="37" borderId="76" xfId="0" applyNumberFormat="1" applyFont="1" applyFill="1" applyBorder="1" applyAlignment="1" applyProtection="1">
      <alignment horizontal="center" vertical="center" textRotation="90"/>
      <protection/>
    </xf>
    <xf numFmtId="0" fontId="103" fillId="33" borderId="117" xfId="0" applyNumberFormat="1" applyFont="1" applyFill="1" applyBorder="1" applyAlignment="1" applyProtection="1">
      <alignment horizontal="left" vertical="center" wrapText="1"/>
      <protection/>
    </xf>
    <xf numFmtId="187" fontId="7" fillId="0" borderId="120" xfId="0" applyNumberFormat="1" applyFont="1" applyBorder="1" applyAlignment="1" applyProtection="1">
      <alignment horizontal="right"/>
      <protection/>
    </xf>
    <xf numFmtId="187" fontId="19" fillId="0" borderId="121" xfId="0" applyNumberFormat="1" applyFont="1" applyBorder="1" applyAlignment="1" applyProtection="1">
      <alignment horizontal="center"/>
      <protection/>
    </xf>
    <xf numFmtId="0" fontId="0" fillId="50" borderId="122" xfId="0" applyFill="1" applyBorder="1" applyAlignment="1" applyProtection="1">
      <alignment horizontal="center"/>
      <protection/>
    </xf>
    <xf numFmtId="187" fontId="34" fillId="0" borderId="123" xfId="0" applyNumberFormat="1" applyFont="1" applyBorder="1" applyAlignment="1" applyProtection="1">
      <alignment horizontal="center" wrapText="1"/>
      <protection/>
    </xf>
    <xf numFmtId="0" fontId="0" fillId="0" borderId="124" xfId="0" applyBorder="1" applyAlignment="1" applyProtection="1">
      <alignment horizontal="center"/>
      <protection/>
    </xf>
    <xf numFmtId="187" fontId="0" fillId="0" borderId="50" xfId="0" applyNumberFormat="1" applyFont="1" applyBorder="1" applyAlignment="1" applyProtection="1">
      <alignment horizontal="left"/>
      <protection/>
    </xf>
    <xf numFmtId="187" fontId="23" fillId="49" borderId="0" xfId="56" applyFont="1" applyFill="1" applyBorder="1" applyAlignment="1" applyProtection="1">
      <alignment horizontal="center" vertical="center"/>
      <protection/>
    </xf>
    <xf numFmtId="187" fontId="27" fillId="0" borderId="125" xfId="0" applyNumberFormat="1" applyFont="1" applyBorder="1" applyAlignment="1" applyProtection="1">
      <alignment horizontal="right"/>
      <protection/>
    </xf>
    <xf numFmtId="187" fontId="25" fillId="0" borderId="44" xfId="0" applyNumberFormat="1" applyFont="1" applyBorder="1" applyAlignment="1" applyProtection="1">
      <alignment horizontal="right"/>
      <protection/>
    </xf>
    <xf numFmtId="49" fontId="0" fillId="0" borderId="14" xfId="0" applyNumberForma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187" fontId="25" fillId="0" borderId="0" xfId="0" applyNumberFormat="1" applyFont="1" applyBorder="1" applyAlignment="1" applyProtection="1">
      <alignment horizontal="right"/>
      <protection/>
    </xf>
    <xf numFmtId="0" fontId="0" fillId="33" borderId="14" xfId="0" applyFill="1" applyBorder="1" applyAlignment="1" applyProtection="1">
      <alignment horizontal="center"/>
      <protection/>
    </xf>
    <xf numFmtId="189" fontId="0" fillId="0" borderId="14" xfId="90" applyNumberFormat="1" applyFont="1" applyFill="1" applyBorder="1" applyAlignment="1" applyProtection="1">
      <alignment horizontal="center"/>
      <protection locked="0"/>
    </xf>
    <xf numFmtId="187" fontId="25" fillId="0" borderId="125" xfId="0" applyNumberFormat="1" applyFont="1" applyBorder="1" applyAlignment="1" applyProtection="1">
      <alignment horizontal="right"/>
      <protection/>
    </xf>
    <xf numFmtId="187" fontId="0" fillId="0" borderId="14" xfId="0" applyNumberFormat="1" applyFont="1" applyBorder="1" applyAlignment="1" applyProtection="1">
      <alignment horizontal="center"/>
      <protection locked="0"/>
    </xf>
    <xf numFmtId="187" fontId="26" fillId="0" borderId="14" xfId="90" applyNumberFormat="1" applyFont="1" applyFill="1" applyBorder="1" applyAlignment="1" applyProtection="1">
      <alignment horizontal="center"/>
      <protection locked="0"/>
    </xf>
    <xf numFmtId="187" fontId="25" fillId="0" borderId="15" xfId="0" applyNumberFormat="1" applyFont="1" applyBorder="1" applyAlignment="1" applyProtection="1">
      <alignment horizontal="right"/>
      <protection/>
    </xf>
    <xf numFmtId="49" fontId="0" fillId="0" borderId="62" xfId="0" applyNumberFormat="1" applyFont="1" applyBorder="1" applyAlignment="1" applyProtection="1">
      <alignment horizontal="center"/>
      <protection locked="0"/>
    </xf>
    <xf numFmtId="0" fontId="101" fillId="43" borderId="15" xfId="0" applyFont="1" applyFill="1" applyBorder="1" applyAlignment="1" applyProtection="1">
      <alignment horizontal="center" vertical="center" wrapText="1"/>
      <protection/>
    </xf>
    <xf numFmtId="0" fontId="101" fillId="43" borderId="0" xfId="0" applyFont="1" applyFill="1" applyBorder="1" applyAlignment="1" applyProtection="1">
      <alignment horizontal="center" vertical="center" wrapText="1"/>
      <protection/>
    </xf>
    <xf numFmtId="188" fontId="0" fillId="0" borderId="62" xfId="0" applyNumberFormat="1" applyBorder="1" applyAlignment="1" applyProtection="1">
      <alignment horizontal="center"/>
      <protection locked="0"/>
    </xf>
    <xf numFmtId="187" fontId="0" fillId="0" borderId="80" xfId="90" applyNumberFormat="1" applyFont="1" applyFill="1" applyBorder="1" applyAlignment="1" applyProtection="1">
      <alignment horizontal="right"/>
      <protection/>
    </xf>
    <xf numFmtId="187" fontId="20" fillId="35" borderId="80" xfId="90" applyNumberFormat="1" applyFont="1" applyFill="1" applyBorder="1" applyAlignment="1" applyProtection="1">
      <alignment horizontal="center"/>
      <protection/>
    </xf>
    <xf numFmtId="189" fontId="20" fillId="35" borderId="80" xfId="90" applyNumberFormat="1" applyFont="1" applyFill="1" applyBorder="1" applyAlignment="1" applyProtection="1">
      <alignment horizontal="center"/>
      <protection/>
    </xf>
    <xf numFmtId="187" fontId="56" fillId="48" borderId="80" xfId="90" applyNumberFormat="1" applyFont="1" applyFill="1" applyBorder="1" applyAlignment="1" applyProtection="1">
      <alignment horizontal="center"/>
      <protection/>
    </xf>
    <xf numFmtId="187" fontId="2" fillId="49" borderId="0" xfId="56" applyFont="1" applyFill="1" applyBorder="1" applyAlignment="1" applyProtection="1">
      <alignment horizontal="center" vertical="center"/>
      <protection/>
    </xf>
    <xf numFmtId="187" fontId="4" fillId="35" borderId="0" xfId="68" applyFont="1" applyFill="1" applyBorder="1" applyAlignment="1" applyProtection="1">
      <alignment horizontal="center" vertical="center" wrapText="1"/>
      <protection/>
    </xf>
    <xf numFmtId="187" fontId="53" fillId="0" borderId="0" xfId="68" applyFont="1" applyFill="1" applyBorder="1" applyAlignment="1" applyProtection="1">
      <alignment horizontal="right" vertical="center"/>
      <protection/>
    </xf>
    <xf numFmtId="187" fontId="20" fillId="35" borderId="0" xfId="68" applyFont="1" applyFill="1" applyBorder="1" applyAlignment="1" applyProtection="1">
      <alignment horizontal="center" vertical="center" wrapText="1"/>
      <protection/>
    </xf>
    <xf numFmtId="209" fontId="20" fillId="35" borderId="80" xfId="90" applyNumberFormat="1" applyFont="1" applyFill="1" applyBorder="1" applyAlignment="1" applyProtection="1">
      <alignment horizontal="center" vertical="center"/>
      <protection/>
    </xf>
    <xf numFmtId="0" fontId="65" fillId="0" borderId="126" xfId="0" applyFont="1" applyFill="1" applyBorder="1" applyAlignment="1" applyProtection="1">
      <alignment horizontal="left" wrapText="1"/>
      <protection/>
    </xf>
    <xf numFmtId="0" fontId="65" fillId="0" borderId="127" xfId="0" applyFont="1" applyFill="1" applyBorder="1" applyAlignment="1" applyProtection="1">
      <alignment horizontal="left" wrapText="1"/>
      <protection/>
    </xf>
    <xf numFmtId="0" fontId="45" fillId="44" borderId="14" xfId="0" applyFont="1" applyFill="1" applyBorder="1" applyAlignment="1" applyProtection="1">
      <alignment horizontal="left" vertical="center" wrapText="1"/>
      <protection locked="0"/>
    </xf>
    <xf numFmtId="187" fontId="64" fillId="0" borderId="122" xfId="0" applyNumberFormat="1" applyFont="1" applyBorder="1" applyAlignment="1" applyProtection="1">
      <alignment horizontal="center" vertical="center" wrapText="1"/>
      <protection/>
    </xf>
    <xf numFmtId="0" fontId="0" fillId="0" borderId="128" xfId="0" applyBorder="1" applyAlignment="1" applyProtection="1">
      <alignment horizontal="center"/>
      <protection/>
    </xf>
    <xf numFmtId="187" fontId="19" fillId="0" borderId="0" xfId="0" applyNumberFormat="1" applyFont="1" applyBorder="1" applyAlignment="1" applyProtection="1">
      <alignment horizontal="center" wrapText="1"/>
      <protection/>
    </xf>
    <xf numFmtId="0" fontId="59" fillId="0" borderId="0" xfId="0" applyFont="1" applyBorder="1" applyAlignment="1" applyProtection="1">
      <alignment horizontal="center"/>
      <protection/>
    </xf>
    <xf numFmtId="0" fontId="66" fillId="44" borderId="14" xfId="0" applyFont="1" applyFill="1" applyBorder="1" applyAlignment="1" applyProtection="1">
      <alignment horizontal="left" vertical="center" wrapText="1"/>
      <protection locked="0"/>
    </xf>
    <xf numFmtId="0" fontId="62" fillId="33" borderId="129" xfId="0" applyFont="1" applyFill="1" applyBorder="1" applyAlignment="1" applyProtection="1">
      <alignment horizontal="left" vertical="center" wrapText="1"/>
      <protection locked="0"/>
    </xf>
    <xf numFmtId="0" fontId="62" fillId="33" borderId="130" xfId="0" applyFont="1" applyFill="1" applyBorder="1" applyAlignment="1" applyProtection="1">
      <alignment horizontal="left" vertical="center" wrapText="1"/>
      <protection locked="0"/>
    </xf>
    <xf numFmtId="0" fontId="62" fillId="33" borderId="131"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center" vertical="center" wrapText="1"/>
      <protection locked="0"/>
    </xf>
    <xf numFmtId="187" fontId="22" fillId="0" borderId="0" xfId="0" applyNumberFormat="1" applyFont="1" applyBorder="1" applyAlignment="1" applyProtection="1">
      <alignment horizontal="left"/>
      <protection/>
    </xf>
    <xf numFmtId="187" fontId="19" fillId="0" borderId="0" xfId="0" applyNumberFormat="1" applyFont="1" applyBorder="1" applyAlignment="1" applyProtection="1">
      <alignment horizontal="center"/>
      <protection/>
    </xf>
    <xf numFmtId="187" fontId="22" fillId="0" borderId="0" xfId="0" applyNumberFormat="1" applyFont="1" applyBorder="1" applyAlignment="1" applyProtection="1">
      <alignment horizontal="right"/>
      <protection/>
    </xf>
    <xf numFmtId="187" fontId="26" fillId="48" borderId="0" xfId="90" applyNumberFormat="1" applyFont="1" applyFill="1" applyBorder="1" applyAlignment="1" applyProtection="1">
      <alignment horizontal="center"/>
      <protection/>
    </xf>
    <xf numFmtId="0" fontId="45" fillId="0" borderId="127" xfId="0" applyFont="1" applyFill="1" applyBorder="1" applyAlignment="1" applyProtection="1">
      <alignment horizontal="center" vertical="center"/>
      <protection/>
    </xf>
    <xf numFmtId="0" fontId="68" fillId="0" borderId="0" xfId="0" applyFont="1" applyBorder="1" applyAlignment="1">
      <alignment horizontal="left" wrapText="1"/>
    </xf>
    <xf numFmtId="0" fontId="45" fillId="33" borderId="14" xfId="0" applyFont="1" applyFill="1" applyBorder="1" applyAlignment="1" applyProtection="1">
      <alignment horizontal="left" wrapText="1"/>
      <protection locked="0"/>
    </xf>
    <xf numFmtId="0" fontId="66" fillId="33" borderId="14" xfId="0" applyFont="1" applyFill="1" applyBorder="1" applyAlignment="1" applyProtection="1">
      <alignment horizontal="left" vertical="center" wrapText="1"/>
      <protection locked="0"/>
    </xf>
    <xf numFmtId="0" fontId="45" fillId="33" borderId="14" xfId="0" applyFont="1" applyFill="1" applyBorder="1" applyAlignment="1" applyProtection="1">
      <alignment horizontal="left" vertical="center" wrapText="1"/>
      <protection locked="0"/>
    </xf>
    <xf numFmtId="187" fontId="19" fillId="0" borderId="0" xfId="0" applyNumberFormat="1" applyFont="1" applyBorder="1" applyAlignment="1">
      <alignment horizontal="center"/>
    </xf>
    <xf numFmtId="0" fontId="59" fillId="0" borderId="0" xfId="0" applyFont="1" applyBorder="1" applyAlignment="1">
      <alignment horizontal="center"/>
    </xf>
    <xf numFmtId="0" fontId="45" fillId="33" borderId="62" xfId="0" applyFont="1" applyFill="1" applyBorder="1" applyAlignment="1" applyProtection="1">
      <alignment horizontal="left" wrapText="1"/>
      <protection locked="0"/>
    </xf>
    <xf numFmtId="0" fontId="19" fillId="0" borderId="0" xfId="0" applyFont="1" applyBorder="1" applyAlignment="1">
      <alignment horizontal="center"/>
    </xf>
    <xf numFmtId="187" fontId="23" fillId="49" borderId="0" xfId="66" applyFont="1" applyFill="1" applyBorder="1" applyAlignment="1">
      <alignment horizontal="center" vertical="center"/>
      <protection/>
    </xf>
    <xf numFmtId="187" fontId="22" fillId="0" borderId="0" xfId="0" applyNumberFormat="1" applyFont="1" applyBorder="1" applyAlignment="1">
      <alignment horizontal="left"/>
    </xf>
    <xf numFmtId="187" fontId="22" fillId="0" borderId="0" xfId="0" applyNumberFormat="1" applyFont="1" applyBorder="1" applyAlignment="1">
      <alignment horizontal="right"/>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9" fontId="22" fillId="0" borderId="11" xfId="75" applyFont="1" applyFill="1" applyBorder="1" applyAlignment="1" applyProtection="1">
      <alignment horizontal="center" vertical="center" wrapText="1"/>
      <protection/>
    </xf>
    <xf numFmtId="9" fontId="22" fillId="0" borderId="12" xfId="75" applyFont="1" applyFill="1" applyBorder="1" applyAlignment="1" applyProtection="1">
      <alignment horizontal="center" vertical="center" wrapText="1"/>
      <protection/>
    </xf>
    <xf numFmtId="9" fontId="22" fillId="0" borderId="132" xfId="75" applyFont="1" applyFill="1" applyBorder="1" applyAlignment="1" applyProtection="1">
      <alignment horizontal="center" vertical="center" wrapText="1"/>
      <protection/>
    </xf>
    <xf numFmtId="9" fontId="0" fillId="33" borderId="133" xfId="75" applyFont="1" applyFill="1" applyBorder="1" applyAlignment="1" applyProtection="1">
      <alignment horizontal="left" vertical="center" wrapText="1"/>
      <protection locked="0"/>
    </xf>
    <xf numFmtId="49" fontId="38" fillId="0" borderId="14" xfId="0" applyNumberFormat="1" applyFont="1" applyBorder="1" applyAlignment="1" applyProtection="1">
      <alignment vertical="center" wrapText="1"/>
      <protection/>
    </xf>
    <xf numFmtId="9" fontId="0" fillId="33" borderId="133" xfId="75" applyFont="1" applyFill="1" applyBorder="1" applyAlignment="1" applyProtection="1">
      <alignment horizontal="left" vertical="top" wrapText="1"/>
      <protection locked="0"/>
    </xf>
    <xf numFmtId="0" fontId="0" fillId="0" borderId="14" xfId="0" applyFont="1" applyBorder="1" applyAlignment="1" applyProtection="1">
      <alignment vertical="center" wrapText="1"/>
      <protection/>
    </xf>
    <xf numFmtId="0" fontId="4" fillId="0" borderId="72" xfId="0" applyFont="1" applyBorder="1" applyAlignment="1" applyProtection="1">
      <alignment horizontal="center"/>
      <protection/>
    </xf>
    <xf numFmtId="0" fontId="45" fillId="0" borderId="14" xfId="0" applyFont="1" applyBorder="1" applyAlignment="1" applyProtection="1">
      <alignment horizontal="center" vertical="center" wrapText="1"/>
      <protection/>
    </xf>
    <xf numFmtId="9" fontId="60" fillId="51" borderId="14" xfId="75" applyFont="1" applyFill="1" applyBorder="1" applyAlignment="1" applyProtection="1">
      <alignment horizontal="center" vertical="center" wrapText="1"/>
      <protection/>
    </xf>
    <xf numFmtId="9" fontId="60" fillId="52" borderId="14" xfId="75" applyFont="1" applyFill="1" applyBorder="1" applyAlignment="1" applyProtection="1">
      <alignment horizontal="center" vertical="center" wrapText="1"/>
      <protection/>
    </xf>
    <xf numFmtId="0" fontId="45" fillId="0" borderId="133" xfId="0" applyFont="1" applyBorder="1" applyAlignment="1" applyProtection="1">
      <alignment horizontal="center" vertical="center"/>
      <protection/>
    </xf>
    <xf numFmtId="0" fontId="38" fillId="0" borderId="14" xfId="0" applyFont="1" applyBorder="1" applyAlignment="1" applyProtection="1">
      <alignment vertical="center" wrapText="1"/>
      <protection/>
    </xf>
    <xf numFmtId="187" fontId="59" fillId="0" borderId="0" xfId="0" applyNumberFormat="1" applyFont="1" applyBorder="1" applyAlignment="1" applyProtection="1">
      <alignment horizontal="center"/>
      <protection/>
    </xf>
    <xf numFmtId="0" fontId="45" fillId="0" borderId="115" xfId="0" applyFont="1" applyBorder="1" applyAlignment="1" applyProtection="1">
      <alignment horizontal="left" vertical="center" wrapText="1"/>
      <protection/>
    </xf>
    <xf numFmtId="9" fontId="45" fillId="44" borderId="129" xfId="0" applyNumberFormat="1" applyFont="1" applyFill="1" applyBorder="1" applyAlignment="1" applyProtection="1">
      <alignment horizontal="left" vertical="center" wrapText="1"/>
      <protection locked="0"/>
    </xf>
    <xf numFmtId="0" fontId="45" fillId="44" borderId="130" xfId="0" applyFont="1" applyFill="1" applyBorder="1" applyAlignment="1" applyProtection="1">
      <alignment horizontal="left" vertical="center" wrapText="1"/>
      <protection locked="0"/>
    </xf>
    <xf numFmtId="0" fontId="45" fillId="44" borderId="131" xfId="0" applyFont="1" applyFill="1" applyBorder="1" applyAlignment="1" applyProtection="1">
      <alignment horizontal="left" vertical="center" wrapText="1"/>
      <protection locked="0"/>
    </xf>
    <xf numFmtId="0" fontId="45" fillId="44" borderId="134" xfId="0" applyFont="1" applyFill="1" applyBorder="1" applyAlignment="1" applyProtection="1">
      <alignment horizontal="left" vertical="center" wrapText="1"/>
      <protection locked="0"/>
    </xf>
    <xf numFmtId="0" fontId="45" fillId="44" borderId="135" xfId="0" applyFont="1" applyFill="1" applyBorder="1" applyAlignment="1" applyProtection="1">
      <alignment horizontal="left" vertical="center" wrapText="1"/>
      <protection locked="0"/>
    </xf>
    <xf numFmtId="0" fontId="45" fillId="44" borderId="136" xfId="0" applyFont="1" applyFill="1" applyBorder="1" applyAlignment="1" applyProtection="1">
      <alignment horizontal="left" vertical="center" wrapText="1"/>
      <protection locked="0"/>
    </xf>
    <xf numFmtId="0" fontId="45" fillId="44" borderId="137" xfId="0" applyFont="1" applyFill="1" applyBorder="1" applyAlignment="1" applyProtection="1">
      <alignment horizontal="left" vertical="center" wrapText="1"/>
      <protection locked="0"/>
    </xf>
    <xf numFmtId="187" fontId="23" fillId="49" borderId="0" xfId="66" applyFont="1" applyFill="1" applyBorder="1" applyAlignment="1" applyProtection="1">
      <alignment horizontal="center" vertical="center"/>
      <protection/>
    </xf>
    <xf numFmtId="187" fontId="26" fillId="48" borderId="0" xfId="91" applyNumberFormat="1" applyFont="1" applyFill="1" applyBorder="1" applyAlignment="1" applyProtection="1">
      <alignment horizontal="center"/>
      <protection/>
    </xf>
    <xf numFmtId="9" fontId="38" fillId="33" borderId="138" xfId="75" applyFont="1" applyFill="1" applyBorder="1" applyAlignment="1" applyProtection="1">
      <alignment horizontal="left" vertical="center" wrapText="1"/>
      <protection locked="0"/>
    </xf>
    <xf numFmtId="9" fontId="38" fillId="33" borderId="139" xfId="75" applyFont="1" applyFill="1" applyBorder="1" applyAlignment="1" applyProtection="1">
      <alignment horizontal="left" vertical="center" wrapText="1"/>
      <protection locked="0"/>
    </xf>
    <xf numFmtId="9" fontId="38" fillId="33" borderId="140" xfId="75" applyFont="1" applyFill="1" applyBorder="1" applyAlignment="1" applyProtection="1">
      <alignment horizontal="left" vertical="center" wrapText="1"/>
      <protection locked="0"/>
    </xf>
    <xf numFmtId="0" fontId="5" fillId="53" borderId="15" xfId="0" applyFont="1" applyFill="1" applyBorder="1" applyAlignment="1" applyProtection="1">
      <alignment horizontal="center" vertical="center" wrapText="1"/>
      <protection/>
    </xf>
    <xf numFmtId="0" fontId="5" fillId="53" borderId="0" xfId="0" applyFont="1" applyFill="1" applyBorder="1" applyAlignment="1" applyProtection="1">
      <alignment horizontal="center" vertical="center" wrapText="1"/>
      <protection/>
    </xf>
    <xf numFmtId="0" fontId="5" fillId="53" borderId="141" xfId="0" applyFont="1" applyFill="1" applyBorder="1" applyAlignment="1" applyProtection="1">
      <alignment horizontal="center" vertical="center" wrapText="1"/>
      <protection/>
    </xf>
    <xf numFmtId="9" fontId="1" fillId="0" borderId="142" xfId="75" applyNumberFormat="1" applyFont="1" applyFill="1" applyBorder="1" applyAlignment="1" applyProtection="1">
      <alignment horizontal="left" vertical="center" wrapText="1"/>
      <protection/>
    </xf>
    <xf numFmtId="0" fontId="1" fillId="33" borderId="143" xfId="0" applyFont="1" applyFill="1" applyBorder="1" applyAlignment="1" applyProtection="1">
      <alignment horizontal="center" vertical="top" wrapText="1"/>
      <protection locked="0"/>
    </xf>
    <xf numFmtId="0" fontId="1" fillId="33" borderId="144" xfId="0" applyFont="1" applyFill="1" applyBorder="1" applyAlignment="1" applyProtection="1">
      <alignment horizontal="center" vertical="top" wrapText="1"/>
      <protection locked="0"/>
    </xf>
    <xf numFmtId="0" fontId="8" fillId="0" borderId="145" xfId="0" applyNumberFormat="1" applyFont="1" applyFill="1" applyBorder="1" applyAlignment="1" applyProtection="1">
      <alignment horizontal="left" vertical="center" wrapText="1"/>
      <protection/>
    </xf>
    <xf numFmtId="0" fontId="1" fillId="33" borderId="146" xfId="0" applyFont="1" applyFill="1" applyBorder="1" applyAlignment="1" applyProtection="1">
      <alignment horizontal="center" vertical="top" wrapText="1"/>
      <protection locked="0"/>
    </xf>
    <xf numFmtId="0" fontId="1" fillId="0" borderId="142" xfId="75" applyNumberFormat="1" applyFont="1" applyFill="1" applyBorder="1" applyAlignment="1" applyProtection="1">
      <alignment horizontal="left" vertical="center" wrapText="1"/>
      <protection/>
    </xf>
    <xf numFmtId="0" fontId="8" fillId="0" borderId="147" xfId="0" applyNumberFormat="1" applyFont="1" applyFill="1" applyBorder="1" applyAlignment="1" applyProtection="1">
      <alignment horizontal="left" vertical="top" wrapText="1"/>
      <protection/>
    </xf>
    <xf numFmtId="0" fontId="1" fillId="35" borderId="148" xfId="0" applyFont="1" applyFill="1" applyBorder="1" applyAlignment="1" applyProtection="1">
      <alignment horizontal="center" vertical="top" wrapText="1"/>
      <protection locked="0"/>
    </xf>
    <xf numFmtId="0" fontId="8" fillId="0" borderId="149" xfId="0" applyNumberFormat="1" applyFont="1" applyFill="1" applyBorder="1" applyAlignment="1" applyProtection="1">
      <alignment horizontal="left" vertical="top" wrapText="1"/>
      <protection/>
    </xf>
    <xf numFmtId="0" fontId="1" fillId="35" borderId="150" xfId="0" applyFont="1" applyFill="1" applyBorder="1" applyAlignment="1" applyProtection="1">
      <alignment horizontal="center" vertical="top" wrapText="1"/>
      <protection locked="0"/>
    </xf>
    <xf numFmtId="193" fontId="73" fillId="37" borderId="107" xfId="0" applyNumberFormat="1" applyFont="1" applyFill="1" applyBorder="1" applyAlignment="1" applyProtection="1">
      <alignment horizontal="center" vertical="center"/>
      <protection/>
    </xf>
    <xf numFmtId="193" fontId="75" fillId="0" borderId="151" xfId="0" applyNumberFormat="1" applyFont="1" applyFill="1" applyBorder="1" applyAlignment="1" applyProtection="1">
      <alignment horizontal="center"/>
      <protection/>
    </xf>
    <xf numFmtId="193" fontId="76" fillId="33" borderId="116" xfId="0" applyNumberFormat="1" applyFont="1" applyFill="1" applyBorder="1" applyAlignment="1" applyProtection="1">
      <alignment horizontal="center" vertical="center"/>
      <protection/>
    </xf>
    <xf numFmtId="193" fontId="75" fillId="0" borderId="152" xfId="0" applyNumberFormat="1" applyFont="1" applyFill="1" applyBorder="1" applyAlignment="1" applyProtection="1">
      <alignment horizontal="center"/>
      <protection/>
    </xf>
    <xf numFmtId="193" fontId="87" fillId="35" borderId="153" xfId="0" applyNumberFormat="1" applyFont="1" applyFill="1" applyBorder="1" applyAlignment="1" applyProtection="1">
      <alignment horizontal="center" vertical="center"/>
      <protection/>
    </xf>
    <xf numFmtId="193" fontId="87" fillId="35" borderId="154" xfId="0" applyNumberFormat="1" applyFont="1" applyFill="1" applyBorder="1" applyAlignment="1" applyProtection="1">
      <alignment horizontal="center" vertical="center"/>
      <protection/>
    </xf>
    <xf numFmtId="0" fontId="8" fillId="0" borderId="155" xfId="0" applyNumberFormat="1" applyFont="1" applyFill="1" applyBorder="1" applyAlignment="1" applyProtection="1">
      <alignment horizontal="left" vertical="top" wrapText="1"/>
      <protection/>
    </xf>
    <xf numFmtId="0" fontId="1" fillId="35" borderId="156" xfId="0" applyFont="1" applyFill="1" applyBorder="1" applyAlignment="1" applyProtection="1">
      <alignment horizontal="center" vertical="top" wrapText="1"/>
      <protection locked="0"/>
    </xf>
    <xf numFmtId="0" fontId="8" fillId="0" borderId="157" xfId="0" applyNumberFormat="1" applyFont="1" applyFill="1" applyBorder="1" applyAlignment="1" applyProtection="1">
      <alignment horizontal="left" vertical="top" wrapText="1"/>
      <protection/>
    </xf>
    <xf numFmtId="49" fontId="1" fillId="34" borderId="158" xfId="0" applyNumberFormat="1" applyFont="1" applyFill="1" applyBorder="1" applyAlignment="1" applyProtection="1">
      <alignment horizontal="center" vertical="center" wrapText="1"/>
      <protection locked="0"/>
    </xf>
    <xf numFmtId="49" fontId="1" fillId="34" borderId="158" xfId="0" applyNumberFormat="1" applyFont="1" applyFill="1" applyBorder="1" applyAlignment="1" applyProtection="1">
      <alignment horizontal="center" vertical="center"/>
      <protection locked="0"/>
    </xf>
    <xf numFmtId="0" fontId="8" fillId="0" borderId="159" xfId="0" applyNumberFormat="1" applyFont="1" applyFill="1" applyBorder="1" applyAlignment="1" applyProtection="1">
      <alignment horizontal="left" vertical="top" wrapText="1"/>
      <protection/>
    </xf>
    <xf numFmtId="49" fontId="1" fillId="34" borderId="160" xfId="0" applyNumberFormat="1" applyFont="1" applyFill="1" applyBorder="1" applyAlignment="1" applyProtection="1">
      <alignment horizontal="center" vertical="center"/>
      <protection locked="0"/>
    </xf>
    <xf numFmtId="193" fontId="59" fillId="0" borderId="0" xfId="0" applyNumberFormat="1" applyFont="1" applyBorder="1" applyAlignment="1" applyProtection="1">
      <alignment horizontal="center"/>
      <protection/>
    </xf>
    <xf numFmtId="193" fontId="75" fillId="0" borderId="0" xfId="0" applyNumberFormat="1" applyFont="1" applyFill="1" applyBorder="1" applyAlignment="1" applyProtection="1">
      <alignment horizontal="center"/>
      <protection/>
    </xf>
    <xf numFmtId="193" fontId="76" fillId="34" borderId="17" xfId="0" applyNumberFormat="1" applyFont="1" applyFill="1" applyBorder="1" applyAlignment="1" applyProtection="1">
      <alignment horizontal="center" vertical="center"/>
      <protection/>
    </xf>
    <xf numFmtId="49" fontId="1" fillId="34" borderId="161" xfId="0" applyNumberFormat="1" applyFont="1" applyFill="1" applyBorder="1" applyAlignment="1" applyProtection="1">
      <alignment horizontal="center" vertical="center"/>
      <protection locked="0"/>
    </xf>
    <xf numFmtId="187" fontId="4" fillId="0" borderId="0" xfId="0" applyNumberFormat="1" applyFont="1" applyBorder="1" applyAlignment="1" applyProtection="1">
      <alignment horizontal="center"/>
      <protection/>
    </xf>
    <xf numFmtId="0" fontId="34" fillId="0" borderId="162" xfId="0" applyFont="1" applyFill="1" applyBorder="1" applyAlignment="1" applyProtection="1">
      <alignment horizontal="left"/>
      <protection locked="0"/>
    </xf>
    <xf numFmtId="0" fontId="34" fillId="0" borderId="163" xfId="0" applyFont="1" applyBorder="1" applyAlignment="1" applyProtection="1">
      <alignment horizontal="left"/>
      <protection locked="0"/>
    </xf>
    <xf numFmtId="0" fontId="34" fillId="0" borderId="164" xfId="0" applyFont="1" applyBorder="1" applyAlignment="1" applyProtection="1">
      <alignment horizontal="left"/>
      <protection locked="0"/>
    </xf>
    <xf numFmtId="0" fontId="34" fillId="0" borderId="165" xfId="0" applyFont="1" applyBorder="1" applyAlignment="1" applyProtection="1">
      <alignment horizontal="left"/>
      <protection locked="0"/>
    </xf>
    <xf numFmtId="0" fontId="34" fillId="0" borderId="166" xfId="0" applyFont="1" applyFill="1" applyBorder="1" applyAlignment="1" applyProtection="1">
      <alignment horizontal="left"/>
      <protection locked="0"/>
    </xf>
    <xf numFmtId="0" fontId="34" fillId="0" borderId="167" xfId="0" applyFont="1" applyBorder="1" applyAlignment="1" applyProtection="1">
      <alignment horizontal="left"/>
      <protection locked="0"/>
    </xf>
    <xf numFmtId="0" fontId="34" fillId="0" borderId="168" xfId="0" applyFont="1" applyBorder="1" applyAlignment="1" applyProtection="1">
      <alignment horizontal="left"/>
      <protection locked="0"/>
    </xf>
    <xf numFmtId="0" fontId="34" fillId="0" borderId="169" xfId="0" applyFont="1" applyBorder="1" applyAlignment="1" applyProtection="1">
      <alignment horizontal="left"/>
      <protection locked="0"/>
    </xf>
    <xf numFmtId="0" fontId="94" fillId="41" borderId="170" xfId="73" applyNumberFormat="1" applyFont="1" applyFill="1" applyBorder="1" applyAlignment="1">
      <alignment horizontal="center" vertical="center" wrapText="1"/>
      <protection/>
    </xf>
    <xf numFmtId="0" fontId="94" fillId="41" borderId="171" xfId="73" applyNumberFormat="1" applyFont="1" applyFill="1" applyBorder="1" applyAlignment="1">
      <alignment horizontal="center" vertical="center" wrapText="1"/>
      <protection/>
    </xf>
    <xf numFmtId="0" fontId="94" fillId="41" borderId="172" xfId="73" applyNumberFormat="1" applyFont="1" applyFill="1" applyBorder="1" applyAlignment="1">
      <alignment horizontal="center" vertical="center" wrapText="1"/>
      <protection/>
    </xf>
    <xf numFmtId="0" fontId="95" fillId="41" borderId="14" xfId="0" applyNumberFormat="1" applyFont="1" applyFill="1" applyBorder="1" applyAlignment="1">
      <alignment horizontal="center" vertical="center" textRotation="90"/>
    </xf>
    <xf numFmtId="0" fontId="34" fillId="0" borderId="173" xfId="0" applyFont="1" applyFill="1" applyBorder="1" applyAlignment="1" applyProtection="1">
      <alignment horizontal="left" vertical="top" wrapText="1"/>
      <protection locked="0"/>
    </xf>
    <xf numFmtId="0" fontId="34" fillId="0" borderId="174" xfId="0" applyFont="1" applyBorder="1" applyAlignment="1" applyProtection="1">
      <alignment horizontal="left"/>
      <protection locked="0"/>
    </xf>
    <xf numFmtId="0" fontId="34" fillId="0" borderId="103" xfId="0" applyFont="1" applyBorder="1" applyAlignment="1" applyProtection="1">
      <alignment horizontal="left"/>
      <protection locked="0"/>
    </xf>
    <xf numFmtId="0" fontId="34" fillId="0" borderId="175" xfId="0" applyFont="1" applyBorder="1" applyAlignment="1" applyProtection="1">
      <alignment horizontal="left"/>
      <protection locked="0"/>
    </xf>
    <xf numFmtId="0" fontId="34" fillId="0" borderId="176" xfId="0" applyFont="1" applyFill="1" applyBorder="1" applyAlignment="1" applyProtection="1">
      <alignment horizontal="left" vertical="center" wrapText="1"/>
      <protection locked="0"/>
    </xf>
    <xf numFmtId="0" fontId="34" fillId="0" borderId="167" xfId="0" applyFont="1" applyFill="1" applyBorder="1" applyAlignment="1" applyProtection="1">
      <alignment horizontal="left"/>
      <protection locked="0"/>
    </xf>
    <xf numFmtId="0" fontId="34" fillId="0" borderId="168" xfId="0" applyFont="1" applyFill="1" applyBorder="1" applyAlignment="1" applyProtection="1">
      <alignment horizontal="left"/>
      <protection locked="0"/>
    </xf>
    <xf numFmtId="0" fontId="34" fillId="0" borderId="169" xfId="0" applyFont="1" applyFill="1" applyBorder="1" applyAlignment="1" applyProtection="1">
      <alignment horizontal="left"/>
      <protection locked="0"/>
    </xf>
    <xf numFmtId="0" fontId="34" fillId="0" borderId="177" xfId="0" applyFont="1" applyFill="1" applyBorder="1" applyAlignment="1" applyProtection="1">
      <alignment horizontal="left" vertical="center" wrapText="1"/>
      <protection locked="0"/>
    </xf>
    <xf numFmtId="0" fontId="34" fillId="0" borderId="163" xfId="0" applyFont="1" applyFill="1" applyBorder="1" applyAlignment="1" applyProtection="1">
      <alignment horizontal="left"/>
      <protection locked="0"/>
    </xf>
    <xf numFmtId="0" fontId="34" fillId="0" borderId="164" xfId="0" applyFont="1" applyFill="1" applyBorder="1" applyAlignment="1" applyProtection="1">
      <alignment horizontal="left"/>
      <protection locked="0"/>
    </xf>
    <xf numFmtId="0" fontId="34" fillId="0" borderId="165" xfId="0" applyFont="1" applyFill="1" applyBorder="1" applyAlignment="1" applyProtection="1">
      <alignment horizontal="left"/>
      <protection locked="0"/>
    </xf>
    <xf numFmtId="0" fontId="34" fillId="0" borderId="178" xfId="0" applyFont="1" applyFill="1" applyBorder="1" applyAlignment="1" applyProtection="1">
      <alignment horizontal="left" wrapText="1"/>
      <protection locked="0"/>
    </xf>
    <xf numFmtId="0" fontId="34" fillId="0" borderId="167" xfId="0" applyFont="1" applyFill="1" applyBorder="1" applyAlignment="1" applyProtection="1">
      <alignment horizontal="left" wrapText="1"/>
      <protection locked="0"/>
    </xf>
    <xf numFmtId="0" fontId="34" fillId="0" borderId="168" xfId="0" applyFont="1" applyFill="1" applyBorder="1" applyAlignment="1" applyProtection="1">
      <alignment horizontal="left" wrapText="1"/>
      <protection locked="0"/>
    </xf>
    <xf numFmtId="0" fontId="33" fillId="0" borderId="179" xfId="0" applyFont="1" applyBorder="1" applyAlignment="1" applyProtection="1">
      <alignment horizontal="left" wrapText="1"/>
      <protection/>
    </xf>
    <xf numFmtId="0" fontId="34" fillId="0" borderId="180" xfId="0" applyFont="1" applyFill="1" applyBorder="1" applyAlignment="1" applyProtection="1">
      <alignment horizontal="left" wrapText="1"/>
      <protection locked="0"/>
    </xf>
    <xf numFmtId="0" fontId="34" fillId="0" borderId="181" xfId="0" applyFont="1" applyFill="1" applyBorder="1" applyAlignment="1" applyProtection="1">
      <alignment horizontal="left" wrapText="1"/>
      <protection locked="0"/>
    </xf>
    <xf numFmtId="0" fontId="34" fillId="0" borderId="167" xfId="0" applyFont="1" applyFill="1" applyBorder="1" applyAlignment="1" applyProtection="1">
      <alignment horizontal="left" vertical="top" wrapText="1"/>
      <protection locked="0"/>
    </xf>
    <xf numFmtId="0" fontId="0" fillId="33" borderId="14" xfId="0" applyFill="1" applyBorder="1" applyAlignment="1" applyProtection="1">
      <alignment horizontal="center"/>
      <protection locked="0"/>
    </xf>
    <xf numFmtId="187" fontId="26" fillId="48" borderId="0" xfId="92" applyNumberFormat="1" applyFont="1" applyFill="1" applyBorder="1" applyAlignment="1" applyProtection="1">
      <alignment horizontal="center"/>
      <protection locked="0"/>
    </xf>
    <xf numFmtId="187" fontId="2" fillId="49" borderId="0" xfId="56" applyFont="1" applyFill="1" applyBorder="1" applyAlignment="1">
      <alignment horizontal="center" vertical="center"/>
      <protection/>
    </xf>
    <xf numFmtId="0" fontId="4" fillId="0" borderId="0" xfId="0" applyFont="1" applyBorder="1" applyAlignment="1">
      <alignment horizontal="center"/>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rmal 2 2" xfId="57"/>
    <cellStyle name="Normal 2 3" xfId="58"/>
    <cellStyle name="Normal 2 4" xfId="59"/>
    <cellStyle name="Normal 2 5" xfId="60"/>
    <cellStyle name="Normal 2 6" xfId="61"/>
    <cellStyle name="Normal 2 7" xfId="62"/>
    <cellStyle name="Normal 2 8" xfId="63"/>
    <cellStyle name="Normal 2_Dashboard ver 2.2 ES" xfId="64"/>
    <cellStyle name="Normal 2_Ficticia HIV Dashboard_ES - Set Up and Maintenance Guide" xfId="65"/>
    <cellStyle name="Normal 2_Prototipo" xfId="66"/>
    <cellStyle name="Normal 3" xfId="67"/>
    <cellStyle name="Normal 4" xfId="68"/>
    <cellStyle name="Normal 5" xfId="69"/>
    <cellStyle name="Normal 6" xfId="70"/>
    <cellStyle name="Normal 7" xfId="71"/>
    <cellStyle name="Normal 8" xfId="72"/>
    <cellStyle name="Normal_TZ_R3HIV_Phase_2_21_August_08" xfId="73"/>
    <cellStyle name="Notas" xfId="74"/>
    <cellStyle name="Percent" xfId="75"/>
    <cellStyle name="Porcentual 2" xfId="76"/>
    <cellStyle name="Porcentual 3" xfId="77"/>
    <cellStyle name="Porcentual 4" xfId="78"/>
    <cellStyle name="Porcentual 5" xfId="79"/>
    <cellStyle name="Porcentual 6" xfId="80"/>
    <cellStyle name="Porcentual 7" xfId="81"/>
    <cellStyle name="Porcentual 8" xfId="82"/>
    <cellStyle name="Salida" xfId="83"/>
    <cellStyle name="Texto de advertencia" xfId="84"/>
    <cellStyle name="Texto explicativo" xfId="85"/>
    <cellStyle name="Título" xfId="86"/>
    <cellStyle name="Título 2" xfId="87"/>
    <cellStyle name="Título 3" xfId="88"/>
    <cellStyle name="Título 3 2" xfId="89"/>
    <cellStyle name="Título 3 3" xfId="90"/>
    <cellStyle name="Título 3 3_Prototipo" xfId="91"/>
    <cellStyle name="Título 3 3_PrototipoRep1" xfId="92"/>
    <cellStyle name="Título 3 4" xfId="93"/>
    <cellStyle name="Título 3 5" xfId="94"/>
    <cellStyle name="Título 3 6" xfId="95"/>
    <cellStyle name="Título 3 7" xfId="96"/>
    <cellStyle name="Título 3 8" xfId="97"/>
    <cellStyle name="Total" xfId="98"/>
  </cellStyles>
  <dxfs count="53">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theme="4" tint="0.7999799847602844"/>
          <bgColor theme="4" tint="0.7999799847602844"/>
        </patternFill>
      </fill>
    </dxf>
    <dxf>
      <font>
        <b/>
        <i val="0"/>
        <sz val="11"/>
        <color indexed="8"/>
      </font>
      <fill>
        <patternFill patternType="solid">
          <fgColor theme="4" tint="0.5999600291252136"/>
          <bgColor theme="4" tint="0.5999600291252136"/>
        </patternFill>
      </fill>
    </dxf>
    <dxf>
      <font>
        <b/>
        <i val="0"/>
        <sz val="11"/>
        <color indexed="9"/>
      </font>
      <fill>
        <patternFill patternType="solid">
          <fgColor theme="4" tint="0.3999499976634979"/>
          <bgColor theme="4" tint="0.399949997663497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19"/>
          <bgColor indexed="29"/>
        </patternFill>
      </fill>
    </dxf>
    <dxf>
      <font>
        <b val="0"/>
        <sz val="11"/>
        <color indexed="8"/>
      </font>
      <fill>
        <patternFill patternType="solid">
          <fgColor indexed="51"/>
          <bgColor indexed="13"/>
        </patternFill>
      </fill>
    </dxf>
    <dxf>
      <font>
        <b val="0"/>
        <sz val="11"/>
        <color indexed="8"/>
      </font>
      <fill>
        <patternFill patternType="solid">
          <fgColor indexed="4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26"/>
          <bgColor indexed="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32"/>
          <bgColor indexed="8"/>
        </patternFill>
      </fill>
    </dxf>
    <dxf>
      <font>
        <b val="0"/>
        <sz val="11"/>
        <color indexed="8"/>
      </font>
      <fill>
        <patternFill patternType="solid">
          <fgColor indexed="4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ED7D31"/>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theme="4" tint="0.3999499976634979"/>
          <bgColor theme="4" tint="0.3999499976634979"/>
        </patternFill>
      </fill>
      <border/>
    </dxf>
    <dxf>
      <font>
        <b/>
        <i val="0"/>
        <sz val="11"/>
        <color rgb="FF000000"/>
      </font>
      <fill>
        <patternFill patternType="solid">
          <fgColor theme="4" tint="0.5999600291252136"/>
          <bgColor theme="4" tint="0.5999600291252136"/>
        </patternFill>
      </fill>
      <border/>
    </dxf>
    <dxf>
      <font>
        <b/>
        <i val="0"/>
        <sz val="11"/>
        <color rgb="FF000000"/>
      </font>
      <fill>
        <patternFill patternType="solid">
          <fgColor theme="4" tint="0.7999799847602844"/>
          <bgColor theme="4"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D7D31"/>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88F"/>
      <rgbColor rgb="0000FFFF"/>
      <rgbColor rgb="00800080"/>
      <rgbColor rgb="00800000"/>
      <rgbColor rgb="00008080"/>
      <rgbColor rgb="000000FF"/>
      <rgbColor rgb="0000CCFF"/>
      <rgbColor rgb="00F2F2F2"/>
      <rgbColor rgb="00CCFFCC"/>
      <rgbColor rgb="00FFFF99"/>
      <rgbColor rgb="0099CCFF"/>
      <rgbColor rgb="00D9D9D9"/>
      <rgbColor rgb="00BFBFBF"/>
      <rgbColor rgb="00FFCC99"/>
      <rgbColor rgb="003366FF"/>
      <rgbColor rgb="0033CC33"/>
      <rgbColor rgb="0099CC00"/>
      <rgbColor rgb="00FFCC00"/>
      <rgbColor rgb="00FF9900"/>
      <rgbColor rgb="00FF6600"/>
      <rgbColor rgb="00666699"/>
      <rgbColor rgb="00A6A6A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975"/>
          <c:w val="0.925"/>
          <c:h val="0.78725"/>
        </c:manualLayout>
      </c:layout>
      <c:barChart>
        <c:barDir val="col"/>
        <c:grouping val="clustered"/>
        <c:varyColors val="0"/>
        <c:ser>
          <c:idx val="0"/>
          <c:order val="0"/>
          <c:tx>
            <c:v>Presupuesto</c:v>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939921</c:v>
                </c:pt>
                <c:pt idx="1">
                  <c:v>1647357</c:v>
                </c:pt>
                <c:pt idx="2">
                  <c:v>2000000</c:v>
                </c:pt>
                <c:pt idx="3">
                  <c:v>0</c:v>
                </c:pt>
                <c:pt idx="4">
                  <c:v>0</c:v>
                </c:pt>
                <c:pt idx="5">
                  <c:v>0</c:v>
                </c:pt>
                <c:pt idx="6">
                  <c:v>0</c:v>
                </c:pt>
                <c:pt idx="7">
                  <c:v>0</c:v>
                </c:pt>
                <c:pt idx="8">
                  <c:v>0</c:v>
                </c:pt>
                <c:pt idx="9">
                  <c:v>0</c:v>
                </c:pt>
                <c:pt idx="10">
                  <c:v>0</c:v>
                </c:pt>
                <c:pt idx="11">
                  <c:v>0</c:v>
                </c:pt>
              </c:numCache>
            </c:numRef>
          </c:val>
        </c:ser>
        <c:ser>
          <c:idx val="1"/>
          <c:order val="1"/>
          <c:tx>
            <c:v>Desembolso</c:v>
          </c:tx>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939921</c:v>
                </c:pt>
                <c:pt idx="1">
                  <c:v>1576540</c:v>
                </c:pt>
                <c:pt idx="2">
                  <c:v>1794011.28</c:v>
                </c:pt>
                <c:pt idx="3">
                  <c:v>0</c:v>
                </c:pt>
                <c:pt idx="4">
                  <c:v>0</c:v>
                </c:pt>
                <c:pt idx="5">
                  <c:v>0</c:v>
                </c:pt>
                <c:pt idx="6">
                  <c:v>0</c:v>
                </c:pt>
                <c:pt idx="7">
                  <c:v>0</c:v>
                </c:pt>
                <c:pt idx="8">
                  <c:v>0</c:v>
                </c:pt>
                <c:pt idx="9">
                  <c:v>0</c:v>
                </c:pt>
                <c:pt idx="10">
                  <c:v>0</c:v>
                </c:pt>
                <c:pt idx="11">
                  <c:v>0</c:v>
                </c:pt>
              </c:numCache>
            </c:numRef>
          </c:val>
        </c:ser>
        <c:gapWidth val="70"/>
        <c:axId val="1379706"/>
        <c:axId val="12417355"/>
      </c:barChart>
      <c:catAx>
        <c:axId val="137970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Calibri"/>
                <a:ea typeface="Calibri"/>
                <a:cs typeface="Calibri"/>
              </a:defRPr>
            </a:pPr>
          </a:p>
        </c:txPr>
        <c:crossAx val="12417355"/>
        <c:crossesAt val="0"/>
        <c:auto val="1"/>
        <c:lblOffset val="100"/>
        <c:tickLblSkip val="1"/>
        <c:noMultiLvlLbl val="0"/>
      </c:catAx>
      <c:valAx>
        <c:axId val="1241735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79706"/>
        <c:crossesAt val="1"/>
        <c:crossBetween val="between"/>
        <c:dispUnits/>
      </c:valAx>
      <c:dTable>
        <c:showHorzBorder val="1"/>
        <c:showVertBorder val="1"/>
        <c:showOutline val="1"/>
        <c:showKeys val="1"/>
        <c:spPr>
          <a:ln w="3175">
            <a:solidFill>
              <a:srgbClr val="808080"/>
            </a:solidFill>
          </a:ln>
        </c:spPr>
      </c:dTable>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6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2475"/>
          <c:w val="0.9125"/>
          <c:h val="0.77975"/>
        </c:manualLayout>
      </c:layout>
      <c:barChart>
        <c:barDir val="col"/>
        <c:grouping val="clustered"/>
        <c:varyColors val="0"/>
        <c:ser>
          <c:idx val="2"/>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datos'!$H$119:$Q$119</c:f>
              <c:numCache>
                <c:ptCount val="10"/>
                <c:pt idx="0">
                  <c:v>7332</c:v>
                </c:pt>
                <c:pt idx="1">
                  <c:v>4888</c:v>
                </c:pt>
                <c:pt idx="2">
                  <c:v>2444</c:v>
                </c:pt>
              </c:numCache>
            </c:numRef>
          </c:val>
        </c:ser>
        <c:ser>
          <c:idx val="0"/>
          <c:order val="1"/>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datos'!$H$115:$Q$115</c:f>
              <c:numCache>
                <c:ptCount val="10"/>
                <c:pt idx="0">
                  <c:v>7332</c:v>
                </c:pt>
                <c:pt idx="1">
                  <c:v>4888</c:v>
                </c:pt>
                <c:pt idx="2">
                  <c:v>2444</c:v>
                </c:pt>
              </c:numCache>
            </c:numRef>
          </c:val>
        </c:ser>
        <c:ser>
          <c:idx val="1"/>
          <c:order val="2"/>
          <c:tx>
            <c:v>Logro</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datos'!$H$116:$Q$116</c:f>
              <c:numCache>
                <c:ptCount val="10"/>
                <c:pt idx="0">
                  <c:v>3686</c:v>
                </c:pt>
                <c:pt idx="1">
                  <c:v>2610</c:v>
                </c:pt>
                <c:pt idx="2">
                  <c:v>2425</c:v>
                </c:pt>
              </c:numCache>
            </c:numRef>
          </c:val>
        </c:ser>
        <c:axId val="52991348"/>
        <c:axId val="7160085"/>
      </c:barChart>
      <c:catAx>
        <c:axId val="5299134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7160085"/>
        <c:crossesAt val="0"/>
        <c:auto val="1"/>
        <c:lblOffset val="100"/>
        <c:tickLblSkip val="1"/>
        <c:noMultiLvlLbl val="0"/>
      </c:catAx>
      <c:valAx>
        <c:axId val="716008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52991348"/>
        <c:crossesAt val="1"/>
        <c:crossBetween val="between"/>
        <c:dispUnits/>
      </c:valAx>
      <c:spPr>
        <a:noFill/>
        <a:ln>
          <a:noFill/>
        </a:ln>
      </c:spPr>
    </c:plotArea>
    <c:legend>
      <c:legendPos val="r"/>
      <c:layout>
        <c:manualLayout>
          <c:xMode val="edge"/>
          <c:yMode val="edge"/>
          <c:x val="0.88725"/>
          <c:y val="0.3845"/>
          <c:w val="0.086"/>
          <c:h val="0.190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11925"/>
          <c:w val="0.91375"/>
          <c:h val="0.81675"/>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datos'!$H$115:$Q$115</c:f>
              <c:numCache>
                <c:ptCount val="10"/>
                <c:pt idx="0">
                  <c:v>7332</c:v>
                </c:pt>
                <c:pt idx="1">
                  <c:v>4888</c:v>
                </c:pt>
                <c:pt idx="2">
                  <c:v>2444</c:v>
                </c:pt>
              </c:numCache>
            </c:numRef>
          </c:val>
        </c:ser>
        <c:ser>
          <c:idx val="1"/>
          <c:order val="1"/>
          <c:tx>
            <c:v>Logro</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datos'!$H$116:$Q$116</c:f>
              <c:numCache>
                <c:ptCount val="10"/>
                <c:pt idx="0">
                  <c:v>3686</c:v>
                </c:pt>
                <c:pt idx="1">
                  <c:v>2610</c:v>
                </c:pt>
                <c:pt idx="2">
                  <c:v>2425</c:v>
                </c:pt>
              </c:numCache>
            </c:numRef>
          </c:val>
        </c:ser>
        <c:axId val="64440766"/>
        <c:axId val="43095983"/>
      </c:barChart>
      <c:catAx>
        <c:axId val="6444076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3095983"/>
        <c:crossesAt val="0"/>
        <c:auto val="1"/>
        <c:lblOffset val="100"/>
        <c:tickLblSkip val="1"/>
        <c:noMultiLvlLbl val="0"/>
      </c:catAx>
      <c:valAx>
        <c:axId val="4309598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64440766"/>
        <c:crossesAt val="1"/>
        <c:crossBetween val="between"/>
        <c:dispUnits/>
      </c:valAx>
      <c:spPr>
        <a:noFill/>
        <a:ln>
          <a:noFill/>
        </a:ln>
      </c:spPr>
    </c:plotArea>
    <c:legend>
      <c:legendPos val="r"/>
      <c:layout>
        <c:manualLayout>
          <c:xMode val="edge"/>
          <c:yMode val="edge"/>
          <c:x val="0.88475"/>
          <c:y val="0.3855"/>
          <c:w val="0.08825"/>
          <c:h val="0.19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
          <c:w val="0.869"/>
          <c:h val="1"/>
        </c:manualLayout>
      </c:layout>
      <c:barChart>
        <c:barDir val="col"/>
        <c:grouping val="clustered"/>
        <c:varyColors val="0"/>
        <c:ser>
          <c:idx val="0"/>
          <c:order val="0"/>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datos'!$B$51:$B$55</c:f>
              <c:strCache>
                <c:ptCount val="5"/>
                <c:pt idx="0">
                  <c:v>Desembolsado por el Fondo Mundial</c:v>
                </c:pt>
                <c:pt idx="1">
                  <c:v>intereses</c:v>
                </c:pt>
                <c:pt idx="2">
                  <c:v>Gastos </c:v>
                </c:pt>
                <c:pt idx="3">
                  <c:v>Compromisos </c:v>
                </c:pt>
                <c:pt idx="4">
                  <c:v>Saldo en Caja al 31 de diciembre de 2018</c:v>
                </c:pt>
              </c:strCache>
            </c:strRef>
          </c:cat>
          <c:val>
            <c:numRef>
              <c:f>'Introducción de datos'!$D$51:$D$55</c:f>
              <c:numCache>
                <c:ptCount val="5"/>
                <c:pt idx="0">
                  <c:v>217471.28</c:v>
                </c:pt>
                <c:pt idx="1">
                  <c:v>5897.81</c:v>
                </c:pt>
                <c:pt idx="2">
                  <c:v>299245.27</c:v>
                </c:pt>
                <c:pt idx="3">
                  <c:v>162351.5</c:v>
                </c:pt>
                <c:pt idx="4">
                  <c:v>649616.93</c:v>
                </c:pt>
              </c:numCache>
            </c:numRef>
          </c:val>
        </c:ser>
        <c:axId val="44647332"/>
        <c:axId val="66281669"/>
      </c:barChart>
      <c:catAx>
        <c:axId val="446473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66281669"/>
        <c:crossesAt val="0"/>
        <c:auto val="1"/>
        <c:lblOffset val="100"/>
        <c:tickLblSkip val="1"/>
        <c:noMultiLvlLbl val="0"/>
      </c:catAx>
      <c:valAx>
        <c:axId val="66281669"/>
        <c:scaling>
          <c:orientation val="minMax"/>
        </c:scaling>
        <c:axPos val="l"/>
        <c:majorGridlines>
          <c:spPr>
            <a:ln w="3175">
              <a:solidFill>
                <a:srgbClr val="808080"/>
              </a:solidFill>
            </a:ln>
          </c:spPr>
        </c:majorGridlines>
        <c:delete val="0"/>
        <c:numFmt formatCode="[$$-340A]\ #,##0.0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44647332"/>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
          <c:y val="0.099"/>
          <c:w val="0.833"/>
          <c:h val="0.866"/>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datos'!$B$39:$B$44</c:f>
              <c:strCache>
                <c:ptCount val="6"/>
                <c:pt idx="0">
                  <c:v>Modulo 1: Control de Vectores</c:v>
                </c:pt>
                <c:pt idx="1">
                  <c:v>Modulo 2: Gestión de Casos</c:v>
                </c:pt>
                <c:pt idx="2">
                  <c:v>Modulo 3: Sistemas de información sanitaria y M &amp; E</c:v>
                </c:pt>
                <c:pt idx="3">
                  <c:v>Modulo 4: Salud Comunitaria</c:v>
                </c:pt>
                <c:pt idx="4">
                  <c:v>Modulo 5: Gestión de Programas</c:v>
                </c:pt>
              </c:strCache>
            </c:strRef>
          </c:cat>
          <c:val>
            <c:numRef>
              <c:f>'Introducción de datos'!$C$39:$C$44</c:f>
              <c:numCache>
                <c:ptCount val="6"/>
                <c:pt idx="0">
                  <c:v>598699</c:v>
                </c:pt>
                <c:pt idx="1">
                  <c:v>818418</c:v>
                </c:pt>
                <c:pt idx="2">
                  <c:v>135050</c:v>
                </c:pt>
                <c:pt idx="3">
                  <c:v>124100</c:v>
                </c:pt>
                <c:pt idx="4">
                  <c:v>323733</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datos'!$B$39:$B$44</c:f>
              <c:strCache>
                <c:ptCount val="6"/>
                <c:pt idx="0">
                  <c:v>Modulo 1: Control de Vectores</c:v>
                </c:pt>
                <c:pt idx="1">
                  <c:v>Modulo 2: Gestión de Casos</c:v>
                </c:pt>
                <c:pt idx="2">
                  <c:v>Modulo 3: Sistemas de información sanitaria y M &amp; E</c:v>
                </c:pt>
                <c:pt idx="3">
                  <c:v>Modulo 4: Salud Comunitaria</c:v>
                </c:pt>
                <c:pt idx="4">
                  <c:v>Modulo 5: Gestión de Programas</c:v>
                </c:pt>
              </c:strCache>
            </c:strRef>
          </c:cat>
          <c:val>
            <c:numRef>
              <c:f>'Introducción de datos'!$D$39:$D$44</c:f>
              <c:numCache>
                <c:ptCount val="6"/>
                <c:pt idx="0">
                  <c:v>363852.32</c:v>
                </c:pt>
                <c:pt idx="1">
                  <c:v>535852.26</c:v>
                </c:pt>
                <c:pt idx="2">
                  <c:v>71117.75</c:v>
                </c:pt>
                <c:pt idx="3">
                  <c:v>48669.4</c:v>
                </c:pt>
                <c:pt idx="4">
                  <c:v>151856.81999999998</c:v>
                </c:pt>
              </c:numCache>
            </c:numRef>
          </c:val>
        </c:ser>
        <c:gapWidth val="100"/>
        <c:axId val="59664110"/>
        <c:axId val="106079"/>
      </c:barChart>
      <c:catAx>
        <c:axId val="596641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106079"/>
        <c:crossesAt val="0"/>
        <c:auto val="1"/>
        <c:lblOffset val="100"/>
        <c:tickLblSkip val="1"/>
        <c:noMultiLvlLbl val="0"/>
      </c:catAx>
      <c:valAx>
        <c:axId val="106079"/>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59664110"/>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235"/>
          <c:w val="0.9505"/>
          <c:h val="0.6545"/>
        </c:manualLayout>
      </c:layout>
      <c:barChart>
        <c:barDir val="bar"/>
        <c:grouping val="percentStacked"/>
        <c:varyColors val="0"/>
        <c:ser>
          <c:idx val="0"/>
          <c:order val="0"/>
          <c:tx>
            <c:strRef>
              <c:f>'Introducción de datos'!$D$77</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datos'!$D$78</c:f>
              <c:numCache>
                <c:ptCount val="1"/>
                <c:pt idx="0">
                  <c:v>0</c:v>
                </c:pt>
              </c:numCache>
            </c:numRef>
          </c:val>
        </c:ser>
        <c:ser>
          <c:idx val="1"/>
          <c:order val="1"/>
          <c:tx>
            <c:strRef>
              <c:f>'Introducción de datos'!$E$77</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datos'!$E$78</c:f>
              <c:numCache>
                <c:ptCount val="1"/>
                <c:pt idx="0">
                  <c:v>0</c:v>
                </c:pt>
              </c:numCache>
            </c:numRef>
          </c:val>
        </c:ser>
        <c:overlap val="100"/>
        <c:gapWidth val="79"/>
        <c:axId val="954712"/>
        <c:axId val="8592409"/>
      </c:barChart>
      <c:catAx>
        <c:axId val="954712"/>
        <c:scaling>
          <c:orientation val="minMax"/>
        </c:scaling>
        <c:axPos val="l"/>
        <c:delete val="1"/>
        <c:majorTickMark val="out"/>
        <c:minorTickMark val="none"/>
        <c:tickLblPos val="nextTo"/>
        <c:crossAx val="8592409"/>
        <c:crossesAt val="0"/>
        <c:auto val="1"/>
        <c:lblOffset val="100"/>
        <c:tickLblSkip val="1"/>
        <c:noMultiLvlLbl val="0"/>
      </c:catAx>
      <c:valAx>
        <c:axId val="8592409"/>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954712"/>
        <c:crosses val="max"/>
        <c:crossBetween val="between"/>
        <c:dispUnits/>
      </c:valAx>
      <c:spPr>
        <a:solidFill>
          <a:srgbClr val="FFFFFF"/>
        </a:solidFill>
        <a:ln w="3175">
          <a:noFill/>
        </a:ln>
      </c:spPr>
    </c:plotArea>
    <c:legend>
      <c:legendPos val="r"/>
      <c:layout>
        <c:manualLayout>
          <c:xMode val="edge"/>
          <c:yMode val="edge"/>
          <c:x val="0.2365"/>
          <c:y val="0.672"/>
          <c:w val="0.4175"/>
          <c:h val="0.182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2575"/>
          <c:w val="0.9275"/>
          <c:h val="0.7045"/>
        </c:manualLayout>
      </c:layout>
      <c:barChart>
        <c:barDir val="col"/>
        <c:grouping val="clustered"/>
        <c:varyColors val="0"/>
        <c:ser>
          <c:idx val="0"/>
          <c:order val="0"/>
          <c:tx>
            <c:strRef>
              <c:f>'Introducción de datos'!$C$82</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datos'!$C$83</c:f>
              <c:numCache>
                <c:ptCount val="1"/>
                <c:pt idx="0">
                  <c:v>0</c:v>
                </c:pt>
              </c:numCache>
            </c:numRef>
          </c:val>
        </c:ser>
        <c:ser>
          <c:idx val="1"/>
          <c:order val="1"/>
          <c:tx>
            <c:strRef>
              <c:f>'Introducción de datos'!$D$82</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datos'!$D$83</c:f>
              <c:numCache>
                <c:ptCount val="1"/>
                <c:pt idx="0">
                  <c:v>0</c:v>
                </c:pt>
              </c:numCache>
            </c:numRef>
          </c:val>
        </c:ser>
        <c:ser>
          <c:idx val="2"/>
          <c:order val="2"/>
          <c:tx>
            <c:strRef>
              <c:f>'Introducción de datos'!$E$82</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datos'!$E$83</c:f>
              <c:numCache>
                <c:ptCount val="1"/>
                <c:pt idx="0">
                  <c:v>0</c:v>
                </c:pt>
              </c:numCache>
            </c:numRef>
          </c:val>
        </c:ser>
        <c:ser>
          <c:idx val="3"/>
          <c:order val="3"/>
          <c:tx>
            <c:strRef>
              <c:f>'Introducción de datos'!$F$82</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datos'!$F$83</c:f>
              <c:numCache>
                <c:ptCount val="1"/>
                <c:pt idx="0">
                  <c:v>0</c:v>
                </c:pt>
              </c:numCache>
            </c:numRef>
          </c:val>
        </c:ser>
        <c:ser>
          <c:idx val="4"/>
          <c:order val="4"/>
          <c:tx>
            <c:strRef>
              <c:f>'Introducción de datos'!$G$82</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datos'!$G$83</c:f>
              <c:numCache>
                <c:ptCount val="1"/>
                <c:pt idx="0">
                  <c:v>0</c:v>
                </c:pt>
              </c:numCache>
            </c:numRef>
          </c:val>
        </c:ser>
        <c:overlap val="-20"/>
        <c:axId val="10222818"/>
        <c:axId val="24896499"/>
      </c:barChart>
      <c:catAx>
        <c:axId val="10222818"/>
        <c:scaling>
          <c:orientation val="minMax"/>
        </c:scaling>
        <c:axPos val="b"/>
        <c:delete val="0"/>
        <c:numFmt formatCode="General" sourceLinked="1"/>
        <c:majorTickMark val="none"/>
        <c:minorTickMark val="none"/>
        <c:tickLblPos val="none"/>
        <c:spPr>
          <a:ln w="3175">
            <a:solidFill>
              <a:srgbClr val="000000"/>
            </a:solidFill>
          </a:ln>
        </c:spPr>
        <c:crossAx val="24896499"/>
        <c:crossesAt val="0"/>
        <c:auto val="0"/>
        <c:lblOffset val="100"/>
        <c:tickLblSkip val="1"/>
        <c:noMultiLvlLbl val="0"/>
      </c:catAx>
      <c:valAx>
        <c:axId val="248964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222818"/>
        <c:crossesAt val="1"/>
        <c:crossBetween val="between"/>
        <c:dispUnits/>
      </c:valAx>
      <c:spPr>
        <a:noFill/>
        <a:ln>
          <a:noFill/>
        </a:ln>
      </c:spPr>
    </c:plotArea>
    <c:legend>
      <c:legendPos val="r"/>
      <c:layout>
        <c:manualLayout>
          <c:xMode val="edge"/>
          <c:yMode val="edge"/>
          <c:x val="0.03575"/>
          <c:y val="0.74425"/>
          <c:w val="0.942"/>
          <c:h val="0.14275"/>
        </c:manualLayout>
      </c:layout>
      <c:overlay val="0"/>
      <c:spPr>
        <a:no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25"/>
          <c:y val="0.1095"/>
          <c:w val="0.76525"/>
          <c:h val="0.738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datos'!$D$71:$D$72</c:f>
              <c:numCache>
                <c:ptCount val="2"/>
                <c:pt idx="0">
                  <c:v>0</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datos'!$E$71:$E$72</c:f>
              <c:numCache>
                <c:ptCount val="2"/>
                <c:pt idx="0">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datos'!$F$71:$F$72</c:f>
              <c:numCache>
                <c:ptCount val="2"/>
                <c:pt idx="0">
                  <c:v>0</c:v>
                </c:pt>
              </c:numCache>
            </c:numRef>
          </c:val>
        </c:ser>
        <c:overlap val="100"/>
        <c:gapWidth val="70"/>
        <c:axId val="22741900"/>
        <c:axId val="3350509"/>
      </c:barChart>
      <c:catAx>
        <c:axId val="227419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50509"/>
        <c:crossesAt val="0"/>
        <c:auto val="1"/>
        <c:lblOffset val="100"/>
        <c:tickLblSkip val="1"/>
        <c:noMultiLvlLbl val="0"/>
      </c:catAx>
      <c:valAx>
        <c:axId val="3350509"/>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741900"/>
        <c:crossesAt val="1"/>
        <c:crossBetween val="between"/>
        <c:dispUnits/>
      </c:valAx>
      <c:spPr>
        <a:noFill/>
        <a:ln>
          <a:noFill/>
        </a:ln>
      </c:spPr>
    </c:plotArea>
    <c:legend>
      <c:legendPos val="r"/>
      <c:layout>
        <c:manualLayout>
          <c:xMode val="edge"/>
          <c:yMode val="edge"/>
          <c:x val="0.0095"/>
          <c:y val="0.741"/>
          <c:w val="0.932"/>
          <c:h val="0.172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15275"/>
          <c:w val="0.8"/>
          <c:h val="0.70675"/>
        </c:manualLayout>
      </c:layout>
      <c:barChart>
        <c:barDir val="bar"/>
        <c:grouping val="percentStacked"/>
        <c:varyColors val="0"/>
        <c:ser>
          <c:idx val="0"/>
          <c:order val="0"/>
          <c:tx>
            <c:strRef>
              <c:f>'Introducción de datos'!$D$87</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datos'!$B$88:$B$89</c:f>
              <c:strCache>
                <c:ptCount val="2"/>
                <c:pt idx="0">
                  <c:v>Sub SR al SR</c:v>
                </c:pt>
                <c:pt idx="1">
                  <c:v>Personal Técnico al RP</c:v>
                </c:pt>
              </c:strCache>
            </c:strRef>
          </c:cat>
          <c:val>
            <c:numRef>
              <c:f>'Introducción de datos'!$D$88:$D$89</c:f>
              <c:numCache>
                <c:ptCount val="2"/>
              </c:numCache>
            </c:numRef>
          </c:val>
        </c:ser>
        <c:ser>
          <c:idx val="1"/>
          <c:order val="1"/>
          <c:tx>
            <c:strRef>
              <c:f>'Introducción de datos'!$E$87</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datos'!$B$88:$B$89</c:f>
              <c:strCache>
                <c:ptCount val="2"/>
                <c:pt idx="0">
                  <c:v>Sub SR al SR</c:v>
                </c:pt>
                <c:pt idx="1">
                  <c:v>Personal Técnico al RP</c:v>
                </c:pt>
              </c:strCache>
            </c:strRef>
          </c:cat>
          <c:val>
            <c:numRef>
              <c:f>'Introducción de datos'!$E$88:$E$89</c:f>
              <c:numCache>
                <c:ptCount val="2"/>
                <c:pt idx="0">
                  <c:v>0</c:v>
                </c:pt>
                <c:pt idx="1">
                  <c:v>0</c:v>
                </c:pt>
              </c:numCache>
            </c:numRef>
          </c:val>
        </c:ser>
        <c:overlap val="100"/>
        <c:gapWidth val="79"/>
        <c:axId val="30154582"/>
        <c:axId val="2955783"/>
      </c:barChart>
      <c:catAx>
        <c:axId val="3015458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955783"/>
        <c:crossesAt val="0"/>
        <c:auto val="1"/>
        <c:lblOffset val="100"/>
        <c:tickLblSkip val="1"/>
        <c:noMultiLvlLbl val="0"/>
      </c:catAx>
      <c:valAx>
        <c:axId val="2955783"/>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0154582"/>
        <c:crosses val="max"/>
        <c:crossBetween val="between"/>
        <c:dispUnits/>
      </c:valAx>
      <c:spPr>
        <a:solidFill>
          <a:srgbClr val="FFFFFF"/>
        </a:solidFill>
        <a:ln w="3175">
          <a:noFill/>
        </a:ln>
      </c:spPr>
    </c:plotArea>
    <c:legend>
      <c:legendPos val="r"/>
      <c:layout>
        <c:manualLayout>
          <c:xMode val="edge"/>
          <c:yMode val="edge"/>
          <c:x val="0.29225"/>
          <c:y val="0.737"/>
          <c:w val="0.298"/>
          <c:h val="0.126"/>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12"/>
          <c:w val="0.858"/>
          <c:h val="0.6565"/>
        </c:manualLayout>
      </c:layout>
      <c:lineChart>
        <c:grouping val="standard"/>
        <c:varyColors val="0"/>
        <c:ser>
          <c:idx val="0"/>
          <c:order val="0"/>
          <c:tx>
            <c:v>Presupuesto</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datos'!$C$97:$N$97</c:f>
              <c:numCache>
                <c:ptCount val="12"/>
                <c:pt idx="0">
                  <c:v>298484</c:v>
                </c:pt>
                <c:pt idx="1">
                  <c:v>489854</c:v>
                </c:pt>
                <c:pt idx="2">
                  <c:v>541224</c:v>
                </c:pt>
                <c:pt idx="3">
                  <c:v>541224</c:v>
                </c:pt>
                <c:pt idx="9">
                  <c:v>0</c:v>
                </c:pt>
                <c:pt idx="10">
                  <c:v>0</c:v>
                </c:pt>
                <c:pt idx="11">
                  <c:v>0</c:v>
                </c:pt>
              </c:numCache>
            </c:numRef>
          </c:val>
          <c:smooth val="0"/>
        </c:ser>
        <c:ser>
          <c:idx val="1"/>
          <c:order val="1"/>
          <c:tx>
            <c:v>Obligaciones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datos'!$C$98:$N$98</c:f>
              <c:numCache>
                <c:ptCount val="12"/>
                <c:pt idx="0">
                  <c:v>0</c:v>
                </c:pt>
                <c:pt idx="1">
                  <c:v>0</c:v>
                </c:pt>
                <c:pt idx="2">
                  <c:v>0</c:v>
                </c:pt>
                <c:pt idx="3">
                  <c:v>0</c:v>
                </c:pt>
                <c:pt idx="9">
                  <c:v>0</c:v>
                </c:pt>
                <c:pt idx="10">
                  <c:v>0</c:v>
                </c:pt>
                <c:pt idx="11">
                  <c:v>0</c:v>
                </c:pt>
              </c:numCache>
            </c:numRef>
          </c:val>
          <c:smooth val="0"/>
        </c:ser>
        <c:ser>
          <c:idx val="2"/>
          <c:order val="2"/>
          <c:tx>
            <c:v>Gastos</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datos'!$C$99:$N$99</c:f>
              <c:numCache>
                <c:ptCount val="12"/>
                <c:pt idx="0">
                  <c:v>42577</c:v>
                </c:pt>
                <c:pt idx="1">
                  <c:v>201916</c:v>
                </c:pt>
                <c:pt idx="2">
                  <c:v>223142.16</c:v>
                </c:pt>
                <c:pt idx="3">
                  <c:v>223142.16</c:v>
                </c:pt>
                <c:pt idx="9">
                  <c:v>0</c:v>
                </c:pt>
                <c:pt idx="10">
                  <c:v>0</c:v>
                </c:pt>
                <c:pt idx="11">
                  <c:v>0</c:v>
                </c:pt>
              </c:numCache>
            </c:numRef>
          </c:val>
          <c:smooth val="0"/>
        </c:ser>
        <c:marker val="1"/>
        <c:axId val="26602048"/>
        <c:axId val="38091841"/>
      </c:lineChart>
      <c:catAx>
        <c:axId val="266020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38091841"/>
        <c:crossesAt val="0"/>
        <c:auto val="1"/>
        <c:lblOffset val="100"/>
        <c:tickLblSkip val="1"/>
        <c:noMultiLvlLbl val="0"/>
      </c:catAx>
      <c:valAx>
        <c:axId val="38091841"/>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26602048"/>
        <c:crossesAt val="1"/>
        <c:crossBetween val="midCat"/>
        <c:dispUnits/>
      </c:valAx>
      <c:spPr>
        <a:solidFill>
          <a:srgbClr val="FFFFFF"/>
        </a:solidFill>
        <a:ln w="12700">
          <a:solidFill>
            <a:srgbClr val="808080"/>
          </a:solidFill>
        </a:ln>
      </c:spPr>
    </c:plotArea>
    <c:legend>
      <c:legendPos val="r"/>
      <c:layout>
        <c:manualLayout>
          <c:xMode val="edge"/>
          <c:yMode val="edge"/>
          <c:x val="0.04575"/>
          <c:y val="0.72375"/>
          <c:w val="0.836"/>
          <c:h val="0.2017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
          <c:y val="0.1055"/>
          <c:w val="0.84275"/>
          <c:h val="0.7955"/>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datos'!$H$117:$Q$117</c:f>
              <c:numCache>
                <c:ptCount val="10"/>
                <c:pt idx="0">
                  <c:v>0.036</c:v>
                </c:pt>
                <c:pt idx="1">
                  <c:v>0.036</c:v>
                </c:pt>
                <c:pt idx="2">
                  <c:v>0.036</c:v>
                </c:pt>
              </c:numCache>
            </c:numRef>
          </c:val>
        </c:ser>
        <c:ser>
          <c:idx val="1"/>
          <c:order val="1"/>
          <c:tx>
            <c:v>Logro</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datos'!$H$118:$Q$118</c:f>
              <c:numCache>
                <c:ptCount val="10"/>
                <c:pt idx="0">
                  <c:v>0.1989</c:v>
                </c:pt>
                <c:pt idx="1">
                  <c:v>0.0095</c:v>
                </c:pt>
                <c:pt idx="2">
                  <c:v>0</c:v>
                </c:pt>
              </c:numCache>
            </c:numRef>
          </c:val>
        </c:ser>
        <c:axId val="7282250"/>
        <c:axId val="65540251"/>
      </c:barChart>
      <c:catAx>
        <c:axId val="728225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5540251"/>
        <c:crossesAt val="0"/>
        <c:auto val="1"/>
        <c:lblOffset val="100"/>
        <c:tickLblSkip val="1"/>
        <c:noMultiLvlLbl val="0"/>
      </c:catAx>
      <c:valAx>
        <c:axId val="6554025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7282250"/>
        <c:crossesAt val="1"/>
        <c:crossBetween val="between"/>
        <c:dispUnits/>
      </c:valAx>
      <c:spPr>
        <a:noFill/>
        <a:ln>
          <a:noFill/>
        </a:ln>
      </c:spPr>
    </c:plotArea>
    <c:legend>
      <c:legendPos val="r"/>
      <c:layout>
        <c:manualLayout>
          <c:xMode val="edge"/>
          <c:yMode val="edge"/>
          <c:x val="0.886"/>
          <c:y val="0.403"/>
          <c:w val="0.087"/>
          <c:h val="0.1717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hyperlink" Target="#Men&#250;!A1"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666750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667625" cy="2819400"/>
        </a:xfrm>
        <a:prstGeom prst="rect">
          <a:avLst/>
        </a:prstGeom>
        <a:noFill/>
        <a:ln w="9525" cmpd="sng">
          <a:noFill/>
        </a:ln>
      </xdr:spPr>
    </xdr:pic>
    <xdr:clientData/>
  </xdr:twoCellAnchor>
  <xdr:twoCellAnchor>
    <xdr:from>
      <xdr:col>7</xdr:col>
      <xdr:colOff>685800</xdr:colOff>
      <xdr:row>7</xdr:row>
      <xdr:rowOff>47625</xdr:rowOff>
    </xdr:from>
    <xdr:to>
      <xdr:col>11</xdr:col>
      <xdr:colOff>561975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66950"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57150</xdr:rowOff>
    </xdr:to>
    <xdr:sp>
      <xdr:nvSpPr>
        <xdr:cNvPr id="3" name="AutoShape 27"/>
        <xdr:cNvSpPr>
          <a:spLocks/>
        </xdr:cNvSpPr>
      </xdr:nvSpPr>
      <xdr:spPr>
        <a:xfrm>
          <a:off x="2619375" y="1914525"/>
          <a:ext cx="2581275" cy="2047875"/>
        </a:xfrm>
        <a:prstGeom prst="roundRect">
          <a:avLst/>
        </a:prstGeom>
        <a:gradFill rotWithShape="1">
          <a:gsLst>
            <a:gs pos="0">
              <a:srgbClr val="D48886"/>
            </a:gs>
            <a:gs pos="100000">
              <a:srgbClr val="B24B48"/>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600075</xdr:colOff>
      <xdr:row>12</xdr:row>
      <xdr:rowOff>38100</xdr:rowOff>
    </xdr:to>
    <xdr:sp>
      <xdr:nvSpPr>
        <xdr:cNvPr id="4" name="AutoShape 26"/>
        <xdr:cNvSpPr>
          <a:spLocks/>
        </xdr:cNvSpPr>
      </xdr:nvSpPr>
      <xdr:spPr>
        <a:xfrm>
          <a:off x="3409950" y="2428875"/>
          <a:ext cx="1076325" cy="3714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10</xdr:row>
      <xdr:rowOff>85725</xdr:rowOff>
    </xdr:from>
    <xdr:to>
      <xdr:col>6</xdr:col>
      <xdr:colOff>600075</xdr:colOff>
      <xdr:row>12</xdr:row>
      <xdr:rowOff>0</xdr:rowOff>
    </xdr:to>
    <xdr:sp>
      <xdr:nvSpPr>
        <xdr:cNvPr id="5" name="AutoShape 27">
          <a:hlinkClick r:id="rId3"/>
        </xdr:cNvPr>
        <xdr:cNvSpPr>
          <a:spLocks/>
        </xdr:cNvSpPr>
      </xdr:nvSpPr>
      <xdr:spPr>
        <a:xfrm>
          <a:off x="3448050" y="2466975"/>
          <a:ext cx="1038225"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57150</xdr:rowOff>
    </xdr:to>
    <xdr:sp>
      <xdr:nvSpPr>
        <xdr:cNvPr id="6" name="Freeform 28"/>
        <xdr:cNvSpPr>
          <a:spLocks/>
        </xdr:cNvSpPr>
      </xdr:nvSpPr>
      <xdr:spPr>
        <a:xfrm>
          <a:off x="3438525" y="2486025"/>
          <a:ext cx="104775" cy="1428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180975</xdr:rowOff>
    </xdr:from>
    <xdr:to>
      <xdr:col>6</xdr:col>
      <xdr:colOff>609600</xdr:colOff>
      <xdr:row>17</xdr:row>
      <xdr:rowOff>152400</xdr:rowOff>
    </xdr:to>
    <xdr:sp>
      <xdr:nvSpPr>
        <xdr:cNvPr id="7" name="AutoShape 26"/>
        <xdr:cNvSpPr>
          <a:spLocks/>
        </xdr:cNvSpPr>
      </xdr:nvSpPr>
      <xdr:spPr>
        <a:xfrm>
          <a:off x="3429000" y="3514725"/>
          <a:ext cx="1066800" cy="35242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114300</xdr:rowOff>
    </xdr:to>
    <xdr:sp>
      <xdr:nvSpPr>
        <xdr:cNvPr id="8" name="AutoShape 27">
          <a:hlinkClick r:id="rId4"/>
        </xdr:cNvPr>
        <xdr:cNvSpPr>
          <a:spLocks/>
        </xdr:cNvSpPr>
      </xdr:nvSpPr>
      <xdr:spPr>
        <a:xfrm>
          <a:off x="3448050" y="3562350"/>
          <a:ext cx="1057275" cy="266700"/>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457200</xdr:colOff>
      <xdr:row>16</xdr:row>
      <xdr:rowOff>190500</xdr:rowOff>
    </xdr:to>
    <xdr:sp>
      <xdr:nvSpPr>
        <xdr:cNvPr id="9" name="Freeform 28"/>
        <xdr:cNvSpPr>
          <a:spLocks/>
        </xdr:cNvSpPr>
      </xdr:nvSpPr>
      <xdr:spPr>
        <a:xfrm>
          <a:off x="3476625" y="3552825"/>
          <a:ext cx="1047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0</xdr:rowOff>
    </xdr:from>
    <xdr:to>
      <xdr:col>6</xdr:col>
      <xdr:colOff>600075</xdr:colOff>
      <xdr:row>15</xdr:row>
      <xdr:rowOff>0</xdr:rowOff>
    </xdr:to>
    <xdr:sp>
      <xdr:nvSpPr>
        <xdr:cNvPr id="10" name="AutoShape 26"/>
        <xdr:cNvSpPr>
          <a:spLocks/>
        </xdr:cNvSpPr>
      </xdr:nvSpPr>
      <xdr:spPr>
        <a:xfrm>
          <a:off x="3409950" y="2952750"/>
          <a:ext cx="1076325" cy="38100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13</xdr:row>
      <xdr:rowOff>38100</xdr:rowOff>
    </xdr:from>
    <xdr:to>
      <xdr:col>6</xdr:col>
      <xdr:colOff>600075</xdr:colOff>
      <xdr:row>14</xdr:row>
      <xdr:rowOff>161925</xdr:rowOff>
    </xdr:to>
    <xdr:sp>
      <xdr:nvSpPr>
        <xdr:cNvPr id="11" name="AutoShape 27">
          <a:hlinkClick r:id="rId5"/>
        </xdr:cNvPr>
        <xdr:cNvSpPr>
          <a:spLocks/>
        </xdr:cNvSpPr>
      </xdr:nvSpPr>
      <xdr:spPr>
        <a:xfrm>
          <a:off x="3448050" y="2990850"/>
          <a:ext cx="1038225" cy="31432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5</xdr:row>
      <xdr:rowOff>0</xdr:rowOff>
    </xdr:from>
    <xdr:to>
      <xdr:col>7</xdr:col>
      <xdr:colOff>390525</xdr:colOff>
      <xdr:row>6</xdr:row>
      <xdr:rowOff>47625</xdr:rowOff>
    </xdr:to>
    <xdr:sp>
      <xdr:nvSpPr>
        <xdr:cNvPr id="13" name="Rectangle 803"/>
        <xdr:cNvSpPr>
          <a:spLocks/>
        </xdr:cNvSpPr>
      </xdr:nvSpPr>
      <xdr:spPr>
        <a:xfrm>
          <a:off x="2705100" y="1428750"/>
          <a:ext cx="233362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304800</xdr:colOff>
      <xdr:row>11</xdr:row>
      <xdr:rowOff>0</xdr:rowOff>
    </xdr:from>
    <xdr:to>
      <xdr:col>11</xdr:col>
      <xdr:colOff>171450</xdr:colOff>
      <xdr:row>13</xdr:row>
      <xdr:rowOff>28575</xdr:rowOff>
    </xdr:to>
    <xdr:sp>
      <xdr:nvSpPr>
        <xdr:cNvPr id="14" name="AutoShape 30"/>
        <xdr:cNvSpPr>
          <a:spLocks/>
        </xdr:cNvSpPr>
      </xdr:nvSpPr>
      <xdr:spPr>
        <a:xfrm>
          <a:off x="5715000" y="2571750"/>
          <a:ext cx="1495425" cy="4095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361950</xdr:colOff>
      <xdr:row>11</xdr:row>
      <xdr:rowOff>47625</xdr:rowOff>
    </xdr:from>
    <xdr:to>
      <xdr:col>11</xdr:col>
      <xdr:colOff>152400</xdr:colOff>
      <xdr:row>13</xdr:row>
      <xdr:rowOff>0</xdr:rowOff>
    </xdr:to>
    <xdr:sp>
      <xdr:nvSpPr>
        <xdr:cNvPr id="15" name="AutoShape 31">
          <a:hlinkClick r:id="rId6"/>
        </xdr:cNvPr>
        <xdr:cNvSpPr>
          <a:spLocks/>
        </xdr:cNvSpPr>
      </xdr:nvSpPr>
      <xdr:spPr>
        <a:xfrm>
          <a:off x="5772150" y="2619375"/>
          <a:ext cx="1419225"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57150</xdr:rowOff>
    </xdr:from>
    <xdr:to>
      <xdr:col>8</xdr:col>
      <xdr:colOff>495300</xdr:colOff>
      <xdr:row>12</xdr:row>
      <xdr:rowOff>47625</xdr:rowOff>
    </xdr:to>
    <xdr:sp>
      <xdr:nvSpPr>
        <xdr:cNvPr id="16" name="Freeform 32"/>
        <xdr:cNvSpPr>
          <a:spLocks/>
        </xdr:cNvSpPr>
      </xdr:nvSpPr>
      <xdr:spPr>
        <a:xfrm>
          <a:off x="5762625" y="2628900"/>
          <a:ext cx="142875" cy="1809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238125</xdr:colOff>
      <xdr:row>7</xdr:row>
      <xdr:rowOff>85725</xdr:rowOff>
    </xdr:from>
    <xdr:to>
      <xdr:col>4</xdr:col>
      <xdr:colOff>95250</xdr:colOff>
      <xdr:row>18</xdr:row>
      <xdr:rowOff>114300</xdr:rowOff>
    </xdr:to>
    <xdr:sp>
      <xdr:nvSpPr>
        <xdr:cNvPr id="17" name="AutoShape 31"/>
        <xdr:cNvSpPr>
          <a:spLocks/>
        </xdr:cNvSpPr>
      </xdr:nvSpPr>
      <xdr:spPr>
        <a:xfrm>
          <a:off x="314325" y="1895475"/>
          <a:ext cx="2143125" cy="2124075"/>
        </a:xfrm>
        <a:prstGeom prst="roundRect">
          <a:avLst/>
        </a:prstGeom>
        <a:gradFill rotWithShape="1">
          <a:gsLst>
            <a:gs pos="0">
              <a:srgbClr val="87AFD3"/>
            </a:gs>
            <a:gs pos="100000">
              <a:srgbClr val="4C7BB4"/>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14</xdr:row>
      <xdr:rowOff>57150</xdr:rowOff>
    </xdr:from>
    <xdr:to>
      <xdr:col>11</xdr:col>
      <xdr:colOff>152400</xdr:colOff>
      <xdr:row>16</xdr:row>
      <xdr:rowOff>76200</xdr:rowOff>
    </xdr:to>
    <xdr:sp>
      <xdr:nvSpPr>
        <xdr:cNvPr id="19" name="AutoShape 30"/>
        <xdr:cNvSpPr>
          <a:spLocks/>
        </xdr:cNvSpPr>
      </xdr:nvSpPr>
      <xdr:spPr>
        <a:xfrm>
          <a:off x="5705475" y="3200400"/>
          <a:ext cx="1485900" cy="4000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14</xdr:row>
      <xdr:rowOff>104775</xdr:rowOff>
    </xdr:from>
    <xdr:to>
      <xdr:col>11</xdr:col>
      <xdr:colOff>104775</xdr:colOff>
      <xdr:row>16</xdr:row>
      <xdr:rowOff>76200</xdr:rowOff>
    </xdr:to>
    <xdr:sp>
      <xdr:nvSpPr>
        <xdr:cNvPr id="20" name="AutoShape 31">
          <a:hlinkClick r:id="rId7"/>
        </xdr:cNvPr>
        <xdr:cNvSpPr>
          <a:spLocks/>
        </xdr:cNvSpPr>
      </xdr:nvSpPr>
      <xdr:spPr>
        <a:xfrm>
          <a:off x="5753100" y="3248025"/>
          <a:ext cx="1390650" cy="35242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133350</xdr:rowOff>
    </xdr:from>
    <xdr:to>
      <xdr:col>8</xdr:col>
      <xdr:colOff>476250</xdr:colOff>
      <xdr:row>15</xdr:row>
      <xdr:rowOff>104775</xdr:rowOff>
    </xdr:to>
    <xdr:sp>
      <xdr:nvSpPr>
        <xdr:cNvPr id="21" name="Freeform 32"/>
        <xdr:cNvSpPr>
          <a:spLocks/>
        </xdr:cNvSpPr>
      </xdr:nvSpPr>
      <xdr:spPr>
        <a:xfrm>
          <a:off x="5743575" y="3276600"/>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15</xdr:row>
      <xdr:rowOff>142875</xdr:rowOff>
    </xdr:from>
    <xdr:to>
      <xdr:col>3</xdr:col>
      <xdr:colOff>495300</xdr:colOff>
      <xdr:row>18</xdr:row>
      <xdr:rowOff>9525</xdr:rowOff>
    </xdr:to>
    <xdr:sp>
      <xdr:nvSpPr>
        <xdr:cNvPr id="22" name="AutoShape 30"/>
        <xdr:cNvSpPr>
          <a:spLocks/>
        </xdr:cNvSpPr>
      </xdr:nvSpPr>
      <xdr:spPr>
        <a:xfrm>
          <a:off x="600075" y="3476625"/>
          <a:ext cx="1495425" cy="4381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542925</xdr:colOff>
      <xdr:row>15</xdr:row>
      <xdr:rowOff>180975</xdr:rowOff>
    </xdr:from>
    <xdr:to>
      <xdr:col>3</xdr:col>
      <xdr:colOff>476250</xdr:colOff>
      <xdr:row>17</xdr:row>
      <xdr:rowOff>180975</xdr:rowOff>
    </xdr:to>
    <xdr:sp>
      <xdr:nvSpPr>
        <xdr:cNvPr id="23" name="AutoShape 31">
          <a:hlinkClick r:id="rId8"/>
        </xdr:cNvPr>
        <xdr:cNvSpPr>
          <a:spLocks/>
        </xdr:cNvSpPr>
      </xdr:nvSpPr>
      <xdr:spPr>
        <a:xfrm>
          <a:off x="619125" y="3514725"/>
          <a:ext cx="1457325" cy="3810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723900</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10</xdr:row>
      <xdr:rowOff>28575</xdr:rowOff>
    </xdr:from>
    <xdr:to>
      <xdr:col>3</xdr:col>
      <xdr:colOff>495300</xdr:colOff>
      <xdr:row>12</xdr:row>
      <xdr:rowOff>9525</xdr:rowOff>
    </xdr:to>
    <xdr:sp>
      <xdr:nvSpPr>
        <xdr:cNvPr id="25" name="AutoShape 30"/>
        <xdr:cNvSpPr>
          <a:spLocks/>
        </xdr:cNvSpPr>
      </xdr:nvSpPr>
      <xdr:spPr>
        <a:xfrm>
          <a:off x="600075" y="2409825"/>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542925</xdr:colOff>
      <xdr:row>10</xdr:row>
      <xdr:rowOff>57150</xdr:rowOff>
    </xdr:from>
    <xdr:to>
      <xdr:col>3</xdr:col>
      <xdr:colOff>476250</xdr:colOff>
      <xdr:row>11</xdr:row>
      <xdr:rowOff>180975</xdr:rowOff>
    </xdr:to>
    <xdr:sp>
      <xdr:nvSpPr>
        <xdr:cNvPr id="26" name="AutoShape 31">
          <a:hlinkClick r:id="rId9"/>
        </xdr:cNvPr>
        <xdr:cNvSpPr>
          <a:spLocks/>
        </xdr:cNvSpPr>
      </xdr:nvSpPr>
      <xdr:spPr>
        <a:xfrm>
          <a:off x="619125" y="2438400"/>
          <a:ext cx="1457325" cy="314325"/>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723900</xdr:colOff>
      <xdr:row>11</xdr:row>
      <xdr:rowOff>47625</xdr:rowOff>
    </xdr:to>
    <xdr:sp>
      <xdr:nvSpPr>
        <xdr:cNvPr id="27" name="Freeform 32"/>
        <xdr:cNvSpPr>
          <a:spLocks/>
        </xdr:cNvSpPr>
      </xdr:nvSpPr>
      <xdr:spPr>
        <a:xfrm>
          <a:off x="647700" y="24669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13</xdr:row>
      <xdr:rowOff>0</xdr:rowOff>
    </xdr:from>
    <xdr:to>
      <xdr:col>3</xdr:col>
      <xdr:colOff>495300</xdr:colOff>
      <xdr:row>14</xdr:row>
      <xdr:rowOff>171450</xdr:rowOff>
    </xdr:to>
    <xdr:sp>
      <xdr:nvSpPr>
        <xdr:cNvPr id="28" name="AutoShape 30"/>
        <xdr:cNvSpPr>
          <a:spLocks/>
        </xdr:cNvSpPr>
      </xdr:nvSpPr>
      <xdr:spPr>
        <a:xfrm>
          <a:off x="600075" y="2952750"/>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542925</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19125" y="2981325"/>
          <a:ext cx="1457325"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723900</xdr:colOff>
      <xdr:row>14</xdr:row>
      <xdr:rowOff>9525</xdr:rowOff>
    </xdr:to>
    <xdr:sp>
      <xdr:nvSpPr>
        <xdr:cNvPr id="30" name="Freeform 32"/>
        <xdr:cNvSpPr>
          <a:spLocks/>
        </xdr:cNvSpPr>
      </xdr:nvSpPr>
      <xdr:spPr>
        <a:xfrm>
          <a:off x="647700" y="30003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57150</xdr:rowOff>
    </xdr:from>
    <xdr:to>
      <xdr:col>4</xdr:col>
      <xdr:colOff>95250</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66900"/>
          <a:ext cx="2124075" cy="457200"/>
        </a:xfrm>
        <a:prstGeom prst="rect">
          <a:avLst/>
        </a:prstGeom>
        <a:noFill/>
        <a:ln w="9525" cmpd="sng">
          <a:noFill/>
        </a:ln>
      </xdr:spPr>
    </xdr:pic>
    <xdr:clientData/>
  </xdr:twoCellAnchor>
  <xdr:twoCellAnchor>
    <xdr:from>
      <xdr:col>1</xdr:col>
      <xdr:colOff>323850</xdr:colOff>
      <xdr:row>7</xdr:row>
      <xdr:rowOff>104775</xdr:rowOff>
    </xdr:from>
    <xdr:to>
      <xdr:col>4</xdr:col>
      <xdr:colOff>76200</xdr:colOff>
      <xdr:row>10</xdr:row>
      <xdr:rowOff>0</xdr:rowOff>
    </xdr:to>
    <xdr:sp fLocksText="0">
      <xdr:nvSpPr>
        <xdr:cNvPr id="32" name="Text Box 2013"/>
        <xdr:cNvSpPr txBox="1">
          <a:spLocks noChangeArrowheads="1"/>
        </xdr:cNvSpPr>
      </xdr:nvSpPr>
      <xdr:spPr>
        <a:xfrm>
          <a:off x="400050" y="1914525"/>
          <a:ext cx="203835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238125</xdr:colOff>
      <xdr:row>7</xdr:row>
      <xdr:rowOff>57150</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0325" y="1866900"/>
          <a:ext cx="2609850" cy="457200"/>
        </a:xfrm>
        <a:prstGeom prst="rect">
          <a:avLst/>
        </a:prstGeom>
        <a:noFill/>
        <a:ln w="9525" cmpd="sng">
          <a:noFill/>
        </a:ln>
      </xdr:spPr>
    </xdr:pic>
    <xdr:clientData/>
  </xdr:twoCellAnchor>
  <xdr:twoCellAnchor>
    <xdr:from>
      <xdr:col>4</xdr:col>
      <xdr:colOff>619125</xdr:colOff>
      <xdr:row>7</xdr:row>
      <xdr:rowOff>104775</xdr:rowOff>
    </xdr:from>
    <xdr:to>
      <xdr:col>7</xdr:col>
      <xdr:colOff>285750</xdr:colOff>
      <xdr:row>9</xdr:row>
      <xdr:rowOff>104775</xdr:rowOff>
    </xdr:to>
    <xdr:sp fLocksText="0">
      <xdr:nvSpPr>
        <xdr:cNvPr id="34" name="Text Box 2017"/>
        <xdr:cNvSpPr txBox="1">
          <a:spLocks noChangeArrowheads="1"/>
        </xdr:cNvSpPr>
      </xdr:nvSpPr>
      <xdr:spPr>
        <a:xfrm>
          <a:off x="2981325" y="1914525"/>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723900</xdr:colOff>
      <xdr:row>7</xdr:row>
      <xdr:rowOff>76200</xdr:rowOff>
    </xdr:from>
    <xdr:to>
      <xdr:col>11</xdr:col>
      <xdr:colOff>523875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72100" y="1885950"/>
          <a:ext cx="2190750" cy="438150"/>
        </a:xfrm>
        <a:prstGeom prst="rect">
          <a:avLst/>
        </a:prstGeom>
        <a:noFill/>
        <a:ln w="9525" cmpd="sng">
          <a:noFill/>
        </a:ln>
      </xdr:spPr>
    </xdr:pic>
    <xdr:clientData/>
  </xdr:twoCellAnchor>
  <xdr:twoCellAnchor>
    <xdr:from>
      <xdr:col>8</xdr:col>
      <xdr:colOff>76200</xdr:colOff>
      <xdr:row>7</xdr:row>
      <xdr:rowOff>104775</xdr:rowOff>
    </xdr:from>
    <xdr:to>
      <xdr:col>11</xdr:col>
      <xdr:colOff>447675</xdr:colOff>
      <xdr:row>9</xdr:row>
      <xdr:rowOff>104775</xdr:rowOff>
    </xdr:to>
    <xdr:sp fLocksText="0">
      <xdr:nvSpPr>
        <xdr:cNvPr id="36" name="Text Box 2019"/>
        <xdr:cNvSpPr txBox="1">
          <a:spLocks noChangeArrowheads="1"/>
        </xdr:cNvSpPr>
      </xdr:nvSpPr>
      <xdr:spPr>
        <a:xfrm>
          <a:off x="5486400" y="1914525"/>
          <a:ext cx="20002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676275</xdr:colOff>
      <xdr:row>0</xdr:row>
      <xdr:rowOff>352425</xdr:rowOff>
    </xdr:to>
    <xdr:sp>
      <xdr:nvSpPr>
        <xdr:cNvPr id="1" name="AutoShape 50">
          <a:hlinkClick r:id="rId1"/>
        </xdr:cNvPr>
        <xdr:cNvSpPr>
          <a:spLocks/>
        </xdr:cNvSpPr>
      </xdr:nvSpPr>
      <xdr:spPr>
        <a:xfrm>
          <a:off x="38100" y="28575"/>
          <a:ext cx="914400" cy="31432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257175"/>
          <a:ext cx="7429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0</xdr:row>
      <xdr:rowOff>428625</xdr:rowOff>
    </xdr:to>
    <xdr:sp>
      <xdr:nvSpPr>
        <xdr:cNvPr id="1" name="AutoShape 50">
          <a:hlinkClick r:id="rId1"/>
        </xdr:cNvPr>
        <xdr:cNvSpPr>
          <a:spLocks/>
        </xdr:cNvSpPr>
      </xdr:nvSpPr>
      <xdr:spPr>
        <a:xfrm>
          <a:off x="28575" y="28575"/>
          <a:ext cx="1276350" cy="390525"/>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44350" y="4448175"/>
          <a:ext cx="0" cy="2286000"/>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152400</xdr:colOff>
      <xdr:row>0</xdr:row>
      <xdr:rowOff>0</xdr:rowOff>
    </xdr:from>
    <xdr:to>
      <xdr:col>1</xdr:col>
      <xdr:colOff>933450</xdr:colOff>
      <xdr:row>0</xdr:row>
      <xdr:rowOff>333375</xdr:rowOff>
    </xdr:to>
    <xdr:sp>
      <xdr:nvSpPr>
        <xdr:cNvPr id="2" name="AutoShape 50">
          <a:hlinkClick r:id="rId1"/>
        </xdr:cNvPr>
        <xdr:cNvSpPr>
          <a:spLocks/>
        </xdr:cNvSpPr>
      </xdr:nvSpPr>
      <xdr:spPr>
        <a:xfrm>
          <a:off x="152400" y="0"/>
          <a:ext cx="9525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46</xdr:row>
      <xdr:rowOff>38100</xdr:rowOff>
    </xdr:from>
    <xdr:to>
      <xdr:col>6</xdr:col>
      <xdr:colOff>971550</xdr:colOff>
      <xdr:row>47</xdr:row>
      <xdr:rowOff>47625</xdr:rowOff>
    </xdr:to>
    <xdr:grpSp>
      <xdr:nvGrpSpPr>
        <xdr:cNvPr id="3" name="Group 18"/>
        <xdr:cNvGrpSpPr>
          <a:grpSpLocks/>
        </xdr:cNvGrpSpPr>
      </xdr:nvGrpSpPr>
      <xdr:grpSpPr>
        <a:xfrm>
          <a:off x="7943850" y="7962900"/>
          <a:ext cx="4829175" cy="200025"/>
          <a:chOff x="13233" y="13364"/>
          <a:chExt cx="8041" cy="298"/>
        </a:xfrm>
        <a:solidFill>
          <a:srgbClr val="FFFFFF"/>
        </a:solidFill>
      </xdr:grpSpPr>
      <xdr:sp>
        <xdr:nvSpPr>
          <xdr:cNvPr id="4" name="AutoShape 100"/>
          <xdr:cNvSpPr>
            <a:spLocks/>
          </xdr:cNvSpPr>
        </xdr:nvSpPr>
        <xdr:spPr>
          <a:xfrm>
            <a:off x="13253" y="13643"/>
            <a:ext cx="8017"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3233" y="13364"/>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1274" y="13389"/>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1171575</xdr:colOff>
      <xdr:row>2</xdr:row>
      <xdr:rowOff>447675</xdr:rowOff>
    </xdr:to>
    <xdr:sp>
      <xdr:nvSpPr>
        <xdr:cNvPr id="1" name="Rectangle 117">
          <a:hlinkClick r:id="rId1"/>
        </xdr:cNvPr>
        <xdr:cNvSpPr>
          <a:spLocks/>
        </xdr:cNvSpPr>
      </xdr:nvSpPr>
      <xdr:spPr>
        <a:xfrm>
          <a:off x="190500" y="590550"/>
          <a:ext cx="971550"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95250</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95250" y="38100"/>
          <a:ext cx="90487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200025</xdr:colOff>
      <xdr:row>1</xdr:row>
      <xdr:rowOff>266700</xdr:rowOff>
    </xdr:from>
    <xdr:to>
      <xdr:col>0</xdr:col>
      <xdr:colOff>1181100</xdr:colOff>
      <xdr:row>3</xdr:row>
      <xdr:rowOff>38100</xdr:rowOff>
    </xdr:to>
    <xdr:pic>
      <xdr:nvPicPr>
        <xdr:cNvPr id="3" name="Picture 711"/>
        <xdr:cNvPicPr preferRelativeResize="1">
          <a:picLocks noChangeAspect="1"/>
        </xdr:cNvPicPr>
      </xdr:nvPicPr>
      <xdr:blipFill>
        <a:blip r:embed="rId3"/>
        <a:stretch>
          <a:fillRect/>
        </a:stretch>
      </xdr:blipFill>
      <xdr:spPr>
        <a:xfrm>
          <a:off x="200025" y="533400"/>
          <a:ext cx="981075" cy="55245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0.44225</cdr:x>
      <cdr:y>0.17</cdr:y>
    </cdr:from>
    <cdr:to>
      <cdr:x>0.50125</cdr:x>
      <cdr:y>0.2825</cdr:y>
    </cdr:to>
    <cdr:sp>
      <cdr:nvSpPr>
        <cdr:cNvPr id="1" name="Elipse 1"/>
        <cdr:cNvSpPr>
          <a:spLocks/>
        </cdr:cNvSpPr>
      </cdr:nvSpPr>
      <cdr:spPr>
        <a:xfrm>
          <a:off x="2209800" y="361950"/>
          <a:ext cx="295275" cy="238125"/>
        </a:xfrm>
        <a:prstGeom prst="ellips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800" b="0" i="0" u="none" baseline="0">
              <a:solidFill>
                <a:srgbClr val="000000"/>
              </a:solidFill>
              <a:latin typeface="Calibri"/>
              <a:ea typeface="Calibri"/>
              <a:cs typeface="Calibri"/>
            </a:rPr>
            <a:t>65%</a:t>
          </a:r>
        </a:p>
      </cdr:txBody>
    </cdr:sp>
  </cdr:relSizeAnchor>
  <cdr:relSizeAnchor xmlns:cdr="http://schemas.openxmlformats.org/drawingml/2006/chartDrawing">
    <cdr:from>
      <cdr:x>0.307</cdr:x>
      <cdr:y>0.333</cdr:y>
    </cdr:from>
    <cdr:to>
      <cdr:x>0.366</cdr:x>
      <cdr:y>0.4455</cdr:y>
    </cdr:to>
    <cdr:sp>
      <cdr:nvSpPr>
        <cdr:cNvPr id="2" name="Elipse 2"/>
        <cdr:cNvSpPr>
          <a:spLocks/>
        </cdr:cNvSpPr>
      </cdr:nvSpPr>
      <cdr:spPr>
        <a:xfrm>
          <a:off x="1533525" y="704850"/>
          <a:ext cx="295275" cy="238125"/>
        </a:xfrm>
        <a:prstGeom prst="ellips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800" b="0" i="0" u="none" baseline="0">
              <a:solidFill>
                <a:srgbClr val="000000"/>
              </a:solidFill>
              <a:latin typeface="Calibri"/>
              <a:ea typeface="Calibri"/>
              <a:cs typeface="Calibri"/>
            </a:rPr>
            <a:t>61%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85725</xdr:rowOff>
    </xdr:from>
    <xdr:to>
      <xdr:col>6</xdr:col>
      <xdr:colOff>171450</xdr:colOff>
      <xdr:row>21</xdr:row>
      <xdr:rowOff>19050</xdr:rowOff>
    </xdr:to>
    <xdr:graphicFrame>
      <xdr:nvGraphicFramePr>
        <xdr:cNvPr id="1" name="Chart 1"/>
        <xdr:cNvGraphicFramePr/>
      </xdr:nvGraphicFramePr>
      <xdr:xfrm>
        <a:off x="19050" y="3219450"/>
        <a:ext cx="4943475" cy="2228850"/>
      </xdr:xfrm>
      <a:graphic>
        <a:graphicData uri="http://schemas.openxmlformats.org/drawingml/2006/chart">
          <c:chart xmlns:c="http://schemas.openxmlformats.org/drawingml/2006/chart" r:id="rId1"/>
        </a:graphicData>
      </a:graphic>
    </xdr:graphicFrame>
    <xdr:clientData/>
  </xdr:twoCellAnchor>
  <xdr:twoCellAnchor>
    <xdr:from>
      <xdr:col>6</xdr:col>
      <xdr:colOff>228600</xdr:colOff>
      <xdr:row>9</xdr:row>
      <xdr:rowOff>76200</xdr:rowOff>
    </xdr:from>
    <xdr:to>
      <xdr:col>12</xdr:col>
      <xdr:colOff>762000</xdr:colOff>
      <xdr:row>20</xdr:row>
      <xdr:rowOff>76200</xdr:rowOff>
    </xdr:to>
    <xdr:graphicFrame>
      <xdr:nvGraphicFramePr>
        <xdr:cNvPr id="2" name="Chart 2"/>
        <xdr:cNvGraphicFramePr/>
      </xdr:nvGraphicFramePr>
      <xdr:xfrm>
        <a:off x="5019675" y="3209925"/>
        <a:ext cx="5381625" cy="1990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66675</xdr:rowOff>
    </xdr:from>
    <xdr:to>
      <xdr:col>6</xdr:col>
      <xdr:colOff>209550</xdr:colOff>
      <xdr:row>32</xdr:row>
      <xdr:rowOff>9525</xdr:rowOff>
    </xdr:to>
    <xdr:graphicFrame>
      <xdr:nvGraphicFramePr>
        <xdr:cNvPr id="3" name="Chart 3"/>
        <xdr:cNvGraphicFramePr/>
      </xdr:nvGraphicFramePr>
      <xdr:xfrm>
        <a:off x="0" y="6848475"/>
        <a:ext cx="5000625" cy="2143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714375</xdr:colOff>
      <xdr:row>0</xdr:row>
      <xdr:rowOff>333375</xdr:rowOff>
    </xdr:to>
    <xdr:sp>
      <xdr:nvSpPr>
        <xdr:cNvPr id="4" name="AutoShape 50">
          <a:hlinkClick r:id="rId4"/>
        </xdr:cNvPr>
        <xdr:cNvSpPr>
          <a:spLocks/>
        </xdr:cNvSpPr>
      </xdr:nvSpPr>
      <xdr:spPr>
        <a:xfrm>
          <a:off x="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161925</xdr:rowOff>
    </xdr:from>
    <xdr:to>
      <xdr:col>12</xdr:col>
      <xdr:colOff>276225</xdr:colOff>
      <xdr:row>14</xdr:row>
      <xdr:rowOff>152400</xdr:rowOff>
    </xdr:to>
    <xdr:graphicFrame>
      <xdr:nvGraphicFramePr>
        <xdr:cNvPr id="1" name="Chart 1"/>
        <xdr:cNvGraphicFramePr/>
      </xdr:nvGraphicFramePr>
      <xdr:xfrm>
        <a:off x="5724525" y="1885950"/>
        <a:ext cx="5353050" cy="12668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15</xdr:row>
      <xdr:rowOff>371475</xdr:rowOff>
    </xdr:from>
    <xdr:to>
      <xdr:col>6</xdr:col>
      <xdr:colOff>0</xdr:colOff>
      <xdr:row>25</xdr:row>
      <xdr:rowOff>28575</xdr:rowOff>
    </xdr:to>
    <xdr:graphicFrame>
      <xdr:nvGraphicFramePr>
        <xdr:cNvPr id="2" name="Chart 2"/>
        <xdr:cNvGraphicFramePr/>
      </xdr:nvGraphicFramePr>
      <xdr:xfrm>
        <a:off x="295275" y="3724275"/>
        <a:ext cx="4152900" cy="1819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9525</xdr:rowOff>
    </xdr:from>
    <xdr:to>
      <xdr:col>6</xdr:col>
      <xdr:colOff>95250</xdr:colOff>
      <xdr:row>14</xdr:row>
      <xdr:rowOff>247650</xdr:rowOff>
    </xdr:to>
    <xdr:graphicFrame>
      <xdr:nvGraphicFramePr>
        <xdr:cNvPr id="3" name="Chart 3"/>
        <xdr:cNvGraphicFramePr/>
      </xdr:nvGraphicFramePr>
      <xdr:xfrm>
        <a:off x="0" y="1914525"/>
        <a:ext cx="4543425" cy="1333500"/>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9525</xdr:rowOff>
    </xdr:from>
    <xdr:to>
      <xdr:col>13</xdr:col>
      <xdr:colOff>228600</xdr:colOff>
      <xdr:row>25</xdr:row>
      <xdr:rowOff>57150</xdr:rowOff>
    </xdr:to>
    <xdr:graphicFrame>
      <xdr:nvGraphicFramePr>
        <xdr:cNvPr id="4" name="Chart 4"/>
        <xdr:cNvGraphicFramePr/>
      </xdr:nvGraphicFramePr>
      <xdr:xfrm>
        <a:off x="5524500" y="3733800"/>
        <a:ext cx="6267450" cy="1838325"/>
      </xdr:xfrm>
      <a:graphic>
        <a:graphicData uri="http://schemas.openxmlformats.org/drawingml/2006/chart">
          <c:chart xmlns:c="http://schemas.openxmlformats.org/drawingml/2006/chart" r:id="rId4"/>
        </a:graphicData>
      </a:graphic>
    </xdr:graphicFrame>
    <xdr:clientData/>
  </xdr:twoCellAnchor>
  <xdr:twoCellAnchor>
    <xdr:from>
      <xdr:col>0</xdr:col>
      <xdr:colOff>219075</xdr:colOff>
      <xdr:row>27</xdr:row>
      <xdr:rowOff>47625</xdr:rowOff>
    </xdr:from>
    <xdr:to>
      <xdr:col>6</xdr:col>
      <xdr:colOff>104775</xdr:colOff>
      <xdr:row>30</xdr:row>
      <xdr:rowOff>266700</xdr:rowOff>
    </xdr:to>
    <xdr:graphicFrame>
      <xdr:nvGraphicFramePr>
        <xdr:cNvPr id="5" name="Chart 5"/>
        <xdr:cNvGraphicFramePr/>
      </xdr:nvGraphicFramePr>
      <xdr:xfrm>
        <a:off x="219075" y="7000875"/>
        <a:ext cx="4333875" cy="15430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10</xdr:row>
      <xdr:rowOff>66675</xdr:rowOff>
    </xdr:from>
    <xdr:to>
      <xdr:col>12</xdr:col>
      <xdr:colOff>228600</xdr:colOff>
      <xdr:row>18</xdr:row>
      <xdr:rowOff>95250</xdr:rowOff>
    </xdr:to>
    <xdr:graphicFrame>
      <xdr:nvGraphicFramePr>
        <xdr:cNvPr id="1" name="Chart 1"/>
        <xdr:cNvGraphicFramePr/>
      </xdr:nvGraphicFramePr>
      <xdr:xfrm>
        <a:off x="4791075" y="4438650"/>
        <a:ext cx="4124325" cy="1800225"/>
      </xdr:xfrm>
      <a:graphic>
        <a:graphicData uri="http://schemas.openxmlformats.org/drawingml/2006/chart">
          <c:chart xmlns:c="http://schemas.openxmlformats.org/drawingml/2006/chart" r:id="rId1"/>
        </a:graphicData>
      </a:graphic>
    </xdr:graphicFrame>
    <xdr:clientData/>
  </xdr:twoCellAnchor>
  <xdr:twoCellAnchor>
    <xdr:from>
      <xdr:col>12</xdr:col>
      <xdr:colOff>666750</xdr:colOff>
      <xdr:row>9</xdr:row>
      <xdr:rowOff>114300</xdr:rowOff>
    </xdr:from>
    <xdr:to>
      <xdr:col>18</xdr:col>
      <xdr:colOff>228600</xdr:colOff>
      <xdr:row>18</xdr:row>
      <xdr:rowOff>57150</xdr:rowOff>
    </xdr:to>
    <xdr:graphicFrame>
      <xdr:nvGraphicFramePr>
        <xdr:cNvPr id="2" name="Chart 2"/>
        <xdr:cNvGraphicFramePr/>
      </xdr:nvGraphicFramePr>
      <xdr:xfrm>
        <a:off x="9353550" y="4371975"/>
        <a:ext cx="4219575" cy="1828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942975</xdr:colOff>
      <xdr:row>1</xdr:row>
      <xdr:rowOff>9525</xdr:rowOff>
    </xdr:to>
    <xdr:sp>
      <xdr:nvSpPr>
        <xdr:cNvPr id="3" name="AutoShape 50">
          <a:hlinkClick r:id="rId3"/>
        </xdr:cNvPr>
        <xdr:cNvSpPr>
          <a:spLocks/>
        </xdr:cNvSpPr>
      </xdr:nvSpPr>
      <xdr:spPr>
        <a:xfrm>
          <a:off x="28575" y="19050"/>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4371975"/>
        <a:ext cx="4352925" cy="160020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38100" y="47625"/>
          <a:ext cx="9525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PORTE%20MENSUALES\REPORTE%20SEMESTRAL\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tabSelected="1" zoomScalePageLayoutView="0" workbookViewId="0" topLeftCell="A1">
      <selection activeCell="A1" sqref="A1"/>
    </sheetView>
  </sheetViews>
  <sheetFormatPr defaultColWidth="11.421875" defaultRowHeight="15"/>
  <cols>
    <col min="1" max="1" width="1.1484375" style="0" customWidth="1"/>
    <col min="2" max="10" width="11.421875" style="0" customWidth="1"/>
    <col min="11" max="11" width="1.57421875" style="0" customWidth="1"/>
  </cols>
  <sheetData>
    <row r="1" ht="25.5" customHeight="1"/>
    <row r="2" spans="2:15" ht="36">
      <c r="B2" s="484" t="str">
        <f>'Información de la subvención'!B3:J3</f>
        <v>Tablero de mando:  El Salvador - MALARIA</v>
      </c>
      <c r="C2" s="484"/>
      <c r="D2" s="484"/>
      <c r="E2" s="484"/>
      <c r="F2" s="484"/>
      <c r="G2" s="484"/>
      <c r="H2" s="484"/>
      <c r="I2" s="484"/>
      <c r="J2" s="484"/>
      <c r="K2" s="484"/>
      <c r="L2" s="484"/>
      <c r="M2" s="1"/>
      <c r="N2" s="1"/>
      <c r="O2" s="1"/>
    </row>
    <row r="4" spans="2:12" ht="21">
      <c r="B4" s="485" t="str">
        <f>+'Introducción de datos'!G6&amp;"  "&amp;+'Introducción de datos'!G8&amp;",  "&amp;+'Introducción de datos'!I8</f>
        <v>MALARIA  ,  Fase 1</v>
      </c>
      <c r="C4" s="485"/>
      <c r="D4" s="485"/>
      <c r="E4" s="485"/>
      <c r="F4" s="2"/>
      <c r="G4" s="2"/>
      <c r="H4" s="3" t="str">
        <f>'Información de la subvención'!D9</f>
        <v>1117</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
    </sheetView>
  </sheetViews>
  <sheetFormatPr defaultColWidth="11.421875" defaultRowHeight="15"/>
  <cols>
    <col min="1" max="1" width="11.421875" style="0" customWidth="1"/>
    <col min="2" max="2" width="16.140625" style="0" customWidth="1"/>
    <col min="3" max="3" width="14.57421875" style="0" customWidth="1"/>
    <col min="4" max="4" width="15.421875" style="0" customWidth="1"/>
    <col min="5" max="6" width="11.421875" style="0" customWidth="1"/>
    <col min="7" max="7" width="14.421875" style="0" customWidth="1"/>
    <col min="8" max="8" width="35.421875" style="0" customWidth="1"/>
    <col min="9" max="9" width="45.57421875" style="0" customWidth="1"/>
    <col min="10" max="10" width="33.421875" style="0" customWidth="1"/>
    <col min="11" max="12" width="11.421875" style="0" customWidth="1"/>
    <col min="13" max="13" width="28.421875" style="0" customWidth="1"/>
    <col min="14" max="14" width="46.421875" style="0" customWidth="1"/>
  </cols>
  <sheetData>
    <row r="2" ht="25.5" customHeight="1"/>
    <row r="3" spans="2:9" ht="36">
      <c r="B3" s="689" t="str">
        <f>'Información de la subvención'!B3:J3</f>
        <v>Tablero de mando:  El Salvador - MALARIA</v>
      </c>
      <c r="C3" s="689"/>
      <c r="D3" s="689"/>
      <c r="E3" s="689"/>
      <c r="F3" s="689"/>
      <c r="G3" s="689"/>
      <c r="H3" s="689"/>
      <c r="I3" s="270"/>
    </row>
    <row r="6" spans="2:8" ht="18">
      <c r="B6" s="690" t="s">
        <v>219</v>
      </c>
      <c r="C6" s="690"/>
      <c r="D6" s="690"/>
      <c r="E6" s="690"/>
      <c r="F6" s="690"/>
      <c r="G6" s="690"/>
      <c r="H6" s="690"/>
    </row>
    <row r="8" spans="2:15" ht="18">
      <c r="B8" s="424" t="s">
        <v>220</v>
      </c>
      <c r="C8" s="424" t="s">
        <v>221</v>
      </c>
      <c r="D8" s="424" t="s">
        <v>222</v>
      </c>
      <c r="E8" s="424" t="s">
        <v>223</v>
      </c>
      <c r="F8" s="424" t="s">
        <v>224</v>
      </c>
      <c r="G8" s="424" t="s">
        <v>225</v>
      </c>
      <c r="H8" s="424" t="s">
        <v>226</v>
      </c>
      <c r="I8" s="425" t="s">
        <v>227</v>
      </c>
      <c r="J8" s="425" t="s">
        <v>228</v>
      </c>
      <c r="M8" s="10"/>
      <c r="N8" s="10"/>
      <c r="O8" s="10"/>
    </row>
    <row r="9" spans="2:15" ht="14.25">
      <c r="B9" s="426" t="s">
        <v>229</v>
      </c>
      <c r="C9" s="426" t="s">
        <v>229</v>
      </c>
      <c r="D9" s="426" t="s">
        <v>229</v>
      </c>
      <c r="E9" s="426" t="s">
        <v>229</v>
      </c>
      <c r="F9" s="426" t="s">
        <v>229</v>
      </c>
      <c r="G9" s="426" t="s">
        <v>229</v>
      </c>
      <c r="H9" s="426" t="s">
        <v>229</v>
      </c>
      <c r="I9" s="427" t="s">
        <v>229</v>
      </c>
      <c r="J9" s="426" t="s">
        <v>229</v>
      </c>
      <c r="M9" s="10"/>
      <c r="N9" s="10"/>
      <c r="O9" s="10"/>
    </row>
    <row r="10" spans="2:15" ht="14.25">
      <c r="B10" s="428" t="s">
        <v>230</v>
      </c>
      <c r="C10" s="428" t="s">
        <v>71</v>
      </c>
      <c r="D10" s="428" t="s">
        <v>231</v>
      </c>
      <c r="E10" s="428" t="s">
        <v>232</v>
      </c>
      <c r="F10" s="428" t="s">
        <v>59</v>
      </c>
      <c r="G10" s="429" t="s">
        <v>233</v>
      </c>
      <c r="H10" s="430" t="s">
        <v>234</v>
      </c>
      <c r="I10" s="431" t="s">
        <v>142</v>
      </c>
      <c r="J10" s="426" t="s">
        <v>235</v>
      </c>
      <c r="M10" s="10"/>
      <c r="N10" s="10"/>
      <c r="O10" s="10"/>
    </row>
    <row r="11" spans="2:15" ht="14.25">
      <c r="B11" s="428" t="s">
        <v>236</v>
      </c>
      <c r="C11" s="428" t="s">
        <v>237</v>
      </c>
      <c r="D11" s="428" t="s">
        <v>238</v>
      </c>
      <c r="E11" s="428" t="s">
        <v>239</v>
      </c>
      <c r="F11" s="428" t="s">
        <v>75</v>
      </c>
      <c r="G11" s="429" t="s">
        <v>55</v>
      </c>
      <c r="H11" s="430" t="s">
        <v>240</v>
      </c>
      <c r="I11" s="431" t="s">
        <v>143</v>
      </c>
      <c r="J11" s="426" t="s">
        <v>241</v>
      </c>
      <c r="M11" s="10"/>
      <c r="N11" s="10"/>
      <c r="O11" s="10"/>
    </row>
    <row r="12" spans="2:15" ht="14.25">
      <c r="B12" s="428" t="s">
        <v>48</v>
      </c>
      <c r="D12" s="428" t="s">
        <v>242</v>
      </c>
      <c r="E12" s="428" t="s">
        <v>243</v>
      </c>
      <c r="F12" s="428" t="s">
        <v>76</v>
      </c>
      <c r="G12" s="429" t="s">
        <v>244</v>
      </c>
      <c r="H12" s="430" t="s">
        <v>245</v>
      </c>
      <c r="I12" s="431" t="s">
        <v>144</v>
      </c>
      <c r="J12" s="426" t="s">
        <v>246</v>
      </c>
      <c r="M12" s="432"/>
      <c r="N12" s="10"/>
      <c r="O12" s="10"/>
    </row>
    <row r="13" spans="2:15" ht="14.25">
      <c r="B13" s="428" t="s">
        <v>247</v>
      </c>
      <c r="D13" s="428" t="s">
        <v>248</v>
      </c>
      <c r="E13" s="433"/>
      <c r="F13" s="428" t="s">
        <v>77</v>
      </c>
      <c r="G13" s="429" t="s">
        <v>249</v>
      </c>
      <c r="H13" s="430" t="s">
        <v>250</v>
      </c>
      <c r="I13" s="431" t="s">
        <v>145</v>
      </c>
      <c r="J13" s="426" t="s">
        <v>251</v>
      </c>
      <c r="M13" s="432"/>
      <c r="N13" s="10"/>
      <c r="O13" s="10"/>
    </row>
    <row r="14" spans="2:15" ht="14.25">
      <c r="B14" s="428" t="s">
        <v>252</v>
      </c>
      <c r="D14" s="428" t="s">
        <v>253</v>
      </c>
      <c r="F14" s="428" t="s">
        <v>78</v>
      </c>
      <c r="G14" s="429" t="s">
        <v>254</v>
      </c>
      <c r="H14" s="430" t="s">
        <v>255</v>
      </c>
      <c r="I14" s="431" t="s">
        <v>256</v>
      </c>
      <c r="J14" s="426" t="s">
        <v>257</v>
      </c>
      <c r="M14" s="432"/>
      <c r="N14" s="10"/>
      <c r="O14" s="10"/>
    </row>
    <row r="15" spans="4:15" ht="14.25">
      <c r="D15" s="428" t="s">
        <v>258</v>
      </c>
      <c r="F15" s="428" t="s">
        <v>79</v>
      </c>
      <c r="H15" s="430" t="s">
        <v>259</v>
      </c>
      <c r="I15" s="431" t="s">
        <v>260</v>
      </c>
      <c r="J15" s="426" t="s">
        <v>261</v>
      </c>
      <c r="M15" s="432"/>
      <c r="N15" s="10"/>
      <c r="O15" s="10"/>
    </row>
    <row r="16" spans="4:15" ht="14.25">
      <c r="D16" s="428" t="s">
        <v>262</v>
      </c>
      <c r="F16" s="428" t="s">
        <v>80</v>
      </c>
      <c r="H16" s="430" t="s">
        <v>263</v>
      </c>
      <c r="I16" s="431" t="s">
        <v>264</v>
      </c>
      <c r="J16" s="426" t="s">
        <v>265</v>
      </c>
      <c r="M16" s="432"/>
      <c r="N16" s="10"/>
      <c r="O16" s="10"/>
    </row>
    <row r="17" spans="4:15" ht="14.25">
      <c r="D17" s="428" t="s">
        <v>266</v>
      </c>
      <c r="F17" s="428" t="s">
        <v>81</v>
      </c>
      <c r="H17" s="430" t="s">
        <v>267</v>
      </c>
      <c r="I17" s="431" t="s">
        <v>268</v>
      </c>
      <c r="J17" s="426" t="s">
        <v>269</v>
      </c>
      <c r="M17" s="432"/>
      <c r="N17" s="10"/>
      <c r="O17" s="10"/>
    </row>
    <row r="18" spans="4:15" ht="14.25">
      <c r="D18" s="428" t="s">
        <v>270</v>
      </c>
      <c r="F18" s="428" t="s">
        <v>82</v>
      </c>
      <c r="H18" s="430" t="s">
        <v>271</v>
      </c>
      <c r="I18" s="431" t="s">
        <v>272</v>
      </c>
      <c r="J18" s="426" t="s">
        <v>273</v>
      </c>
      <c r="M18" s="432"/>
      <c r="N18" s="10"/>
      <c r="O18" s="10"/>
    </row>
    <row r="19" spans="4:15" ht="14.25">
      <c r="D19" s="428" t="s">
        <v>274</v>
      </c>
      <c r="F19" s="428" t="s">
        <v>83</v>
      </c>
      <c r="H19" s="430" t="s">
        <v>275</v>
      </c>
      <c r="I19" s="431" t="s">
        <v>276</v>
      </c>
      <c r="J19" s="426" t="s">
        <v>277</v>
      </c>
      <c r="M19" s="432"/>
      <c r="N19" s="10"/>
      <c r="O19" s="10"/>
    </row>
    <row r="20" spans="4:15" ht="14.25">
      <c r="D20" s="434"/>
      <c r="F20" s="428" t="s">
        <v>84</v>
      </c>
      <c r="H20" s="430" t="s">
        <v>278</v>
      </c>
      <c r="I20" s="431" t="s">
        <v>279</v>
      </c>
      <c r="J20" s="426" t="s">
        <v>280</v>
      </c>
      <c r="M20" s="10"/>
      <c r="N20" s="10"/>
      <c r="O20" s="10"/>
    </row>
    <row r="21" spans="4:15" ht="14.25">
      <c r="D21" s="435"/>
      <c r="F21" s="428" t="s">
        <v>85</v>
      </c>
      <c r="H21" s="435"/>
      <c r="I21" s="431" t="s">
        <v>281</v>
      </c>
      <c r="J21" s="426" t="s">
        <v>282</v>
      </c>
      <c r="M21" s="10"/>
      <c r="N21" s="10"/>
      <c r="O21" s="10"/>
    </row>
    <row r="22" spans="8:15" ht="14.25">
      <c r="H22" s="435"/>
      <c r="I22" s="431" t="s">
        <v>283</v>
      </c>
      <c r="J22" s="426" t="s">
        <v>284</v>
      </c>
      <c r="M22" s="10"/>
      <c r="N22" s="10"/>
      <c r="O22" s="10"/>
    </row>
    <row r="23" spans="9:15" ht="14.25">
      <c r="I23" s="431" t="s">
        <v>285</v>
      </c>
      <c r="J23" s="426" t="s">
        <v>286</v>
      </c>
      <c r="M23" s="10"/>
      <c r="N23" s="10"/>
      <c r="O23" s="10"/>
    </row>
    <row r="24" spans="9:15" ht="14.25">
      <c r="I24" s="431" t="s">
        <v>287</v>
      </c>
      <c r="J24" s="426" t="s">
        <v>288</v>
      </c>
      <c r="M24" s="10"/>
      <c r="N24" s="10"/>
      <c r="O24" s="10"/>
    </row>
    <row r="25" spans="9:10" ht="14.25">
      <c r="I25" s="436"/>
      <c r="J25" s="426" t="s">
        <v>289</v>
      </c>
    </row>
    <row r="26" spans="9:10" ht="14.25">
      <c r="I26" s="431" t="s">
        <v>290</v>
      </c>
      <c r="J26" s="426" t="s">
        <v>291</v>
      </c>
    </row>
    <row r="27" spans="9:10" ht="14.25">
      <c r="I27" s="431" t="s">
        <v>292</v>
      </c>
      <c r="J27" s="426" t="s">
        <v>44</v>
      </c>
    </row>
    <row r="28" spans="9:10" ht="14.25">
      <c r="I28" s="436" t="s">
        <v>146</v>
      </c>
      <c r="J28" s="426" t="s">
        <v>293</v>
      </c>
    </row>
    <row r="29" spans="9:10" ht="14.25">
      <c r="I29" s="436" t="s">
        <v>294</v>
      </c>
      <c r="J29" s="426" t="s">
        <v>295</v>
      </c>
    </row>
    <row r="30" spans="9:10" ht="14.25">
      <c r="I30" s="436" t="s">
        <v>296</v>
      </c>
      <c r="J30" s="426" t="s">
        <v>297</v>
      </c>
    </row>
    <row r="31" ht="14.25">
      <c r="J31" s="426" t="s">
        <v>298</v>
      </c>
    </row>
    <row r="32" ht="14.25">
      <c r="J32" s="426" t="s">
        <v>299</v>
      </c>
    </row>
    <row r="33" ht="14.25">
      <c r="J33" s="426" t="s">
        <v>300</v>
      </c>
    </row>
    <row r="34" ht="14.25">
      <c r="J34" s="426" t="s">
        <v>301</v>
      </c>
    </row>
    <row r="35" ht="14.25">
      <c r="J35" s="426" t="s">
        <v>302</v>
      </c>
    </row>
    <row r="36" ht="14.25">
      <c r="J36" s="426" t="s">
        <v>303</v>
      </c>
    </row>
    <row r="37" ht="14.25">
      <c r="J37" s="426" t="s">
        <v>304</v>
      </c>
    </row>
    <row r="38" ht="14.25">
      <c r="J38" s="426" t="s">
        <v>305</v>
      </c>
    </row>
    <row r="39" ht="14.25">
      <c r="J39" s="426" t="s">
        <v>306</v>
      </c>
    </row>
    <row r="40" ht="14.25">
      <c r="J40" s="426" t="s">
        <v>307</v>
      </c>
    </row>
    <row r="41" ht="14.25">
      <c r="J41" s="426" t="s">
        <v>308</v>
      </c>
    </row>
    <row r="42" ht="14.25">
      <c r="J42" s="426" t="s">
        <v>309</v>
      </c>
    </row>
    <row r="43" ht="14.25">
      <c r="J43" s="426" t="s">
        <v>310</v>
      </c>
    </row>
    <row r="44" ht="14.25">
      <c r="J44" s="426" t="s">
        <v>311</v>
      </c>
    </row>
    <row r="45" ht="14.25">
      <c r="J45" s="426" t="s">
        <v>312</v>
      </c>
    </row>
    <row r="46" ht="14.25">
      <c r="J46" s="426" t="s">
        <v>313</v>
      </c>
    </row>
    <row r="47" ht="14.25">
      <c r="J47" s="426" t="s">
        <v>314</v>
      </c>
    </row>
    <row r="48" ht="14.25">
      <c r="J48" s="426" t="s">
        <v>315</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55" zoomScaleNormal="55" zoomScalePageLayoutView="0" workbookViewId="0" topLeftCell="A1">
      <pane ySplit="2" topLeftCell="A3" activePane="bottomLeft" state="frozen"/>
      <selection pane="topLeft" activeCell="B1" sqref="B1"/>
      <selection pane="bottomLeft" activeCell="A3" sqref="A3"/>
    </sheetView>
  </sheetViews>
  <sheetFormatPr defaultColWidth="11.421875" defaultRowHeight="15"/>
  <cols>
    <col min="1" max="1" width="2.57421875" style="0" customWidth="1"/>
    <col min="2" max="2" width="21.421875" style="0" customWidth="1"/>
    <col min="3" max="3" width="11.421875" style="0" customWidth="1"/>
    <col min="4" max="4" width="11.140625" style="0" customWidth="1"/>
    <col min="5" max="5" width="16.421875" style="0" customWidth="1"/>
    <col min="6" max="6" width="15.57421875" style="0" customWidth="1"/>
    <col min="7" max="7" width="37.421875" style="0" customWidth="1"/>
    <col min="8" max="8" width="17.42187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421875" style="5" customWidth="1"/>
    <col min="15" max="15" width="3.00390625" style="5" customWidth="1"/>
    <col min="16" max="16" width="2.421875" style="0" customWidth="1"/>
    <col min="17" max="17" width="16.140625" style="0" customWidth="1"/>
    <col min="18" max="18" width="13.57421875" style="0" customWidth="1"/>
    <col min="19" max="19" width="11.421875" style="0" customWidth="1"/>
    <col min="20" max="20" width="14.8515625" style="0" customWidth="1"/>
    <col min="21" max="21" width="16.00390625" style="0" customWidth="1"/>
    <col min="22" max="22" width="0" style="0" hidden="1" customWidth="1"/>
    <col min="23" max="23" width="15.421875" style="0" customWidth="1"/>
    <col min="24" max="24" width="11.421875" style="0" customWidth="1"/>
    <col min="25" max="25" width="2.421875" style="0" customWidth="1"/>
    <col min="26" max="26" width="1.1484375" style="0" customWidth="1"/>
    <col min="27" max="27" width="3.42187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0" customWidth="1"/>
    <col min="35" max="35" width="3.421875" style="0" customWidth="1"/>
    <col min="36" max="36" width="2.421875" style="0" customWidth="1"/>
    <col min="37" max="37" width="40.574218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518" t="str">
        <f>+"Cuadro de mando:  "&amp;"  "&amp;+'Introducción de datos'!C4&amp;" - "&amp;'Introducción de datos'!G6</f>
        <v>Cuadro de mando:    El Salvador - MALARIA</v>
      </c>
      <c r="C2" s="518"/>
      <c r="D2" s="518"/>
      <c r="E2" s="518"/>
      <c r="F2" s="518"/>
      <c r="G2" s="518"/>
      <c r="H2" s="518"/>
      <c r="I2" s="518"/>
      <c r="J2" s="518"/>
      <c r="K2" s="518"/>
      <c r="L2" s="518"/>
      <c r="M2" s="518"/>
    </row>
    <row r="3" spans="1:13" ht="15.75" customHeight="1">
      <c r="A3" s="6"/>
      <c r="B3" s="7"/>
      <c r="C3" s="7"/>
      <c r="D3" s="7"/>
      <c r="E3" s="7"/>
      <c r="F3" s="7"/>
      <c r="G3" s="7"/>
      <c r="H3" s="7"/>
      <c r="I3" s="7"/>
      <c r="J3" s="7"/>
      <c r="K3" s="8"/>
      <c r="L3" s="8"/>
      <c r="M3" s="6"/>
    </row>
    <row r="5" spans="2:15" ht="23.25">
      <c r="B5" s="500" t="s">
        <v>0</v>
      </c>
      <c r="C5" s="500"/>
      <c r="D5" s="500"/>
      <c r="E5" s="500"/>
      <c r="F5" s="500"/>
      <c r="G5" s="500"/>
      <c r="H5" s="500"/>
      <c r="I5" s="500"/>
      <c r="J5" s="500"/>
      <c r="K5" s="500"/>
      <c r="L5" s="500"/>
      <c r="M5" s="500"/>
      <c r="N5" s="500"/>
      <c r="O5" s="500"/>
    </row>
    <row r="7" spans="2:15" ht="21">
      <c r="B7" s="519" t="s">
        <v>1</v>
      </c>
      <c r="C7" s="519"/>
      <c r="D7" s="519"/>
      <c r="E7" s="519" t="s">
        <v>2</v>
      </c>
      <c r="F7" s="519"/>
      <c r="G7" s="519"/>
      <c r="H7" s="519"/>
      <c r="I7" s="519"/>
      <c r="J7" s="519" t="s">
        <v>3</v>
      </c>
      <c r="K7" s="519"/>
      <c r="L7" s="519"/>
      <c r="M7" s="519" t="s">
        <v>4</v>
      </c>
      <c r="N7" s="519"/>
      <c r="O7" s="519"/>
    </row>
    <row r="8" spans="2:15" ht="92.25" customHeight="1">
      <c r="B8" s="496" t="str">
        <f>+'Introducción de datos'!B27</f>
        <v>F1: Presupuesto y desembolsos del Fondo Mundial</v>
      </c>
      <c r="C8" s="496"/>
      <c r="D8" s="496"/>
      <c r="E8" s="516" t="s">
        <v>5</v>
      </c>
      <c r="F8" s="516"/>
      <c r="G8" s="516"/>
      <c r="H8" s="516"/>
      <c r="I8" s="516"/>
      <c r="J8" s="517" t="s">
        <v>6</v>
      </c>
      <c r="K8" s="517"/>
      <c r="L8" s="517"/>
      <c r="M8" s="517" t="s">
        <v>7</v>
      </c>
      <c r="N8" s="517"/>
      <c r="O8" s="517"/>
    </row>
    <row r="9" spans="2:15" ht="117.75" customHeight="1">
      <c r="B9" s="496" t="str">
        <f>+'Introducción de datos'!B36</f>
        <v>F2: Presupuesto y gastos reales por modulos de la subvención</v>
      </c>
      <c r="C9" s="496"/>
      <c r="D9" s="496"/>
      <c r="E9" s="509" t="s">
        <v>8</v>
      </c>
      <c r="F9" s="509"/>
      <c r="G9" s="509"/>
      <c r="H9" s="509"/>
      <c r="I9" s="509"/>
      <c r="J9" s="505" t="s">
        <v>9</v>
      </c>
      <c r="K9" s="505"/>
      <c r="L9" s="505"/>
      <c r="M9" s="505" t="s">
        <v>7</v>
      </c>
      <c r="N9" s="505"/>
      <c r="O9" s="505"/>
    </row>
    <row r="10" spans="2:15" ht="233.25" customHeight="1">
      <c r="B10" s="506" t="str">
        <f>+'Introducción de datos'!B48</f>
        <v>F3: Desembolsos y gastos</v>
      </c>
      <c r="C10" s="506"/>
      <c r="D10" s="506"/>
      <c r="E10" s="509" t="s">
        <v>10</v>
      </c>
      <c r="F10" s="509"/>
      <c r="G10" s="509"/>
      <c r="H10" s="509"/>
      <c r="I10" s="509"/>
      <c r="J10" s="504" t="s">
        <v>11</v>
      </c>
      <c r="K10" s="504"/>
      <c r="L10" s="504"/>
      <c r="M10" s="505" t="s">
        <v>12</v>
      </c>
      <c r="N10" s="505"/>
      <c r="O10" s="505"/>
    </row>
    <row r="11" spans="2:60" ht="279.75" customHeight="1">
      <c r="B11" s="506" t="str">
        <f>+'Introducción de datos'!B57</f>
        <v>F4: Último ciclo de información y desembolso del RP</v>
      </c>
      <c r="C11" s="506"/>
      <c r="D11" s="506"/>
      <c r="E11" s="509" t="s">
        <v>13</v>
      </c>
      <c r="F11" s="509"/>
      <c r="G11" s="509"/>
      <c r="H11" s="509"/>
      <c r="I11" s="509"/>
      <c r="J11" s="504" t="s">
        <v>14</v>
      </c>
      <c r="K11" s="504"/>
      <c r="L11" s="504"/>
      <c r="M11" s="505" t="s">
        <v>15</v>
      </c>
      <c r="N11" s="505"/>
      <c r="O11" s="505"/>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4.25">
      <c r="B12" s="514"/>
      <c r="C12" s="514"/>
      <c r="D12" s="514"/>
      <c r="E12" s="515"/>
      <c r="F12" s="515"/>
      <c r="G12" s="515"/>
      <c r="H12" s="515"/>
      <c r="I12" s="515"/>
      <c r="J12" s="515"/>
      <c r="K12" s="515"/>
      <c r="L12" s="515"/>
      <c r="M12" s="515"/>
      <c r="N12" s="515"/>
      <c r="O12" s="515"/>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4.25">
      <c r="B13" s="512"/>
      <c r="C13" s="512"/>
      <c r="D13" s="512"/>
      <c r="E13" s="513"/>
      <c r="F13" s="513"/>
      <c r="G13" s="513"/>
      <c r="H13" s="513"/>
      <c r="I13" s="513"/>
      <c r="J13" s="513"/>
      <c r="K13" s="513"/>
      <c r="L13" s="513"/>
      <c r="M13" s="513"/>
      <c r="N13" s="513"/>
      <c r="O13" s="513"/>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4.25">
      <c r="B14" s="512"/>
      <c r="C14" s="512"/>
      <c r="D14" s="512"/>
      <c r="E14" s="513"/>
      <c r="F14" s="513"/>
      <c r="G14" s="513"/>
      <c r="H14" s="513"/>
      <c r="I14" s="513"/>
      <c r="J14" s="513"/>
      <c r="K14" s="513"/>
      <c r="L14" s="513"/>
      <c r="M14" s="513"/>
      <c r="N14" s="513"/>
      <c r="O14" s="513"/>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4.25">
      <c r="B15" s="512"/>
      <c r="C15" s="512"/>
      <c r="D15" s="512"/>
      <c r="E15" s="513"/>
      <c r="F15" s="513"/>
      <c r="G15" s="513"/>
      <c r="H15" s="513"/>
      <c r="I15" s="513"/>
      <c r="J15" s="513"/>
      <c r="K15" s="513"/>
      <c r="L15" s="513"/>
      <c r="M15" s="513"/>
      <c r="N15" s="513"/>
      <c r="O15" s="513"/>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500" t="s">
        <v>16</v>
      </c>
      <c r="C16" s="500"/>
      <c r="D16" s="500"/>
      <c r="E16" s="500"/>
      <c r="F16" s="500"/>
      <c r="G16" s="500"/>
      <c r="H16" s="500"/>
      <c r="I16" s="500"/>
      <c r="J16" s="500"/>
      <c r="K16" s="500"/>
      <c r="L16" s="500"/>
      <c r="M16" s="500"/>
      <c r="N16" s="500"/>
      <c r="O16" s="500"/>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4.2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11" t="s">
        <v>1</v>
      </c>
      <c r="C18" s="511"/>
      <c r="D18" s="511"/>
      <c r="E18" s="511" t="s">
        <v>2</v>
      </c>
      <c r="F18" s="511"/>
      <c r="G18" s="511"/>
      <c r="H18" s="511"/>
      <c r="I18" s="511"/>
      <c r="J18" s="511" t="s">
        <v>3</v>
      </c>
      <c r="K18" s="511"/>
      <c r="L18" s="511"/>
      <c r="M18" s="511" t="s">
        <v>17</v>
      </c>
      <c r="N18" s="511"/>
      <c r="O18" s="511"/>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96" t="str">
        <f>+'Introducción de datos'!B68</f>
        <v>M1: Estado de las condiciones precedentes y acciones con fecha límite</v>
      </c>
      <c r="C19" s="496"/>
      <c r="D19" s="496"/>
      <c r="E19" s="509" t="s">
        <v>18</v>
      </c>
      <c r="F19" s="509"/>
      <c r="G19" s="509"/>
      <c r="H19" s="509"/>
      <c r="I19" s="509"/>
      <c r="J19" s="505" t="s">
        <v>19</v>
      </c>
      <c r="K19" s="505"/>
      <c r="L19" s="505"/>
      <c r="M19" s="505" t="s">
        <v>20</v>
      </c>
      <c r="N19" s="505"/>
      <c r="O19" s="505"/>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96" t="str">
        <f>+'Introducción de datos'!B75</f>
        <v>M2: Estado de los principales puestos directivos del RP</v>
      </c>
      <c r="C20" s="496"/>
      <c r="D20" s="496"/>
      <c r="E20" s="509" t="s">
        <v>21</v>
      </c>
      <c r="F20" s="509"/>
      <c r="G20" s="509"/>
      <c r="H20" s="509"/>
      <c r="I20" s="509"/>
      <c r="J20" s="505" t="s">
        <v>22</v>
      </c>
      <c r="K20" s="505"/>
      <c r="L20" s="505"/>
      <c r="M20" s="505" t="s">
        <v>23</v>
      </c>
      <c r="N20" s="505"/>
      <c r="O20" s="505"/>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96" t="str">
        <f>+'Introducción de datos'!B80</f>
        <v>M3: Acuerdos contractuales (N/A)</v>
      </c>
      <c r="C21" s="496"/>
      <c r="D21" s="496"/>
      <c r="E21" s="510" t="s">
        <v>24</v>
      </c>
      <c r="F21" s="510"/>
      <c r="G21" s="510"/>
      <c r="H21" s="510"/>
      <c r="I21" s="510"/>
      <c r="J21" s="505" t="s">
        <v>25</v>
      </c>
      <c r="K21" s="505"/>
      <c r="L21" s="505"/>
      <c r="M21" s="505" t="s">
        <v>26</v>
      </c>
      <c r="N21" s="505"/>
      <c r="O21" s="505"/>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96" t="str">
        <f>+'Introducción de datos'!B85</f>
        <v>M4: Número de informes completos recibidos a tiempo (N/A)</v>
      </c>
      <c r="C22" s="496"/>
      <c r="D22" s="496"/>
      <c r="E22" s="503" t="s">
        <v>27</v>
      </c>
      <c r="F22" s="503"/>
      <c r="G22" s="503"/>
      <c r="H22" s="503"/>
      <c r="I22" s="503"/>
      <c r="J22" s="504" t="s">
        <v>28</v>
      </c>
      <c r="K22" s="504"/>
      <c r="L22" s="504"/>
      <c r="M22" s="505" t="s">
        <v>29</v>
      </c>
      <c r="N22" s="505"/>
      <c r="O22" s="505"/>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06" t="str">
        <f>+'Introducción de datos'!B91</f>
        <v>M5: Presupuesto y compra de productos y equipo sanitario, medicamentos y productos farmacéuticos</v>
      </c>
      <c r="C23" s="506"/>
      <c r="D23" s="506"/>
      <c r="E23" s="507" t="s">
        <v>30</v>
      </c>
      <c r="F23" s="507"/>
      <c r="G23" s="507"/>
      <c r="H23" s="507"/>
      <c r="I23" s="507"/>
      <c r="J23" s="505" t="s">
        <v>31</v>
      </c>
      <c r="K23" s="505"/>
      <c r="L23" s="505"/>
      <c r="M23" s="505" t="s">
        <v>32</v>
      </c>
      <c r="N23" s="505"/>
      <c r="O23" s="505"/>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06"/>
      <c r="C24" s="506"/>
      <c r="D24" s="506"/>
      <c r="E24" s="508" t="s">
        <v>33</v>
      </c>
      <c r="F24" s="508"/>
      <c r="G24" s="508"/>
      <c r="H24" s="508"/>
      <c r="I24" s="508"/>
      <c r="J24" s="505"/>
      <c r="K24" s="505"/>
      <c r="L24" s="505"/>
      <c r="M24" s="505"/>
      <c r="N24" s="505"/>
      <c r="O24" s="505"/>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96" t="str">
        <f>+'Introducción de datos'!B104</f>
        <v>M6: Diferencia entre existencias actuales y existencias de seguridad</v>
      </c>
      <c r="C25" s="496"/>
      <c r="D25" s="496"/>
      <c r="E25" s="497" t="s">
        <v>34</v>
      </c>
      <c r="F25" s="497"/>
      <c r="G25" s="497"/>
      <c r="H25" s="497"/>
      <c r="I25" s="497"/>
      <c r="J25" s="498" t="s">
        <v>35</v>
      </c>
      <c r="K25" s="498"/>
      <c r="L25" s="498"/>
      <c r="M25" s="499" t="s">
        <v>36</v>
      </c>
      <c r="N25" s="499"/>
      <c r="O25" s="49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4.2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4.2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4.2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500" t="s">
        <v>37</v>
      </c>
      <c r="C30" s="500"/>
      <c r="D30" s="500"/>
      <c r="E30" s="500"/>
      <c r="F30" s="500"/>
      <c r="G30" s="500"/>
      <c r="H30" s="500"/>
      <c r="I30" s="500"/>
      <c r="J30" s="500"/>
      <c r="K30" s="500"/>
      <c r="L30" s="500"/>
      <c r="M30" s="500"/>
      <c r="N30" s="500"/>
      <c r="O30" s="500"/>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4.2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01" t="s">
        <v>38</v>
      </c>
      <c r="C32" s="501"/>
      <c r="D32" s="501"/>
      <c r="E32" s="502" t="s">
        <v>39</v>
      </c>
      <c r="F32" s="502"/>
      <c r="G32" s="502"/>
      <c r="H32" s="502"/>
      <c r="I32" s="502"/>
      <c r="J32" s="502" t="s">
        <v>3</v>
      </c>
      <c r="K32" s="502"/>
      <c r="L32" s="502"/>
      <c r="M32" s="502" t="s">
        <v>17</v>
      </c>
      <c r="N32" s="502"/>
      <c r="O32" s="502"/>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494"/>
      <c r="C33" s="494"/>
      <c r="D33" s="494"/>
      <c r="E33" s="489"/>
      <c r="F33" s="489"/>
      <c r="G33" s="489"/>
      <c r="H33" s="489"/>
      <c r="I33" s="489"/>
      <c r="J33" s="490"/>
      <c r="K33" s="490"/>
      <c r="L33" s="490"/>
      <c r="M33" s="490"/>
      <c r="N33" s="490"/>
      <c r="O33" s="490"/>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494"/>
      <c r="C34" s="494"/>
      <c r="D34" s="494"/>
      <c r="E34" s="489"/>
      <c r="F34" s="489"/>
      <c r="G34" s="489"/>
      <c r="H34" s="489"/>
      <c r="I34" s="489"/>
      <c r="J34" s="490"/>
      <c r="K34" s="490"/>
      <c r="L34" s="490"/>
      <c r="M34" s="490"/>
      <c r="N34" s="490"/>
      <c r="O34" s="490"/>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494"/>
      <c r="C35" s="494"/>
      <c r="D35" s="494"/>
      <c r="E35" s="490"/>
      <c r="F35" s="490"/>
      <c r="G35" s="490"/>
      <c r="H35" s="490"/>
      <c r="I35" s="490"/>
      <c r="J35" s="490"/>
      <c r="K35" s="490"/>
      <c r="L35" s="490"/>
      <c r="M35" s="490"/>
      <c r="N35" s="490"/>
      <c r="O35" s="490"/>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495"/>
      <c r="C36" s="495"/>
      <c r="D36" s="495"/>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494"/>
      <c r="C37" s="494"/>
      <c r="D37" s="494"/>
      <c r="E37" s="490"/>
      <c r="F37" s="490"/>
      <c r="G37" s="490"/>
      <c r="H37" s="490"/>
      <c r="I37" s="490"/>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494"/>
      <c r="C38" s="494"/>
      <c r="D38" s="494"/>
      <c r="E38" s="489"/>
      <c r="F38" s="489"/>
      <c r="G38" s="489"/>
      <c r="H38" s="489"/>
      <c r="I38" s="489"/>
      <c r="J38" s="490"/>
      <c r="K38" s="490"/>
      <c r="L38" s="490"/>
      <c r="M38" s="490"/>
      <c r="N38" s="490"/>
      <c r="O38" s="490"/>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492"/>
      <c r="C39" s="492"/>
      <c r="D39" s="492"/>
      <c r="E39" s="490"/>
      <c r="F39" s="490"/>
      <c r="G39" s="490"/>
      <c r="H39" s="490"/>
      <c r="I39" s="490"/>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488"/>
      <c r="C40" s="488"/>
      <c r="D40" s="488"/>
      <c r="E40" s="493"/>
      <c r="F40" s="493"/>
      <c r="G40" s="493"/>
      <c r="H40" s="493"/>
      <c r="I40" s="493"/>
      <c r="J40" s="490"/>
      <c r="K40" s="490"/>
      <c r="L40" s="490"/>
      <c r="M40" s="490"/>
      <c r="N40" s="490"/>
      <c r="O40" s="490"/>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492"/>
      <c r="C41" s="492"/>
      <c r="D41" s="492"/>
      <c r="E41" s="489"/>
      <c r="F41" s="489"/>
      <c r="G41" s="489"/>
      <c r="H41" s="489"/>
      <c r="I41" s="489"/>
      <c r="J41" s="490"/>
      <c r="K41" s="490"/>
      <c r="L41" s="490"/>
      <c r="M41" s="490"/>
      <c r="N41" s="490"/>
      <c r="O41" s="490"/>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492"/>
      <c r="C42" s="492"/>
      <c r="D42" s="492"/>
      <c r="E42" s="490"/>
      <c r="F42" s="490"/>
      <c r="G42" s="490"/>
      <c r="H42" s="490"/>
      <c r="I42" s="490"/>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492"/>
      <c r="C43" s="492"/>
      <c r="D43" s="492"/>
      <c r="E43" s="489"/>
      <c r="F43" s="489"/>
      <c r="G43" s="489"/>
      <c r="H43" s="489"/>
      <c r="I43" s="489"/>
      <c r="J43" s="490"/>
      <c r="K43" s="490"/>
      <c r="L43" s="490"/>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488"/>
      <c r="C44" s="488"/>
      <c r="D44" s="488"/>
      <c r="E44" s="489"/>
      <c r="F44" s="489"/>
      <c r="G44" s="489"/>
      <c r="H44" s="489"/>
      <c r="I44" s="489"/>
      <c r="J44" s="490"/>
      <c r="K44" s="490"/>
      <c r="L44" s="490"/>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488"/>
      <c r="C45" s="488"/>
      <c r="D45" s="488"/>
      <c r="E45" s="489"/>
      <c r="F45" s="489"/>
      <c r="G45" s="489"/>
      <c r="H45" s="489"/>
      <c r="I45" s="489"/>
      <c r="J45" s="490"/>
      <c r="K45" s="490"/>
      <c r="L45" s="490"/>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491"/>
      <c r="C46" s="491"/>
      <c r="D46" s="491"/>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486" t="s">
        <v>40</v>
      </c>
      <c r="C48" s="486"/>
      <c r="D48" s="486"/>
      <c r="E48" s="486"/>
      <c r="F48" s="486"/>
      <c r="G48" s="486"/>
      <c r="H48" s="486"/>
      <c r="I48" s="486"/>
      <c r="J48" s="486"/>
      <c r="K48" s="486"/>
      <c r="L48" s="486"/>
      <c r="M48" s="487" t="s">
        <v>41</v>
      </c>
      <c r="N48" s="487"/>
      <c r="O48" s="487"/>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2:M2"/>
    <mergeCell ref="B5:O5"/>
    <mergeCell ref="B7:D7"/>
    <mergeCell ref="E7:I7"/>
    <mergeCell ref="J7:L7"/>
    <mergeCell ref="M7:O7"/>
    <mergeCell ref="B8:D8"/>
    <mergeCell ref="E8:I8"/>
    <mergeCell ref="J8:L8"/>
    <mergeCell ref="M8:O8"/>
    <mergeCell ref="B9:D9"/>
    <mergeCell ref="E9:I9"/>
    <mergeCell ref="J9:L9"/>
    <mergeCell ref="M9:O9"/>
    <mergeCell ref="B10:D10"/>
    <mergeCell ref="E10:I10"/>
    <mergeCell ref="J10:L10"/>
    <mergeCell ref="M10:O10"/>
    <mergeCell ref="B11:D11"/>
    <mergeCell ref="E11:I11"/>
    <mergeCell ref="J11:L11"/>
    <mergeCell ref="M11:O11"/>
    <mergeCell ref="B12:D12"/>
    <mergeCell ref="E12:I12"/>
    <mergeCell ref="J12:L12"/>
    <mergeCell ref="M12:O12"/>
    <mergeCell ref="B13:D13"/>
    <mergeCell ref="E13:I13"/>
    <mergeCell ref="J13:L13"/>
    <mergeCell ref="M13:O13"/>
    <mergeCell ref="B14:D14"/>
    <mergeCell ref="E14:I14"/>
    <mergeCell ref="J14:L14"/>
    <mergeCell ref="M14:O14"/>
    <mergeCell ref="B15:D15"/>
    <mergeCell ref="E15:I15"/>
    <mergeCell ref="J15:L15"/>
    <mergeCell ref="M15:O15"/>
    <mergeCell ref="B16:O16"/>
    <mergeCell ref="B18:D18"/>
    <mergeCell ref="E18:I18"/>
    <mergeCell ref="J18:L18"/>
    <mergeCell ref="M18:O18"/>
    <mergeCell ref="B19:D19"/>
    <mergeCell ref="E19:I19"/>
    <mergeCell ref="J19:L19"/>
    <mergeCell ref="M19:O19"/>
    <mergeCell ref="B20:D20"/>
    <mergeCell ref="E20:I20"/>
    <mergeCell ref="J20:L20"/>
    <mergeCell ref="M20:O20"/>
    <mergeCell ref="B21:D21"/>
    <mergeCell ref="E21:I21"/>
    <mergeCell ref="J21:L21"/>
    <mergeCell ref="M21:O21"/>
    <mergeCell ref="B22:D22"/>
    <mergeCell ref="E22:I22"/>
    <mergeCell ref="J22:L22"/>
    <mergeCell ref="M22:O22"/>
    <mergeCell ref="B23:D24"/>
    <mergeCell ref="E23:I23"/>
    <mergeCell ref="J23:L24"/>
    <mergeCell ref="M23:O24"/>
    <mergeCell ref="E24:I24"/>
    <mergeCell ref="B25:D25"/>
    <mergeCell ref="E25:I25"/>
    <mergeCell ref="J25:L25"/>
    <mergeCell ref="M25:O25"/>
    <mergeCell ref="B30:O30"/>
    <mergeCell ref="B32:D32"/>
    <mergeCell ref="E32:I32"/>
    <mergeCell ref="J32:L32"/>
    <mergeCell ref="M32:O32"/>
    <mergeCell ref="B33:D33"/>
    <mergeCell ref="E33:I33"/>
    <mergeCell ref="J33:L33"/>
    <mergeCell ref="M33:O33"/>
    <mergeCell ref="B34:D34"/>
    <mergeCell ref="E34:I34"/>
    <mergeCell ref="J34:L34"/>
    <mergeCell ref="M34:O34"/>
    <mergeCell ref="B35:D35"/>
    <mergeCell ref="E35:I35"/>
    <mergeCell ref="J35:L35"/>
    <mergeCell ref="M35:O35"/>
    <mergeCell ref="B36:D36"/>
    <mergeCell ref="B37:D37"/>
    <mergeCell ref="E37:I37"/>
    <mergeCell ref="B38:D38"/>
    <mergeCell ref="E38:I38"/>
    <mergeCell ref="J38:L38"/>
    <mergeCell ref="M38:O38"/>
    <mergeCell ref="B39:D39"/>
    <mergeCell ref="E39:I39"/>
    <mergeCell ref="B40:D40"/>
    <mergeCell ref="E40:I40"/>
    <mergeCell ref="J40:L40"/>
    <mergeCell ref="M40:O40"/>
    <mergeCell ref="B41:D41"/>
    <mergeCell ref="E41:I41"/>
    <mergeCell ref="J41:L41"/>
    <mergeCell ref="M41:O41"/>
    <mergeCell ref="B42:D42"/>
    <mergeCell ref="E42:I42"/>
    <mergeCell ref="B43:D43"/>
    <mergeCell ref="E43:I43"/>
    <mergeCell ref="J43:L43"/>
    <mergeCell ref="B44:D44"/>
    <mergeCell ref="E44:I44"/>
    <mergeCell ref="J44:L44"/>
    <mergeCell ref="B48:L48"/>
    <mergeCell ref="M48:O48"/>
    <mergeCell ref="B45:D45"/>
    <mergeCell ref="E45:I45"/>
    <mergeCell ref="J45:L45"/>
    <mergeCell ref="B46:D46"/>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40"/>
  <sheetViews>
    <sheetView showGridLines="0" zoomScale="55" zoomScaleNormal="55" zoomScalePageLayoutView="0" workbookViewId="0" topLeftCell="A1">
      <selection activeCell="A1" sqref="A1"/>
    </sheetView>
  </sheetViews>
  <sheetFormatPr defaultColWidth="11.421875" defaultRowHeight="15"/>
  <cols>
    <col min="1" max="1" width="2.574218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421875" style="0" customWidth="1"/>
    <col min="9" max="9" width="16.421875" style="0" customWidth="1"/>
    <col min="10" max="10" width="16.8515625" style="0" customWidth="1"/>
    <col min="11" max="11" width="18.421875" style="0" customWidth="1"/>
    <col min="12" max="12" width="15.421875" style="0" customWidth="1"/>
    <col min="13" max="13" width="20.421875" style="0" customWidth="1"/>
    <col min="14" max="14" width="14.421875" style="5" customWidth="1"/>
    <col min="15" max="15" width="16.140625" style="0" customWidth="1"/>
    <col min="16" max="16" width="13.57421875" style="0" customWidth="1"/>
    <col min="17" max="17" width="13.421875" style="0" customWidth="1"/>
    <col min="18" max="18" width="42.57421875" style="0" customWidth="1"/>
    <col min="19" max="19" width="2.421875" style="0" customWidth="1"/>
    <col min="20" max="20" width="1.1484375" style="0" customWidth="1"/>
    <col min="21" max="21" width="3.421875" style="0" customWidth="1"/>
    <col min="22" max="22" width="17.00390625" style="0" customWidth="1"/>
    <col min="23" max="23" width="15.00390625" style="0" customWidth="1"/>
    <col min="24" max="24" width="11.421875" style="0" customWidth="1"/>
    <col min="25" max="25" width="13.421875" style="0" customWidth="1"/>
    <col min="26" max="26" width="16.8515625" style="0" customWidth="1"/>
    <col min="27" max="27" width="11.421875" style="0" customWidth="1"/>
    <col min="28" max="28" width="2.00390625" style="5" customWidth="1"/>
    <col min="29" max="29" width="3.421875" style="5" customWidth="1"/>
    <col min="30" max="30" width="2.421875" style="5" customWidth="1"/>
    <col min="31" max="31" width="40.574218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42" t="s">
        <v>42</v>
      </c>
      <c r="C2" s="542"/>
      <c r="D2" s="542"/>
      <c r="E2" s="542"/>
      <c r="F2" s="542"/>
      <c r="G2" s="542"/>
      <c r="H2" s="542"/>
      <c r="I2" s="542"/>
      <c r="J2" s="542"/>
      <c r="K2" s="33"/>
      <c r="L2" s="33"/>
      <c r="M2" s="33"/>
    </row>
    <row r="3" spans="1:13" ht="4.5" customHeight="1">
      <c r="A3" s="6"/>
      <c r="B3" s="6"/>
      <c r="C3" s="6"/>
      <c r="D3" s="6"/>
      <c r="E3" s="6"/>
      <c r="F3" s="6"/>
      <c r="G3" s="6"/>
      <c r="H3" s="6"/>
      <c r="I3" s="6"/>
      <c r="J3" s="6"/>
      <c r="K3" s="6"/>
      <c r="L3" s="6"/>
      <c r="M3" s="6"/>
    </row>
    <row r="4" spans="1:13" ht="14.25" customHeight="1">
      <c r="A4" s="6"/>
      <c r="B4" s="34" t="s">
        <v>43</v>
      </c>
      <c r="C4" s="551" t="s">
        <v>44</v>
      </c>
      <c r="D4" s="551"/>
      <c r="E4" s="547" t="s">
        <v>45</v>
      </c>
      <c r="F4" s="547"/>
      <c r="G4" s="545" t="s">
        <v>317</v>
      </c>
      <c r="H4" s="546"/>
      <c r="I4" s="546"/>
      <c r="J4" s="546"/>
      <c r="K4" s="6"/>
      <c r="L4" s="6"/>
      <c r="M4" s="6"/>
    </row>
    <row r="5" spans="1:13" ht="3" customHeight="1">
      <c r="A5" s="6"/>
      <c r="B5" s="37"/>
      <c r="C5" s="6"/>
      <c r="D5" s="6"/>
      <c r="E5" s="38"/>
      <c r="F5" s="38"/>
      <c r="G5" s="6"/>
      <c r="H5" s="6"/>
      <c r="I5" s="6"/>
      <c r="J5" s="6"/>
      <c r="K5" s="6"/>
      <c r="L5" s="6"/>
      <c r="M5" s="6"/>
    </row>
    <row r="6" spans="1:13" ht="14.25">
      <c r="A6" s="6"/>
      <c r="B6" s="34" t="s">
        <v>46</v>
      </c>
      <c r="C6" s="546" t="s">
        <v>316</v>
      </c>
      <c r="D6" s="546"/>
      <c r="E6" s="547" t="s">
        <v>47</v>
      </c>
      <c r="F6" s="547"/>
      <c r="G6" s="35" t="s">
        <v>236</v>
      </c>
      <c r="H6" s="39" t="s">
        <v>49</v>
      </c>
      <c r="I6" s="557">
        <v>2000000</v>
      </c>
      <c r="J6" s="557"/>
      <c r="K6" s="6"/>
      <c r="L6" s="6"/>
      <c r="M6" s="6"/>
    </row>
    <row r="7" spans="1:13" ht="3" customHeight="1">
      <c r="A7" s="6"/>
      <c r="B7" s="37"/>
      <c r="C7" s="6"/>
      <c r="D7" s="6"/>
      <c r="E7" s="38"/>
      <c r="F7" s="38"/>
      <c r="G7" s="6"/>
      <c r="H7" s="37"/>
      <c r="I7" s="6"/>
      <c r="J7" s="6"/>
      <c r="K7" s="6"/>
      <c r="L7" s="6"/>
      <c r="M7" s="6"/>
    </row>
    <row r="8" spans="1:13" ht="14.25">
      <c r="A8" s="6"/>
      <c r="B8" s="34" t="s">
        <v>50</v>
      </c>
      <c r="C8" s="546" t="s">
        <v>51</v>
      </c>
      <c r="D8" s="546"/>
      <c r="E8" s="40"/>
      <c r="F8" s="36"/>
      <c r="G8" s="35"/>
      <c r="H8" s="36"/>
      <c r="I8" s="551" t="s">
        <v>232</v>
      </c>
      <c r="J8" s="551"/>
      <c r="K8" s="6"/>
      <c r="L8" s="6"/>
      <c r="M8" s="6"/>
    </row>
    <row r="9" spans="1:13" ht="3" customHeight="1">
      <c r="A9" s="6"/>
      <c r="B9" s="38"/>
      <c r="C9" s="41">
        <v>39825</v>
      </c>
      <c r="D9" s="6"/>
      <c r="E9" s="38"/>
      <c r="F9" s="38"/>
      <c r="G9" s="6"/>
      <c r="H9" s="6"/>
      <c r="I9" s="6"/>
      <c r="J9" s="6"/>
      <c r="K9" s="6"/>
      <c r="L9" s="6"/>
      <c r="M9" s="6"/>
    </row>
    <row r="10" spans="1:13" ht="14.25">
      <c r="A10" s="6"/>
      <c r="B10" s="34" t="s">
        <v>52</v>
      </c>
      <c r="C10" s="549">
        <v>42736</v>
      </c>
      <c r="D10" s="549"/>
      <c r="E10" s="550" t="s">
        <v>53</v>
      </c>
      <c r="F10" s="550"/>
      <c r="G10" s="551" t="s">
        <v>318</v>
      </c>
      <c r="H10" s="551"/>
      <c r="I10" s="551"/>
      <c r="J10" s="551"/>
      <c r="K10" s="6"/>
      <c r="L10" s="6"/>
      <c r="M10" s="6"/>
    </row>
    <row r="11" spans="1:13" ht="5.25" customHeight="1">
      <c r="A11" s="6"/>
      <c r="B11" s="6"/>
      <c r="C11" s="6"/>
      <c r="D11" s="6"/>
      <c r="E11" s="6"/>
      <c r="F11" s="6"/>
      <c r="G11" s="6"/>
      <c r="H11" s="6"/>
      <c r="I11" s="6"/>
      <c r="J11" s="6"/>
      <c r="K11" s="6"/>
      <c r="L11" s="6"/>
      <c r="M11" s="6"/>
    </row>
    <row r="12" spans="1:13" ht="15" customHeight="1">
      <c r="A12" s="6"/>
      <c r="B12" s="34" t="s">
        <v>54</v>
      </c>
      <c r="C12" s="552" t="s">
        <v>244</v>
      </c>
      <c r="D12" s="552"/>
      <c r="E12" s="553" t="s">
        <v>56</v>
      </c>
      <c r="F12" s="553"/>
      <c r="G12" s="554" t="s">
        <v>350</v>
      </c>
      <c r="H12" s="554"/>
      <c r="I12" s="554"/>
      <c r="J12" s="554"/>
      <c r="K12" s="6"/>
      <c r="L12" s="6"/>
      <c r="M12" s="6"/>
    </row>
    <row r="13" spans="1:13" ht="5.25" customHeight="1">
      <c r="A13" s="6"/>
      <c r="B13" s="6"/>
      <c r="C13" s="6"/>
      <c r="D13" s="6"/>
      <c r="E13" s="6"/>
      <c r="F13" s="6"/>
      <c r="G13" s="6"/>
      <c r="H13" s="6"/>
      <c r="I13" s="6"/>
      <c r="J13" s="6"/>
      <c r="K13" s="6"/>
      <c r="L13" s="6"/>
      <c r="M13" s="6"/>
    </row>
    <row r="14" spans="1:13" ht="15.75" customHeight="1">
      <c r="A14" s="6"/>
      <c r="B14" s="542" t="s">
        <v>57</v>
      </c>
      <c r="C14" s="542"/>
      <c r="D14" s="542"/>
      <c r="E14" s="542"/>
      <c r="F14" s="542"/>
      <c r="G14" s="542"/>
      <c r="H14" s="542"/>
      <c r="I14" s="542"/>
      <c r="J14" s="542"/>
      <c r="K14" s="6"/>
      <c r="L14" s="6"/>
      <c r="M14" s="6"/>
    </row>
    <row r="15" spans="1:13" ht="3" customHeight="1">
      <c r="A15" s="6"/>
      <c r="B15" s="6"/>
      <c r="C15" s="6"/>
      <c r="D15" s="6"/>
      <c r="E15" s="6"/>
      <c r="F15" s="6"/>
      <c r="G15" s="6"/>
      <c r="H15" s="6"/>
      <c r="I15" s="6"/>
      <c r="J15" s="6"/>
      <c r="K15" s="6"/>
      <c r="L15" s="6"/>
      <c r="M15" s="6"/>
    </row>
    <row r="16" spans="1:13" ht="14.25">
      <c r="A16" s="6"/>
      <c r="B16" s="34" t="s">
        <v>58</v>
      </c>
      <c r="C16" s="35" t="s">
        <v>76</v>
      </c>
      <c r="D16" s="36" t="s">
        <v>60</v>
      </c>
      <c r="E16" s="42">
        <v>43466</v>
      </c>
      <c r="F16" s="43" t="s">
        <v>61</v>
      </c>
      <c r="G16" s="42">
        <v>43646</v>
      </c>
      <c r="H16" s="543" t="s">
        <v>62</v>
      </c>
      <c r="I16" s="543"/>
      <c r="J16" s="42">
        <v>43721</v>
      </c>
      <c r="K16" s="6"/>
      <c r="L16" s="6"/>
      <c r="M16" s="6"/>
    </row>
    <row r="17" spans="1:13" ht="3" customHeight="1">
      <c r="A17" s="6"/>
      <c r="B17" s="6"/>
      <c r="C17" s="6"/>
      <c r="D17" s="6"/>
      <c r="E17" s="6"/>
      <c r="F17" s="6"/>
      <c r="G17" s="6"/>
      <c r="H17" s="6"/>
      <c r="I17" s="6"/>
      <c r="J17" s="6"/>
      <c r="K17" s="6"/>
      <c r="L17" s="6"/>
      <c r="M17" s="6"/>
    </row>
    <row r="18" spans="1:13" ht="14.25">
      <c r="A18" s="6"/>
      <c r="B18" s="544" t="s">
        <v>63</v>
      </c>
      <c r="C18" s="544"/>
      <c r="D18" s="545" t="s">
        <v>344</v>
      </c>
      <c r="E18" s="546"/>
      <c r="F18" s="546"/>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42" t="s">
        <v>64</v>
      </c>
      <c r="C21" s="542"/>
      <c r="D21" s="542"/>
      <c r="E21" s="542"/>
      <c r="F21" s="542"/>
      <c r="G21" s="542"/>
      <c r="H21" s="542"/>
      <c r="I21" s="542"/>
      <c r="J21" s="542"/>
      <c r="K21" s="6"/>
      <c r="L21" s="6"/>
      <c r="M21" s="6"/>
    </row>
    <row r="22" spans="1:13" ht="14.25">
      <c r="A22" s="6"/>
      <c r="B22" s="45" t="s">
        <v>65</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 thickBot="1">
      <c r="A24" s="6"/>
      <c r="B24" s="34" t="s">
        <v>66</v>
      </c>
      <c r="C24" s="47"/>
      <c r="D24" s="547" t="s">
        <v>67</v>
      </c>
      <c r="E24" s="547"/>
      <c r="F24" s="48"/>
      <c r="G24" s="547" t="s">
        <v>68</v>
      </c>
      <c r="H24" s="547"/>
      <c r="I24" s="548"/>
      <c r="J24" s="548"/>
      <c r="K24" s="6"/>
      <c r="L24" s="6"/>
      <c r="M24" s="6"/>
      <c r="N24" s="49"/>
    </row>
    <row r="25" spans="1:29" ht="18.75" thickBot="1">
      <c r="A25" s="6"/>
      <c r="B25" s="50" t="s">
        <v>66</v>
      </c>
      <c r="C25" s="51"/>
      <c r="D25" s="51"/>
      <c r="E25" s="51"/>
      <c r="F25" s="51"/>
      <c r="G25" s="51"/>
      <c r="H25" s="52"/>
      <c r="I25" s="52"/>
      <c r="J25" s="52" t="s">
        <v>69</v>
      </c>
      <c r="K25" s="52"/>
      <c r="L25" s="51"/>
      <c r="M25" s="51"/>
      <c r="N25" s="53"/>
      <c r="AC25" s="54"/>
    </row>
    <row r="26" spans="1:29" ht="14.25">
      <c r="A26" s="6"/>
      <c r="B26" s="536" t="s">
        <v>70</v>
      </c>
      <c r="C26" s="536"/>
      <c r="D26" s="55" t="s">
        <v>71</v>
      </c>
      <c r="E26" s="56"/>
      <c r="F26" s="56"/>
      <c r="G26" s="56"/>
      <c r="H26" s="56"/>
      <c r="I26" s="56"/>
      <c r="J26" s="57"/>
      <c r="K26" s="56"/>
      <c r="L26" s="56"/>
      <c r="M26" s="56"/>
      <c r="N26" s="58"/>
      <c r="AC26" s="54"/>
    </row>
    <row r="27" spans="1:29" ht="18">
      <c r="A27" s="6"/>
      <c r="B27" s="59" t="s">
        <v>72</v>
      </c>
      <c r="C27" s="56"/>
      <c r="D27" s="56"/>
      <c r="E27" s="56"/>
      <c r="F27" s="56"/>
      <c r="G27" s="56"/>
      <c r="H27" s="56"/>
      <c r="I27" s="56"/>
      <c r="J27" s="57"/>
      <c r="K27" s="56"/>
      <c r="L27" s="56"/>
      <c r="M27" s="56"/>
      <c r="N27" s="58"/>
      <c r="AC27" s="54"/>
    </row>
    <row r="28" spans="1:13" ht="15" thickBot="1">
      <c r="A28" s="6"/>
      <c r="B28" s="6"/>
      <c r="C28" s="6"/>
      <c r="D28" s="6"/>
      <c r="E28" s="6"/>
      <c r="F28" s="6"/>
      <c r="G28" s="6"/>
      <c r="H28" s="6"/>
      <c r="I28" s="6"/>
      <c r="J28" s="6"/>
      <c r="K28" s="6"/>
      <c r="L28" s="6"/>
      <c r="M28" s="6"/>
    </row>
    <row r="29" spans="1:17" ht="14.25">
      <c r="A29" s="6"/>
      <c r="B29" s="537" t="s">
        <v>73</v>
      </c>
      <c r="C29" s="537"/>
      <c r="D29" s="537"/>
      <c r="E29" s="537"/>
      <c r="F29" s="537"/>
      <c r="G29" s="537"/>
      <c r="H29" s="537"/>
      <c r="I29" s="537"/>
      <c r="J29" s="537"/>
      <c r="K29" s="537"/>
      <c r="L29" s="537"/>
      <c r="M29" s="537"/>
      <c r="N29" s="537"/>
      <c r="O29" s="60"/>
      <c r="P29" s="61">
        <f>+C33</f>
        <v>939921</v>
      </c>
      <c r="Q29" s="62"/>
    </row>
    <row r="30" spans="1:17" ht="45" customHeight="1">
      <c r="A30" s="6"/>
      <c r="B30" s="63" t="s">
        <v>74</v>
      </c>
      <c r="C30" s="64" t="s">
        <v>59</v>
      </c>
      <c r="D30" s="64" t="s">
        <v>349</v>
      </c>
      <c r="E30" s="64" t="s">
        <v>76</v>
      </c>
      <c r="F30" s="64" t="s">
        <v>77</v>
      </c>
      <c r="G30" s="64" t="s">
        <v>78</v>
      </c>
      <c r="H30" s="64" t="s">
        <v>79</v>
      </c>
      <c r="I30" s="64" t="s">
        <v>80</v>
      </c>
      <c r="J30" s="64" t="s">
        <v>81</v>
      </c>
      <c r="K30" s="64" t="s">
        <v>82</v>
      </c>
      <c r="L30" s="64" t="s">
        <v>83</v>
      </c>
      <c r="M30" s="64" t="s">
        <v>84</v>
      </c>
      <c r="N30" s="64" t="s">
        <v>85</v>
      </c>
      <c r="O30" s="60"/>
      <c r="P30" s="61">
        <f>+D33</f>
        <v>1647357</v>
      </c>
      <c r="Q30" s="62"/>
    </row>
    <row r="31" spans="1:17" ht="14.25" customHeight="1">
      <c r="A31" s="6"/>
      <c r="B31" s="65" t="str">
        <f>CONCATENATE("Presupuesto (en ",'Introducción de datos'!$D$26,")")</f>
        <v>Presupuesto (en $)</v>
      </c>
      <c r="C31" s="437">
        <f>432365+507556</f>
        <v>939921</v>
      </c>
      <c r="D31" s="438">
        <f>469719+237717</f>
        <v>707436</v>
      </c>
      <c r="E31" s="438">
        <f>225054+127589</f>
        <v>352643</v>
      </c>
      <c r="F31" s="438"/>
      <c r="G31" s="438"/>
      <c r="H31" s="438"/>
      <c r="I31" s="66"/>
      <c r="J31" s="66"/>
      <c r="K31" s="66"/>
      <c r="L31" s="66"/>
      <c r="M31" s="66"/>
      <c r="N31" s="66"/>
      <c r="O31" s="60"/>
      <c r="P31" s="61">
        <f>+E33</f>
        <v>2000000</v>
      </c>
      <c r="Q31" s="62"/>
    </row>
    <row r="32" spans="1:17" ht="14.25" customHeight="1">
      <c r="A32" s="6"/>
      <c r="B32" s="67" t="str">
        <f>CONCATENATE("Desembolsos por el Fondo Mundial (en ",$D$26,")")</f>
        <v>Desembolsos por el Fondo Mundial (en $)</v>
      </c>
      <c r="C32" s="437">
        <v>939921</v>
      </c>
      <c r="D32" s="68">
        <v>636619</v>
      </c>
      <c r="E32" s="68">
        <v>217471.28</v>
      </c>
      <c r="F32" s="68"/>
      <c r="G32" s="68">
        <v>0</v>
      </c>
      <c r="H32" s="68"/>
      <c r="I32" s="66"/>
      <c r="J32" s="66"/>
      <c r="K32" s="66"/>
      <c r="L32" s="66"/>
      <c r="M32" s="66"/>
      <c r="N32" s="66"/>
      <c r="O32" s="60"/>
      <c r="P32" s="61">
        <f>+F33</f>
        <v>0</v>
      </c>
      <c r="Q32" s="62"/>
    </row>
    <row r="33" spans="1:17" ht="14.25" customHeight="1">
      <c r="A33" s="6"/>
      <c r="B33" s="69" t="s">
        <v>86</v>
      </c>
      <c r="C33" s="70">
        <f>+C31</f>
        <v>939921</v>
      </c>
      <c r="D33" s="70">
        <f aca="true" t="shared" si="0" ref="D33:N33">IF(AND(D31=0,D32=0),0,+C33+D31)</f>
        <v>1647357</v>
      </c>
      <c r="E33" s="70">
        <f t="shared" si="0"/>
        <v>2000000</v>
      </c>
      <c r="F33" s="70">
        <f t="shared" si="0"/>
        <v>0</v>
      </c>
      <c r="G33" s="70">
        <f t="shared" si="0"/>
        <v>0</v>
      </c>
      <c r="H33" s="70">
        <f t="shared" si="0"/>
        <v>0</v>
      </c>
      <c r="I33" s="70">
        <f t="shared" si="0"/>
        <v>0</v>
      </c>
      <c r="J33" s="71">
        <f t="shared" si="0"/>
        <v>0</v>
      </c>
      <c r="K33" s="70">
        <f t="shared" si="0"/>
        <v>0</v>
      </c>
      <c r="L33" s="70">
        <f t="shared" si="0"/>
        <v>0</v>
      </c>
      <c r="M33" s="70">
        <f t="shared" si="0"/>
        <v>0</v>
      </c>
      <c r="N33" s="70">
        <f t="shared" si="0"/>
        <v>0</v>
      </c>
      <c r="O33" s="60"/>
      <c r="P33" s="61">
        <f>+G33</f>
        <v>0</v>
      </c>
      <c r="Q33" s="62"/>
    </row>
    <row r="34" spans="1:17" ht="15" customHeight="1" thickBot="1">
      <c r="A34" s="6"/>
      <c r="B34" s="72" t="s">
        <v>87</v>
      </c>
      <c r="C34" s="73">
        <f>+C32</f>
        <v>939921</v>
      </c>
      <c r="D34" s="73">
        <f aca="true" t="shared" si="1" ref="D34:N34">IF(AND(D31=0,D32=0),0,+C34+D32)</f>
        <v>1576540</v>
      </c>
      <c r="E34" s="73">
        <f t="shared" si="1"/>
        <v>1794011.28</v>
      </c>
      <c r="F34" s="73">
        <f t="shared" si="1"/>
        <v>0</v>
      </c>
      <c r="G34" s="73">
        <f t="shared" si="1"/>
        <v>0</v>
      </c>
      <c r="H34" s="73">
        <f t="shared" si="1"/>
        <v>0</v>
      </c>
      <c r="I34" s="73">
        <f t="shared" si="1"/>
        <v>0</v>
      </c>
      <c r="J34" s="73">
        <f t="shared" si="1"/>
        <v>0</v>
      </c>
      <c r="K34" s="73">
        <f t="shared" si="1"/>
        <v>0</v>
      </c>
      <c r="L34" s="73">
        <f t="shared" si="1"/>
        <v>0</v>
      </c>
      <c r="M34" s="73">
        <f t="shared" si="1"/>
        <v>0</v>
      </c>
      <c r="N34" s="73">
        <f t="shared" si="1"/>
        <v>0</v>
      </c>
      <c r="O34" s="60"/>
      <c r="P34" s="61">
        <f>+H33</f>
        <v>0</v>
      </c>
      <c r="Q34" s="62"/>
    </row>
    <row r="35" spans="1:17" ht="14.25">
      <c r="A35" s="6"/>
      <c r="B35" s="6"/>
      <c r="C35" s="74">
        <f aca="true" t="shared" si="2" ref="C35:N35">+IF(AND(C30=$C$16,C33&lt;&gt;0),C34/C33,0)</f>
        <v>0</v>
      </c>
      <c r="D35" s="74">
        <f t="shared" si="2"/>
        <v>0</v>
      </c>
      <c r="E35" s="477"/>
      <c r="F35" s="74">
        <f t="shared" si="2"/>
        <v>0</v>
      </c>
      <c r="G35" s="74">
        <f t="shared" si="2"/>
        <v>0</v>
      </c>
      <c r="H35" s="74">
        <f t="shared" si="2"/>
        <v>0</v>
      </c>
      <c r="I35" s="74">
        <f t="shared" si="2"/>
        <v>0</v>
      </c>
      <c r="J35" s="74">
        <f t="shared" si="2"/>
        <v>0</v>
      </c>
      <c r="K35" s="74">
        <f t="shared" si="2"/>
        <v>0</v>
      </c>
      <c r="L35" s="74">
        <f t="shared" si="2"/>
        <v>0</v>
      </c>
      <c r="M35" s="74">
        <f t="shared" si="2"/>
        <v>0</v>
      </c>
      <c r="N35" s="74">
        <f t="shared" si="2"/>
        <v>0</v>
      </c>
      <c r="O35" s="75"/>
      <c r="P35" s="61">
        <f>+I33</f>
        <v>0</v>
      </c>
      <c r="Q35" s="62"/>
    </row>
    <row r="36" spans="1:29" ht="18">
      <c r="A36" s="6"/>
      <c r="B36" s="59" t="s">
        <v>324</v>
      </c>
      <c r="C36" s="6"/>
      <c r="D36" s="6"/>
      <c r="E36" s="76"/>
      <c r="F36" s="6"/>
      <c r="G36" s="77"/>
      <c r="H36" s="6"/>
      <c r="I36" s="6"/>
      <c r="J36" s="6"/>
      <c r="K36" s="6"/>
      <c r="L36" s="6"/>
      <c r="M36" s="6"/>
      <c r="N36" s="78"/>
      <c r="AC36" s="49"/>
    </row>
    <row r="37" spans="1:14" ht="15" thickBot="1">
      <c r="A37" s="6"/>
      <c r="B37" s="6"/>
      <c r="C37" s="6"/>
      <c r="D37" s="6"/>
      <c r="E37" s="6"/>
      <c r="F37" s="6"/>
      <c r="G37" s="6"/>
      <c r="H37" s="6"/>
      <c r="I37" s="6"/>
      <c r="J37" s="6"/>
      <c r="K37" s="6"/>
      <c r="L37" s="6"/>
      <c r="M37" s="6"/>
      <c r="N37" s="79"/>
    </row>
    <row r="38" spans="1:26" ht="30" customHeight="1">
      <c r="A38" s="6"/>
      <c r="B38" s="80" t="s">
        <v>88</v>
      </c>
      <c r="C38" s="81" t="str">
        <f>CONCATENATE("Presupuesto acumulado (en ",'Introducción de datos'!$D$26,")")</f>
        <v>Presupuesto acumulado (en $)</v>
      </c>
      <c r="D38" s="82" t="str">
        <f>CONCATENATE("Gastos acumulados (en ",'Introducción de datos'!$D$26,")")</f>
        <v>Gastos acumulados (en $)</v>
      </c>
      <c r="E38" s="83"/>
      <c r="F38" s="84"/>
      <c r="G38" s="6"/>
      <c r="H38" s="6"/>
      <c r="I38" s="6"/>
      <c r="J38" s="85"/>
      <c r="K38" s="86"/>
      <c r="N38"/>
      <c r="Y38" s="49"/>
      <c r="Z38" s="5"/>
    </row>
    <row r="39" spans="1:26" ht="14.25" customHeight="1">
      <c r="A39" s="6"/>
      <c r="B39" s="87" t="s">
        <v>319</v>
      </c>
      <c r="C39" s="439">
        <f>566499+32200</f>
        <v>598699</v>
      </c>
      <c r="D39" s="439">
        <v>363852.32</v>
      </c>
      <c r="E39" s="440">
        <f>D39/C39</f>
        <v>0.6077383125744322</v>
      </c>
      <c r="F39" s="89"/>
      <c r="G39" s="90"/>
      <c r="H39" s="6"/>
      <c r="I39" s="6"/>
      <c r="J39" s="91"/>
      <c r="K39" s="92"/>
      <c r="N39"/>
      <c r="Y39" s="49"/>
      <c r="Z39" s="5"/>
    </row>
    <row r="40" spans="1:26" ht="14.25" customHeight="1">
      <c r="A40" s="6"/>
      <c r="B40" s="87" t="s">
        <v>320</v>
      </c>
      <c r="C40" s="439">
        <f>699528+118890</f>
        <v>818418</v>
      </c>
      <c r="D40" s="439">
        <v>535852.26</v>
      </c>
      <c r="E40" s="440">
        <f>D40/C40</f>
        <v>0.6547415379427138</v>
      </c>
      <c r="F40" s="89"/>
      <c r="G40" s="90"/>
      <c r="H40" s="6"/>
      <c r="I40" s="6"/>
      <c r="J40" s="6"/>
      <c r="K40" s="92"/>
      <c r="N40"/>
      <c r="Y40" s="49"/>
      <c r="Z40" s="5"/>
    </row>
    <row r="41" spans="1:26" ht="14.25">
      <c r="A41" s="6"/>
      <c r="B41" s="87" t="s">
        <v>321</v>
      </c>
      <c r="C41" s="439">
        <f>78560+56490</f>
        <v>135050</v>
      </c>
      <c r="D41" s="439">
        <v>71117.75</v>
      </c>
      <c r="E41" s="440">
        <f>D41/C41</f>
        <v>0.5266031099592744</v>
      </c>
      <c r="F41" s="94"/>
      <c r="G41" s="6"/>
      <c r="H41" s="6"/>
      <c r="I41" s="6"/>
      <c r="J41" s="6"/>
      <c r="K41" s="92"/>
      <c r="N41"/>
      <c r="Y41" s="49"/>
      <c r="Z41" s="5"/>
    </row>
    <row r="42" spans="1:26" ht="15" customHeight="1">
      <c r="A42" s="6"/>
      <c r="B42" s="87" t="s">
        <v>322</v>
      </c>
      <c r="C42" s="439">
        <f>68000+56100</f>
        <v>124100</v>
      </c>
      <c r="D42" s="439">
        <v>48669.4</v>
      </c>
      <c r="E42" s="440"/>
      <c r="F42" s="95"/>
      <c r="G42" s="6"/>
      <c r="H42" s="6"/>
      <c r="I42" s="6"/>
      <c r="J42" s="6"/>
      <c r="K42" s="49"/>
      <c r="N42"/>
      <c r="Y42" s="49"/>
      <c r="Z42" s="5"/>
    </row>
    <row r="43" spans="1:26" ht="14.25">
      <c r="A43" s="6"/>
      <c r="B43" s="87" t="s">
        <v>323</v>
      </c>
      <c r="C43" s="439">
        <f>234770+88963</f>
        <v>323733</v>
      </c>
      <c r="D43" s="439">
        <v>151856.81999999998</v>
      </c>
      <c r="E43" s="440">
        <f>D43/C43</f>
        <v>0.4690804459230291</v>
      </c>
      <c r="F43" s="96"/>
      <c r="G43" s="6"/>
      <c r="H43" s="6"/>
      <c r="I43" s="6"/>
      <c r="J43" s="6"/>
      <c r="K43" s="49"/>
      <c r="N43"/>
      <c r="Y43" s="49"/>
      <c r="Z43" s="5"/>
    </row>
    <row r="44" spans="1:26" ht="14.25">
      <c r="A44" s="6"/>
      <c r="B44" s="87"/>
      <c r="C44" s="88"/>
      <c r="D44" s="97"/>
      <c r="E44" s="93"/>
      <c r="F44" s="98"/>
      <c r="G44" s="6"/>
      <c r="H44" s="6"/>
      <c r="I44" s="6"/>
      <c r="J44" s="6"/>
      <c r="K44" s="49"/>
      <c r="N44"/>
      <c r="Y44" s="49"/>
      <c r="Z44" s="5"/>
    </row>
    <row r="45" spans="1:26" ht="15" thickBot="1">
      <c r="A45" s="6"/>
      <c r="B45" s="99"/>
      <c r="C45" s="100"/>
      <c r="D45" s="101"/>
      <c r="E45" s="93"/>
      <c r="F45" s="93"/>
      <c r="G45" s="93"/>
      <c r="H45" s="93"/>
      <c r="I45" s="93"/>
      <c r="J45" s="93"/>
      <c r="K45" s="49"/>
      <c r="N45"/>
      <c r="Y45" s="5"/>
      <c r="Z45" s="5"/>
    </row>
    <row r="46" spans="1:26" ht="15" thickBot="1">
      <c r="A46" s="6"/>
      <c r="B46" s="102" t="s">
        <v>89</v>
      </c>
      <c r="C46" s="103">
        <f>SUM(C39:C44)</f>
        <v>2000000</v>
      </c>
      <c r="D46" s="103">
        <f>SUM(D39:D44)</f>
        <v>1171348.55</v>
      </c>
      <c r="E46" s="482">
        <f>D46/C46</f>
        <v>0.585674275</v>
      </c>
      <c r="F46" s="538" t="str">
        <f ca="1">+IF((ROUND(C46,0)=ROUND(OFFSET(B33,0,RIGHT('Introducción de datos'!$C$16,LEN('Introducción de datos'!$C$16)-1),1,1),0)),"OK: Datos corresponden","Atención: Datos no corresponden")</f>
        <v>OK: Datos corresponden</v>
      </c>
      <c r="G46" s="538"/>
      <c r="H46" s="538"/>
      <c r="I46" s="538"/>
      <c r="J46" s="104"/>
      <c r="K46" s="104"/>
      <c r="L46" s="104"/>
      <c r="M46" s="105"/>
      <c r="N46" s="75"/>
      <c r="Y46" s="5"/>
      <c r="Z46" s="5"/>
    </row>
    <row r="47" spans="1:17" ht="15">
      <c r="A47" s="6"/>
      <c r="B47" s="106" t="s">
        <v>325</v>
      </c>
      <c r="C47" s="104"/>
      <c r="D47" s="104"/>
      <c r="E47" s="107"/>
      <c r="F47" s="104"/>
      <c r="G47" s="104"/>
      <c r="H47" s="104"/>
      <c r="I47" s="104"/>
      <c r="J47" s="104"/>
      <c r="K47" s="104"/>
      <c r="L47" s="104"/>
      <c r="M47" s="104"/>
      <c r="N47" s="104"/>
      <c r="O47" s="75"/>
      <c r="P47" s="61"/>
      <c r="Q47" s="62"/>
    </row>
    <row r="48" spans="1:17" ht="18.75">
      <c r="A48" s="6"/>
      <c r="B48" s="59" t="s">
        <v>90</v>
      </c>
      <c r="C48" s="6"/>
      <c r="D48" s="6"/>
      <c r="E48" s="6"/>
      <c r="F48" s="6"/>
      <c r="G48" s="6"/>
      <c r="H48" s="6"/>
      <c r="I48" s="6"/>
      <c r="J48" s="6"/>
      <c r="K48" s="6"/>
      <c r="L48" s="6"/>
      <c r="M48" s="6"/>
      <c r="O48" s="60"/>
      <c r="P48" s="61">
        <f>+J33</f>
        <v>0</v>
      </c>
      <c r="Q48" s="62"/>
    </row>
    <row r="49" spans="1:17" ht="15" thickBot="1">
      <c r="A49" s="6"/>
      <c r="B49" s="6"/>
      <c r="C49" s="6"/>
      <c r="D49" s="6"/>
      <c r="E49" s="6"/>
      <c r="F49" s="6"/>
      <c r="G49" s="6"/>
      <c r="H49" s="6"/>
      <c r="I49" s="6"/>
      <c r="J49" s="6"/>
      <c r="K49" s="6"/>
      <c r="L49" s="6"/>
      <c r="M49" s="6"/>
      <c r="O49" s="60"/>
      <c r="P49" s="61">
        <f>+K33</f>
        <v>0</v>
      </c>
      <c r="Q49" s="62"/>
    </row>
    <row r="50" spans="1:28" ht="35.25" customHeight="1">
      <c r="A50" s="6"/>
      <c r="B50" s="108"/>
      <c r="C50" s="109" t="s">
        <v>91</v>
      </c>
      <c r="D50" s="109" t="s">
        <v>92</v>
      </c>
      <c r="E50" s="110" t="str">
        <f>CONCATENATE("Total gastado y desembolso (en ",D26,")")</f>
        <v>Total gastado y desembolso (en $)</v>
      </c>
      <c r="F50" s="6"/>
      <c r="G50" s="111"/>
      <c r="H50" s="84"/>
      <c r="I50" s="112"/>
      <c r="J50" s="112"/>
      <c r="K50" s="112"/>
      <c r="L50" s="112"/>
      <c r="M50" s="113"/>
      <c r="N50" s="113"/>
      <c r="O50" s="61">
        <f>+M33</f>
        <v>0</v>
      </c>
      <c r="P50" s="62"/>
      <c r="AB50" s="49"/>
    </row>
    <row r="51" spans="1:28" ht="14.25">
      <c r="A51" s="6"/>
      <c r="B51" s="441" t="s">
        <v>326</v>
      </c>
      <c r="C51" s="480">
        <v>1576540</v>
      </c>
      <c r="D51" s="439">
        <f>+E32</f>
        <v>217471.28</v>
      </c>
      <c r="E51" s="114">
        <f>+D51+C51</f>
        <v>1794011.28</v>
      </c>
      <c r="F51" s="6"/>
      <c r="G51" s="115"/>
      <c r="H51" s="116"/>
      <c r="I51" s="117"/>
      <c r="J51" s="118"/>
      <c r="K51" s="118"/>
      <c r="L51" s="119"/>
      <c r="M51" s="119"/>
      <c r="N51" s="119"/>
      <c r="O51" s="62"/>
      <c r="P51" s="62"/>
      <c r="AB51" s="49"/>
    </row>
    <row r="52" spans="1:28" ht="14.25">
      <c r="A52" s="6"/>
      <c r="B52" s="441" t="s">
        <v>347</v>
      </c>
      <c r="C52" s="480">
        <v>21056</v>
      </c>
      <c r="D52" s="439">
        <v>5897.81</v>
      </c>
      <c r="E52" s="114">
        <f>+D52+C52</f>
        <v>26953.81</v>
      </c>
      <c r="F52" s="6"/>
      <c r="G52" s="115"/>
      <c r="H52" s="116"/>
      <c r="I52" s="117"/>
      <c r="J52" s="118"/>
      <c r="K52" s="118"/>
      <c r="L52" s="119"/>
      <c r="M52" s="119"/>
      <c r="N52" s="119"/>
      <c r="O52" s="62"/>
      <c r="P52" s="62"/>
      <c r="AB52" s="49"/>
    </row>
    <row r="53" spans="1:28" ht="14.25">
      <c r="A53" s="6"/>
      <c r="B53" s="441" t="s">
        <v>327</v>
      </c>
      <c r="C53" s="480">
        <v>872103.28</v>
      </c>
      <c r="D53" s="439">
        <v>299245.27</v>
      </c>
      <c r="E53" s="114">
        <f>+D53+C53</f>
        <v>1171348.55</v>
      </c>
      <c r="F53" s="478"/>
      <c r="G53" s="478"/>
      <c r="H53" s="116"/>
      <c r="I53" s="117"/>
      <c r="J53" s="118"/>
      <c r="K53" s="118"/>
      <c r="L53" s="119"/>
      <c r="M53" s="121"/>
      <c r="N53" s="121"/>
      <c r="O53" s="62"/>
      <c r="P53" s="62"/>
      <c r="AB53" s="49"/>
    </row>
    <row r="54" spans="1:28" ht="14.25">
      <c r="A54" s="6"/>
      <c r="B54" s="441" t="s">
        <v>328</v>
      </c>
      <c r="C54" s="480"/>
      <c r="D54" s="439">
        <v>162351.5</v>
      </c>
      <c r="E54" s="114">
        <f>+D54+C54</f>
        <v>162351.5</v>
      </c>
      <c r="F54" s="6"/>
      <c r="G54" s="120"/>
      <c r="H54" s="116"/>
      <c r="I54" s="117"/>
      <c r="J54" s="118"/>
      <c r="K54" s="118"/>
      <c r="L54" s="119"/>
      <c r="M54" s="121"/>
      <c r="N54" s="121"/>
      <c r="O54" s="62"/>
      <c r="P54" s="62"/>
      <c r="AB54" s="49"/>
    </row>
    <row r="55" spans="1:28" ht="15" thickBot="1">
      <c r="A55" s="6"/>
      <c r="B55" s="442" t="s">
        <v>348</v>
      </c>
      <c r="C55" s="481">
        <v>725493.11</v>
      </c>
      <c r="D55" s="443">
        <f>+C55+D51+D52-D53</f>
        <v>649616.93</v>
      </c>
      <c r="E55" s="122">
        <f>+D55+C55</f>
        <v>1375110.04</v>
      </c>
      <c r="F55" s="6"/>
      <c r="G55" s="120"/>
      <c r="H55" s="116"/>
      <c r="I55" s="117"/>
      <c r="J55" s="118"/>
      <c r="K55" s="118"/>
      <c r="L55" s="119"/>
      <c r="M55" s="121"/>
      <c r="N55" s="121"/>
      <c r="O55" s="62"/>
      <c r="P55" s="62"/>
      <c r="AB55" s="49"/>
    </row>
    <row r="56" spans="1:17" ht="18">
      <c r="A56" s="6"/>
      <c r="B56" s="59"/>
      <c r="C56" s="6"/>
      <c r="D56" s="6"/>
      <c r="E56" s="479"/>
      <c r="F56" s="6"/>
      <c r="G56" s="6"/>
      <c r="H56" s="6"/>
      <c r="I56" s="6"/>
      <c r="J56" s="6"/>
      <c r="K56" s="6"/>
      <c r="L56" s="6"/>
      <c r="M56" s="6"/>
      <c r="O56" s="60"/>
      <c r="P56" s="61"/>
      <c r="Q56" s="62"/>
    </row>
    <row r="57" spans="1:13" ht="18">
      <c r="A57" s="6"/>
      <c r="B57" s="59" t="s">
        <v>93</v>
      </c>
      <c r="C57" s="6"/>
      <c r="D57" s="123"/>
      <c r="E57" s="6"/>
      <c r="F57" s="6"/>
      <c r="G57" s="6"/>
      <c r="H57" s="6"/>
      <c r="I57" s="6"/>
      <c r="J57" s="6"/>
      <c r="K57" s="6"/>
      <c r="L57" s="6"/>
      <c r="M57" s="6"/>
    </row>
    <row r="58" spans="1:13" ht="15" thickBot="1">
      <c r="A58" s="6"/>
      <c r="B58" s="6"/>
      <c r="C58" s="475"/>
      <c r="D58" s="6"/>
      <c r="E58" s="6"/>
      <c r="F58" s="6"/>
      <c r="G58" s="6"/>
      <c r="H58" s="6"/>
      <c r="I58" s="6"/>
      <c r="J58" s="6"/>
      <c r="K58" s="6"/>
      <c r="L58" s="6"/>
      <c r="M58" s="6"/>
    </row>
    <row r="59" spans="1:13" ht="14.25" customHeight="1">
      <c r="A59" s="6"/>
      <c r="B59" s="539" t="s">
        <v>94</v>
      </c>
      <c r="C59" s="539"/>
      <c r="D59" s="539"/>
      <c r="E59" s="6"/>
      <c r="F59" s="6"/>
      <c r="G59" s="6"/>
      <c r="H59" s="6"/>
      <c r="I59" s="6"/>
      <c r="J59" s="6"/>
      <c r="K59" s="6"/>
      <c r="L59" s="6"/>
      <c r="M59" s="5"/>
    </row>
    <row r="60" spans="1:13" ht="14.25">
      <c r="A60" s="6"/>
      <c r="B60" s="124"/>
      <c r="C60" s="125" t="s">
        <v>95</v>
      </c>
      <c r="D60" s="126" t="s">
        <v>96</v>
      </c>
      <c r="E60" s="6"/>
      <c r="F60" s="6"/>
      <c r="G60" s="6"/>
      <c r="H60" s="6"/>
      <c r="I60" s="6"/>
      <c r="J60" s="6"/>
      <c r="K60" s="6"/>
      <c r="L60" s="6"/>
      <c r="M60" s="5"/>
    </row>
    <row r="61" spans="1:13" ht="14.25">
      <c r="A61" s="6"/>
      <c r="B61" s="127" t="s">
        <v>97</v>
      </c>
      <c r="C61" s="128">
        <v>60</v>
      </c>
      <c r="D61" s="129">
        <v>60</v>
      </c>
      <c r="E61" s="6"/>
      <c r="F61" s="6"/>
      <c r="G61" s="6"/>
      <c r="H61" s="6"/>
      <c r="I61" s="6"/>
      <c r="J61" s="6"/>
      <c r="K61" s="6"/>
      <c r="L61" s="6"/>
      <c r="M61" s="5"/>
    </row>
    <row r="62" spans="1:13" ht="14.25">
      <c r="A62" s="6"/>
      <c r="B62" s="130" t="s">
        <v>98</v>
      </c>
      <c r="C62" s="128">
        <v>0</v>
      </c>
      <c r="D62" s="129">
        <v>0</v>
      </c>
      <c r="E62" s="6"/>
      <c r="F62" s="6"/>
      <c r="G62" s="6"/>
      <c r="H62" s="116"/>
      <c r="I62" s="116"/>
      <c r="J62" s="6"/>
      <c r="K62" s="6"/>
      <c r="L62" s="6"/>
      <c r="M62" s="5"/>
    </row>
    <row r="63" spans="1:13" ht="15" thickBot="1">
      <c r="A63" s="6"/>
      <c r="B63" s="131"/>
      <c r="C63" s="132"/>
      <c r="D63" s="133"/>
      <c r="E63" s="6"/>
      <c r="F63" s="6"/>
      <c r="G63" s="6"/>
      <c r="H63" s="116"/>
      <c r="I63" s="116"/>
      <c r="J63" s="6"/>
      <c r="K63" s="6"/>
      <c r="L63" s="6"/>
      <c r="M63" s="5"/>
    </row>
    <row r="64" spans="1:13" ht="14.25">
      <c r="A64" s="6"/>
      <c r="B64" s="134"/>
      <c r="C64" s="6"/>
      <c r="D64" s="6"/>
      <c r="E64" s="6"/>
      <c r="F64" s="6"/>
      <c r="G64" s="6"/>
      <c r="H64" s="6"/>
      <c r="I64" s="6"/>
      <c r="J64" s="6"/>
      <c r="K64" s="6"/>
      <c r="L64" s="6"/>
      <c r="M64" s="6"/>
    </row>
    <row r="65" spans="1:24" ht="15" thickBot="1">
      <c r="A65" s="6"/>
      <c r="B65" s="6"/>
      <c r="C65" s="6"/>
      <c r="D65" s="6"/>
      <c r="E65" s="6"/>
      <c r="F65" s="6"/>
      <c r="G65" s="6"/>
      <c r="H65" s="6"/>
      <c r="I65" s="6"/>
      <c r="J65" s="6"/>
      <c r="K65" s="6"/>
      <c r="L65" s="135"/>
      <c r="M65" s="6"/>
      <c r="W65" s="10"/>
      <c r="X65" s="10"/>
    </row>
    <row r="66" spans="1:24" ht="18.75" thickBot="1">
      <c r="A66" s="6"/>
      <c r="B66" s="136" t="s">
        <v>99</v>
      </c>
      <c r="C66" s="137"/>
      <c r="D66" s="137"/>
      <c r="E66" s="137"/>
      <c r="F66" s="137"/>
      <c r="G66" s="137"/>
      <c r="H66" s="138" t="s">
        <v>100</v>
      </c>
      <c r="I66" s="137"/>
      <c r="J66" s="139"/>
      <c r="K66" s="139"/>
      <c r="L66" s="140"/>
      <c r="M66" s="141"/>
      <c r="N66" s="142"/>
      <c r="Q66" s="54"/>
      <c r="W66" s="10"/>
      <c r="X66" s="10"/>
    </row>
    <row r="67" spans="1:24" ht="18.75">
      <c r="A67" s="6"/>
      <c r="B67" s="143"/>
      <c r="C67" s="144"/>
      <c r="D67" s="144"/>
      <c r="E67" s="144"/>
      <c r="F67" s="144"/>
      <c r="G67" s="144"/>
      <c r="H67" s="144"/>
      <c r="I67" s="144"/>
      <c r="J67" s="144"/>
      <c r="K67" s="145"/>
      <c r="L67" s="145"/>
      <c r="M67" s="144"/>
      <c r="N67" s="142"/>
      <c r="Q67" s="54"/>
      <c r="W67" s="10"/>
      <c r="X67" s="10"/>
    </row>
    <row r="68" spans="1:24" ht="18.75">
      <c r="A68" s="6"/>
      <c r="B68" s="143" t="s">
        <v>101</v>
      </c>
      <c r="C68" s="144"/>
      <c r="D68" s="144"/>
      <c r="E68" s="144"/>
      <c r="F68" s="144"/>
      <c r="G68" s="144"/>
      <c r="H68" s="144"/>
      <c r="I68" s="144"/>
      <c r="J68" s="144"/>
      <c r="K68" s="145"/>
      <c r="L68" s="145"/>
      <c r="M68" s="144"/>
      <c r="N68" s="142"/>
      <c r="Q68" s="54"/>
      <c r="W68" s="10"/>
      <c r="X68" s="10"/>
    </row>
    <row r="69" spans="1:24" ht="15.75" thickBot="1">
      <c r="A69" s="6"/>
      <c r="B69" s="146"/>
      <c r="C69" s="147"/>
      <c r="D69" s="147"/>
      <c r="E69" s="147"/>
      <c r="F69" s="147"/>
      <c r="G69" s="147"/>
      <c r="H69" s="146"/>
      <c r="I69" s="147"/>
      <c r="J69" s="146"/>
      <c r="K69" s="146"/>
      <c r="L69" s="146"/>
      <c r="M69" s="146"/>
      <c r="N69" s="49"/>
      <c r="O69" s="10"/>
      <c r="P69" s="10"/>
      <c r="Q69" s="10"/>
      <c r="X69" s="10"/>
    </row>
    <row r="70" spans="1:17" ht="75">
      <c r="A70" s="6"/>
      <c r="B70" s="540"/>
      <c r="C70" s="540"/>
      <c r="D70" s="148" t="s">
        <v>102</v>
      </c>
      <c r="E70" s="149" t="s">
        <v>103</v>
      </c>
      <c r="F70" s="149" t="s">
        <v>104</v>
      </c>
      <c r="G70" s="149" t="s">
        <v>105</v>
      </c>
      <c r="H70" s="150" t="s">
        <v>89</v>
      </c>
      <c r="I70" s="151"/>
      <c r="J70" s="93"/>
      <c r="K70" s="146"/>
      <c r="L70" s="146"/>
      <c r="M70" s="146"/>
      <c r="N70" s="49"/>
      <c r="O70" s="10"/>
      <c r="P70" s="10"/>
      <c r="Q70" s="10"/>
    </row>
    <row r="71" spans="1:17" ht="15">
      <c r="A71" s="6"/>
      <c r="B71" s="541" t="s">
        <v>106</v>
      </c>
      <c r="C71" s="541"/>
      <c r="D71" s="153">
        <v>0</v>
      </c>
      <c r="E71" s="154">
        <v>0</v>
      </c>
      <c r="F71" s="154">
        <v>0</v>
      </c>
      <c r="G71" s="154">
        <v>0</v>
      </c>
      <c r="H71" s="155">
        <f>SUM(E71:G71)</f>
        <v>0</v>
      </c>
      <c r="I71" s="156"/>
      <c r="J71" s="156"/>
      <c r="K71" s="146"/>
      <c r="L71" s="146"/>
      <c r="M71" s="146"/>
      <c r="N71" s="49"/>
      <c r="O71" s="10"/>
      <c r="P71" s="10"/>
      <c r="Q71" s="10"/>
    </row>
    <row r="72" spans="1:17" ht="15" thickBot="1">
      <c r="A72" s="6"/>
      <c r="B72" s="531" t="s">
        <v>107</v>
      </c>
      <c r="C72" s="531"/>
      <c r="D72" s="158"/>
      <c r="E72" s="159"/>
      <c r="F72" s="159"/>
      <c r="G72" s="159"/>
      <c r="H72" s="160">
        <f>SUM(E72:G72)</f>
        <v>0</v>
      </c>
      <c r="I72" s="93"/>
      <c r="J72" s="93"/>
      <c r="K72" s="146"/>
      <c r="L72" s="146"/>
      <c r="M72" s="146"/>
      <c r="N72" s="10"/>
      <c r="O72" s="10"/>
      <c r="P72" s="10"/>
      <c r="Q72" s="10"/>
    </row>
    <row r="73" spans="1:17" ht="14.25">
      <c r="A73" s="6"/>
      <c r="B73" s="146"/>
      <c r="C73" s="146"/>
      <c r="D73" s="146"/>
      <c r="E73" s="146"/>
      <c r="F73" s="146"/>
      <c r="G73" s="146"/>
      <c r="H73" s="146"/>
      <c r="I73" s="146"/>
      <c r="J73" s="146"/>
      <c r="K73" s="146"/>
      <c r="L73" s="146"/>
      <c r="M73" s="146"/>
      <c r="N73" s="10"/>
      <c r="O73" s="10"/>
      <c r="P73" s="10"/>
      <c r="Q73" s="10"/>
    </row>
    <row r="74" spans="1:17" ht="14.25">
      <c r="A74" s="6"/>
      <c r="B74" s="146"/>
      <c r="C74" s="146"/>
      <c r="D74" s="146"/>
      <c r="E74" s="146"/>
      <c r="F74" s="146"/>
      <c r="G74" s="146"/>
      <c r="H74" s="146"/>
      <c r="I74" s="146"/>
      <c r="J74" s="146"/>
      <c r="K74" s="146"/>
      <c r="L74" s="146"/>
      <c r="M74" s="146"/>
      <c r="N74" s="10"/>
      <c r="Q74" s="10"/>
    </row>
    <row r="75" spans="1:17" ht="18">
      <c r="A75" s="6"/>
      <c r="B75" s="143" t="s">
        <v>108</v>
      </c>
      <c r="C75" s="146"/>
      <c r="D75" s="146"/>
      <c r="E75" s="146"/>
      <c r="F75" s="146"/>
      <c r="G75" s="146"/>
      <c r="H75" s="146"/>
      <c r="I75" s="146"/>
      <c r="J75" s="146"/>
      <c r="K75" s="146"/>
      <c r="L75" s="146"/>
      <c r="M75" s="146"/>
      <c r="N75" s="10"/>
      <c r="Q75" s="10"/>
    </row>
    <row r="76" spans="1:17" ht="15" thickBot="1">
      <c r="A76" s="6"/>
      <c r="B76" s="146"/>
      <c r="C76" s="146"/>
      <c r="D76" s="146"/>
      <c r="E76" s="146"/>
      <c r="F76" s="146"/>
      <c r="G76" s="146"/>
      <c r="H76" s="146"/>
      <c r="I76" s="146"/>
      <c r="J76" s="146"/>
      <c r="K76" s="146"/>
      <c r="L76" s="146"/>
      <c r="M76" s="146"/>
      <c r="N76" s="10"/>
      <c r="Q76" s="10"/>
    </row>
    <row r="77" spans="1:17" ht="14.25">
      <c r="A77" s="6"/>
      <c r="B77" s="161"/>
      <c r="C77" s="162" t="s">
        <v>109</v>
      </c>
      <c r="D77" s="162" t="s">
        <v>110</v>
      </c>
      <c r="E77" s="163" t="s">
        <v>111</v>
      </c>
      <c r="F77" s="93"/>
      <c r="G77" s="93"/>
      <c r="H77" s="93"/>
      <c r="I77" s="151"/>
      <c r="J77" s="146"/>
      <c r="K77" s="146"/>
      <c r="L77" s="146"/>
      <c r="M77" s="146"/>
      <c r="N77" s="10"/>
      <c r="Q77" s="10"/>
    </row>
    <row r="78" spans="1:17" ht="15" thickBot="1">
      <c r="A78" s="6"/>
      <c r="B78" s="157" t="s">
        <v>112</v>
      </c>
      <c r="C78" s="164">
        <v>0</v>
      </c>
      <c r="D78" s="164">
        <v>0</v>
      </c>
      <c r="E78" s="165">
        <f>+C78-D78</f>
        <v>0</v>
      </c>
      <c r="F78" s="166"/>
      <c r="G78" s="167"/>
      <c r="H78" s="93"/>
      <c r="I78" s="156"/>
      <c r="J78" s="146"/>
      <c r="K78" s="146"/>
      <c r="L78" s="146"/>
      <c r="M78" s="146"/>
      <c r="N78" s="10"/>
      <c r="Q78" s="10"/>
    </row>
    <row r="79" spans="1:17" ht="14.25">
      <c r="A79" s="6"/>
      <c r="B79" s="168"/>
      <c r="C79" s="146"/>
      <c r="D79" s="146"/>
      <c r="E79" s="146"/>
      <c r="F79" s="146"/>
      <c r="G79" s="146"/>
      <c r="H79" s="146"/>
      <c r="I79" s="146"/>
      <c r="J79" s="146"/>
      <c r="K79" s="146"/>
      <c r="L79" s="146"/>
      <c r="M79" s="146"/>
      <c r="N79" s="10"/>
      <c r="Q79" s="10"/>
    </row>
    <row r="80" spans="1:17" ht="18">
      <c r="A80" s="6"/>
      <c r="B80" s="143" t="s">
        <v>329</v>
      </c>
      <c r="C80" s="146"/>
      <c r="D80" s="146"/>
      <c r="E80" s="146"/>
      <c r="F80" s="146"/>
      <c r="G80" s="146"/>
      <c r="H80" s="146"/>
      <c r="I80" s="146"/>
      <c r="J80" s="146"/>
      <c r="K80" s="146"/>
      <c r="L80" s="146"/>
      <c r="M80" s="146"/>
      <c r="N80" s="10"/>
      <c r="Q80" s="10"/>
    </row>
    <row r="81" spans="1:17" ht="15" thickBot="1">
      <c r="A81" s="6"/>
      <c r="B81" s="146"/>
      <c r="C81" s="146"/>
      <c r="D81" s="146"/>
      <c r="E81" s="146"/>
      <c r="F81" s="146"/>
      <c r="G81" s="146"/>
      <c r="H81" s="146"/>
      <c r="I81" s="146"/>
      <c r="J81" s="146"/>
      <c r="K81" s="146"/>
      <c r="L81" s="146"/>
      <c r="M81" s="146"/>
      <c r="N81" s="10"/>
      <c r="Q81" s="10"/>
    </row>
    <row r="82" spans="1:17" ht="28.5">
      <c r="A82" s="6"/>
      <c r="B82" s="161"/>
      <c r="C82" s="162" t="s">
        <v>113</v>
      </c>
      <c r="D82" s="162" t="s">
        <v>114</v>
      </c>
      <c r="E82" s="162" t="s">
        <v>115</v>
      </c>
      <c r="F82" s="162" t="s">
        <v>116</v>
      </c>
      <c r="G82" s="169" t="s">
        <v>117</v>
      </c>
      <c r="H82" s="170"/>
      <c r="I82" s="151"/>
      <c r="J82" s="146"/>
      <c r="K82" s="146"/>
      <c r="L82" s="146"/>
      <c r="M82" s="146"/>
      <c r="N82" s="10"/>
      <c r="Q82" s="10"/>
    </row>
    <row r="83" spans="1:17" ht="15" thickBot="1">
      <c r="A83" s="6"/>
      <c r="B83" s="157" t="s">
        <v>118</v>
      </c>
      <c r="C83" s="164">
        <v>0</v>
      </c>
      <c r="D83" s="164">
        <v>0</v>
      </c>
      <c r="E83" s="164">
        <v>0</v>
      </c>
      <c r="F83" s="171">
        <v>0</v>
      </c>
      <c r="G83" s="172">
        <v>0</v>
      </c>
      <c r="H83" s="173"/>
      <c r="I83" s="96"/>
      <c r="J83" s="146"/>
      <c r="K83" s="146"/>
      <c r="L83" s="146"/>
      <c r="M83" s="146"/>
      <c r="N83" s="10"/>
      <c r="Q83" s="10"/>
    </row>
    <row r="84" spans="1:17" ht="14.25">
      <c r="A84" s="6"/>
      <c r="B84" s="174"/>
      <c r="C84" s="146"/>
      <c r="D84" s="146"/>
      <c r="E84" s="146"/>
      <c r="F84" s="146"/>
      <c r="G84" s="146"/>
      <c r="H84" s="146"/>
      <c r="J84" s="146"/>
      <c r="K84" s="146"/>
      <c r="L84" s="146"/>
      <c r="M84" s="146"/>
      <c r="N84" s="10"/>
      <c r="Q84" s="10"/>
    </row>
    <row r="85" spans="1:17" ht="18">
      <c r="A85" s="6"/>
      <c r="B85" s="143" t="s">
        <v>330</v>
      </c>
      <c r="C85" s="146"/>
      <c r="D85" s="146"/>
      <c r="E85" s="146"/>
      <c r="F85" s="146"/>
      <c r="G85" s="146"/>
      <c r="H85" s="146"/>
      <c r="I85" s="146"/>
      <c r="J85" s="146"/>
      <c r="K85" s="146"/>
      <c r="L85" s="146"/>
      <c r="M85" s="146"/>
      <c r="N85" s="10"/>
      <c r="Q85" s="10"/>
    </row>
    <row r="86" spans="1:17" ht="15" thickBot="1">
      <c r="A86" s="6"/>
      <c r="B86" s="146"/>
      <c r="C86" s="146"/>
      <c r="D86" s="146"/>
      <c r="E86" s="146"/>
      <c r="F86" s="146"/>
      <c r="G86" s="146"/>
      <c r="H86" s="146"/>
      <c r="I86" s="146"/>
      <c r="J86" s="146"/>
      <c r="K86" s="146"/>
      <c r="L86" s="146"/>
      <c r="M86" s="146"/>
      <c r="N86" s="10"/>
      <c r="Q86" s="10"/>
    </row>
    <row r="87" spans="1:30" ht="14.25">
      <c r="A87" s="6"/>
      <c r="B87" s="161"/>
      <c r="C87" s="175" t="s">
        <v>119</v>
      </c>
      <c r="D87" s="175" t="s">
        <v>120</v>
      </c>
      <c r="E87" s="176" t="s">
        <v>121</v>
      </c>
      <c r="F87" s="146"/>
      <c r="G87" s="146"/>
      <c r="H87" s="146"/>
      <c r="I87" s="146"/>
      <c r="J87" s="10"/>
      <c r="K87" s="10"/>
      <c r="L87" s="10"/>
      <c r="N87"/>
      <c r="AA87" s="5"/>
      <c r="AD87"/>
    </row>
    <row r="88" spans="1:30" ht="14.25">
      <c r="A88" s="6"/>
      <c r="B88" s="152" t="s">
        <v>122</v>
      </c>
      <c r="C88" s="153">
        <v>0</v>
      </c>
      <c r="D88" s="177"/>
      <c r="E88" s="178">
        <f>C88-D88</f>
        <v>0</v>
      </c>
      <c r="F88" s="146"/>
      <c r="G88" s="146"/>
      <c r="H88" s="146"/>
      <c r="I88" s="146"/>
      <c r="J88" s="10"/>
      <c r="K88" s="10"/>
      <c r="L88" s="10"/>
      <c r="N88"/>
      <c r="AA88" s="5"/>
      <c r="AD88"/>
    </row>
    <row r="89" spans="1:30" ht="15" thickBot="1">
      <c r="A89" s="6"/>
      <c r="B89" s="157" t="s">
        <v>123</v>
      </c>
      <c r="C89" s="179">
        <v>0</v>
      </c>
      <c r="D89" s="180"/>
      <c r="E89" s="178">
        <f>C89-D89</f>
        <v>0</v>
      </c>
      <c r="F89" s="146"/>
      <c r="G89" s="146"/>
      <c r="H89" s="146"/>
      <c r="I89" s="146"/>
      <c r="J89" s="10"/>
      <c r="K89" s="10"/>
      <c r="L89" s="10"/>
      <c r="N89"/>
      <c r="AA89" s="5"/>
      <c r="AD89"/>
    </row>
    <row r="90" spans="1:17" ht="14.25">
      <c r="A90" s="6"/>
      <c r="B90" s="181"/>
      <c r="C90" s="146"/>
      <c r="D90" s="146"/>
      <c r="E90" s="146"/>
      <c r="F90" s="146"/>
      <c r="G90" s="146"/>
      <c r="H90" s="146"/>
      <c r="I90" s="146"/>
      <c r="J90" s="146"/>
      <c r="K90" s="146"/>
      <c r="L90" s="146"/>
      <c r="M90" s="146"/>
      <c r="N90" s="10"/>
      <c r="Q90" s="10"/>
    </row>
    <row r="91" spans="1:17" ht="18">
      <c r="A91" s="6"/>
      <c r="B91" s="143" t="s">
        <v>124</v>
      </c>
      <c r="C91" s="146"/>
      <c r="D91" s="146"/>
      <c r="E91" s="146"/>
      <c r="F91" s="146"/>
      <c r="G91" s="146"/>
      <c r="H91" s="146"/>
      <c r="I91" s="146"/>
      <c r="J91" s="146"/>
      <c r="K91" s="146"/>
      <c r="L91" s="146"/>
      <c r="M91" s="146"/>
      <c r="N91" s="10"/>
      <c r="Q91" s="10"/>
    </row>
    <row r="92" spans="1:17" ht="15" thickBot="1">
      <c r="A92" s="6"/>
      <c r="B92" s="146"/>
      <c r="C92" s="146"/>
      <c r="D92" s="146"/>
      <c r="E92" s="146"/>
      <c r="F92" s="146"/>
      <c r="G92" s="146"/>
      <c r="H92" s="146"/>
      <c r="I92" s="93"/>
      <c r="J92" s="93"/>
      <c r="K92" s="93"/>
      <c r="L92" s="93"/>
      <c r="M92" s="93"/>
      <c r="N92" s="49"/>
      <c r="Q92" s="10"/>
    </row>
    <row r="93" spans="1:17" ht="14.25">
      <c r="A93" s="6"/>
      <c r="B93" s="182"/>
      <c r="C93" s="183" t="s">
        <v>59</v>
      </c>
      <c r="D93" s="183" t="s">
        <v>75</v>
      </c>
      <c r="E93" s="183" t="s">
        <v>76</v>
      </c>
      <c r="F93" s="183" t="s">
        <v>77</v>
      </c>
      <c r="G93" s="183" t="s">
        <v>78</v>
      </c>
      <c r="H93" s="183" t="s">
        <v>79</v>
      </c>
      <c r="I93" s="183" t="s">
        <v>80</v>
      </c>
      <c r="J93" s="183" t="s">
        <v>81</v>
      </c>
      <c r="K93" s="183" t="s">
        <v>82</v>
      </c>
      <c r="L93" s="183" t="s">
        <v>83</v>
      </c>
      <c r="M93" s="183" t="s">
        <v>84</v>
      </c>
      <c r="N93" s="184" t="s">
        <v>85</v>
      </c>
      <c r="Q93" s="10"/>
    </row>
    <row r="94" spans="1:17" ht="15" customHeight="1">
      <c r="A94" s="6"/>
      <c r="B94" s="185" t="s">
        <v>125</v>
      </c>
      <c r="C94" s="444">
        <f>194340+104144</f>
        <v>298484</v>
      </c>
      <c r="D94" s="187">
        <v>191370</v>
      </c>
      <c r="E94" s="187">
        <v>51370</v>
      </c>
      <c r="F94" s="187"/>
      <c r="G94" s="187"/>
      <c r="H94" s="187"/>
      <c r="I94" s="187"/>
      <c r="J94" s="187"/>
      <c r="K94" s="188"/>
      <c r="L94" s="188"/>
      <c r="M94" s="188"/>
      <c r="N94" s="188"/>
      <c r="Q94" s="10"/>
    </row>
    <row r="95" spans="1:17" ht="15" customHeight="1">
      <c r="A95" s="6"/>
      <c r="B95" s="185" t="s">
        <v>126</v>
      </c>
      <c r="C95" s="444"/>
      <c r="D95" s="187"/>
      <c r="E95" s="187">
        <v>0</v>
      </c>
      <c r="F95" s="187"/>
      <c r="G95" s="187"/>
      <c r="H95" s="187"/>
      <c r="I95" s="187"/>
      <c r="J95" s="187"/>
      <c r="K95" s="188"/>
      <c r="L95" s="188"/>
      <c r="M95" s="188"/>
      <c r="N95" s="188"/>
      <c r="Q95" s="10"/>
    </row>
    <row r="96" spans="1:17" ht="15" customHeight="1">
      <c r="A96" s="6"/>
      <c r="B96" s="185" t="s">
        <v>127</v>
      </c>
      <c r="C96" s="186">
        <f>244493-201916</f>
        <v>42577</v>
      </c>
      <c r="D96" s="187">
        <v>201916</v>
      </c>
      <c r="E96" s="187">
        <v>21226.16</v>
      </c>
      <c r="F96" s="187"/>
      <c r="G96" s="187"/>
      <c r="H96" s="187"/>
      <c r="I96" s="187"/>
      <c r="J96" s="187"/>
      <c r="K96" s="188"/>
      <c r="L96" s="188"/>
      <c r="M96" s="188"/>
      <c r="N96" s="188"/>
      <c r="Q96" s="10"/>
    </row>
    <row r="97" spans="1:17" ht="15" customHeight="1">
      <c r="A97" s="6"/>
      <c r="B97" s="189" t="s">
        <v>128</v>
      </c>
      <c r="C97" s="445">
        <f>+C94</f>
        <v>298484</v>
      </c>
      <c r="D97" s="446">
        <f aca="true" t="shared" si="3" ref="D97:F99">+C97+D94</f>
        <v>489854</v>
      </c>
      <c r="E97" s="446">
        <f>+D97+E94</f>
        <v>541224</v>
      </c>
      <c r="F97" s="446">
        <f>+E97+F94</f>
        <v>541224</v>
      </c>
      <c r="G97" s="446"/>
      <c r="H97" s="446"/>
      <c r="I97" s="446"/>
      <c r="J97" s="446"/>
      <c r="K97" s="446"/>
      <c r="L97" s="446">
        <f aca="true" t="shared" si="4" ref="L97:N99">+K97+L94</f>
        <v>0</v>
      </c>
      <c r="M97" s="447">
        <f t="shared" si="4"/>
        <v>0</v>
      </c>
      <c r="N97" s="447">
        <f t="shared" si="4"/>
        <v>0</v>
      </c>
      <c r="Q97" s="10"/>
    </row>
    <row r="98" spans="1:17" ht="15" customHeight="1">
      <c r="A98" s="6"/>
      <c r="B98" s="189" t="s">
        <v>129</v>
      </c>
      <c r="C98" s="445">
        <f>C95</f>
        <v>0</v>
      </c>
      <c r="D98" s="446">
        <f t="shared" si="3"/>
        <v>0</v>
      </c>
      <c r="E98" s="446">
        <f t="shared" si="3"/>
        <v>0</v>
      </c>
      <c r="F98" s="446">
        <f t="shared" si="3"/>
        <v>0</v>
      </c>
      <c r="G98" s="446"/>
      <c r="H98" s="446"/>
      <c r="I98" s="446"/>
      <c r="J98" s="446"/>
      <c r="K98" s="446"/>
      <c r="L98" s="446">
        <f t="shared" si="4"/>
        <v>0</v>
      </c>
      <c r="M98" s="447">
        <f t="shared" si="4"/>
        <v>0</v>
      </c>
      <c r="N98" s="447">
        <f t="shared" si="4"/>
        <v>0</v>
      </c>
      <c r="Q98" s="10"/>
    </row>
    <row r="99" spans="1:17" ht="14.25">
      <c r="A99" s="6"/>
      <c r="B99" s="190" t="s">
        <v>130</v>
      </c>
      <c r="C99" s="448">
        <f>+C96</f>
        <v>42577</v>
      </c>
      <c r="D99" s="446">
        <v>201916</v>
      </c>
      <c r="E99" s="446">
        <f>+D99+E96</f>
        <v>223142.16</v>
      </c>
      <c r="F99" s="446">
        <f t="shared" si="3"/>
        <v>223142.16</v>
      </c>
      <c r="G99" s="446"/>
      <c r="H99" s="446"/>
      <c r="I99" s="446"/>
      <c r="J99" s="446"/>
      <c r="K99" s="446"/>
      <c r="L99" s="446">
        <f t="shared" si="4"/>
        <v>0</v>
      </c>
      <c r="M99" s="447">
        <f t="shared" si="4"/>
        <v>0</v>
      </c>
      <c r="N99" s="447">
        <f t="shared" si="4"/>
        <v>0</v>
      </c>
      <c r="Q99" s="10"/>
    </row>
    <row r="100" spans="1:17" ht="14.25">
      <c r="A100" s="6"/>
      <c r="B100" s="6"/>
      <c r="C100" s="146"/>
      <c r="D100" s="476"/>
      <c r="E100" s="146"/>
      <c r="F100" s="146"/>
      <c r="G100" s="146"/>
      <c r="H100" s="146"/>
      <c r="I100" s="93"/>
      <c r="J100" s="191"/>
      <c r="K100" s="192"/>
      <c r="L100" s="93"/>
      <c r="M100" s="193"/>
      <c r="N100" s="49"/>
      <c r="Q100" s="10"/>
    </row>
    <row r="101" spans="1:17" ht="14.25">
      <c r="A101" s="6"/>
      <c r="B101" s="194" t="s">
        <v>331</v>
      </c>
      <c r="C101" s="146"/>
      <c r="D101" s="146"/>
      <c r="E101" s="146"/>
      <c r="F101" s="146"/>
      <c r="G101" s="146"/>
      <c r="H101" s="146"/>
      <c r="I101" s="93"/>
      <c r="J101" s="191"/>
      <c r="K101" s="192"/>
      <c r="L101" s="93"/>
      <c r="M101" s="193"/>
      <c r="N101" s="49"/>
      <c r="Q101" s="10"/>
    </row>
    <row r="102" spans="1:17" ht="14.25">
      <c r="A102" s="6"/>
      <c r="C102" s="146"/>
      <c r="D102" s="146"/>
      <c r="E102" s="146"/>
      <c r="F102" s="146"/>
      <c r="G102" s="146"/>
      <c r="H102" s="146"/>
      <c r="I102" s="93"/>
      <c r="J102" s="191"/>
      <c r="K102" s="193"/>
      <c r="L102" s="93"/>
      <c r="M102" s="193"/>
      <c r="N102" s="49"/>
      <c r="Q102" s="10"/>
    </row>
    <row r="103" spans="1:14" ht="14.25">
      <c r="A103" s="6"/>
      <c r="B103" s="6"/>
      <c r="C103" s="6"/>
      <c r="D103" s="6"/>
      <c r="E103" s="6"/>
      <c r="F103" s="6"/>
      <c r="G103" s="6"/>
      <c r="H103" s="6"/>
      <c r="I103" s="93"/>
      <c r="J103" s="93"/>
      <c r="K103" s="93"/>
      <c r="L103" s="93"/>
      <c r="M103" s="93"/>
      <c r="N103" s="49"/>
    </row>
    <row r="104" spans="1:14" ht="18">
      <c r="A104" s="6"/>
      <c r="B104" s="143" t="s">
        <v>131</v>
      </c>
      <c r="C104" s="6"/>
      <c r="D104" s="6"/>
      <c r="E104" s="6"/>
      <c r="F104" s="6"/>
      <c r="G104" s="6"/>
      <c r="H104" s="6"/>
      <c r="I104" s="93"/>
      <c r="J104" s="93"/>
      <c r="K104" s="93"/>
      <c r="L104" s="93"/>
      <c r="M104" s="93"/>
      <c r="N104" s="49"/>
    </row>
    <row r="105" spans="1:17" ht="15" thickBot="1">
      <c r="A105" s="6"/>
      <c r="B105" s="6"/>
      <c r="C105" s="93"/>
      <c r="D105" s="93"/>
      <c r="E105" s="93"/>
      <c r="F105" s="93"/>
      <c r="G105" s="146"/>
      <c r="H105" s="146"/>
      <c r="I105" s="146"/>
      <c r="J105" s="93"/>
      <c r="K105" s="146"/>
      <c r="L105" s="93"/>
      <c r="M105" s="93"/>
      <c r="N105" s="49"/>
      <c r="O105" s="10"/>
      <c r="Q105" s="49"/>
    </row>
    <row r="106" spans="1:16" ht="70.5" customHeight="1">
      <c r="A106" s="6"/>
      <c r="B106" s="195" t="s">
        <v>132</v>
      </c>
      <c r="C106" s="196" t="s">
        <v>133</v>
      </c>
      <c r="D106" s="197" t="s">
        <v>134</v>
      </c>
      <c r="E106" s="197" t="s">
        <v>135</v>
      </c>
      <c r="F106" s="197" t="s">
        <v>136</v>
      </c>
      <c r="G106" s="197" t="s">
        <v>137</v>
      </c>
      <c r="H106" s="197" t="s">
        <v>138</v>
      </c>
      <c r="I106" s="197" t="s">
        <v>139</v>
      </c>
      <c r="J106" s="197" t="s">
        <v>140</v>
      </c>
      <c r="K106" s="198" t="s">
        <v>141</v>
      </c>
      <c r="L106" s="146"/>
      <c r="M106" s="49"/>
      <c r="N106" s="49"/>
      <c r="P106" s="49"/>
    </row>
    <row r="107" spans="1:16" ht="15" thickBot="1">
      <c r="A107" s="6"/>
      <c r="B107" s="532" t="s">
        <v>236</v>
      </c>
      <c r="C107" s="199"/>
      <c r="D107" s="200"/>
      <c r="E107" s="201">
        <f>IF(ISBLANK(D107),"",D107*30)</f>
      </c>
      <c r="F107" s="202"/>
      <c r="G107" s="203">
        <f>IF(AND(E107&gt;0,F107&gt;0),(F107*E107),"")</f>
      </c>
      <c r="H107" s="204"/>
      <c r="I107" s="205">
        <f>IF(AND(G107&gt;0,H107&gt;0),H107/G107,"")</f>
      </c>
      <c r="J107" s="200"/>
      <c r="K107" s="205">
        <f>IF(AND(I107&gt;0,J107&gt;0),I107-J107,"")</f>
      </c>
      <c r="L107" s="146"/>
      <c r="M107" s="49"/>
      <c r="N107" s="49"/>
      <c r="P107" s="49"/>
    </row>
    <row r="108" spans="1:14" ht="15" thickBot="1">
      <c r="A108" s="6"/>
      <c r="B108" s="532"/>
      <c r="C108" s="199"/>
      <c r="D108" s="200"/>
      <c r="E108" s="201">
        <f>IF(ISBLANK(D108),"",D108*30)</f>
      </c>
      <c r="F108" s="202"/>
      <c r="G108" s="203">
        <f>IF(AND(E108&gt;0,F108&gt;0),(F108*E108),"")</f>
      </c>
      <c r="H108" s="204"/>
      <c r="I108" s="205">
        <f>IF(AND(G108&gt;0,H108&gt;0),H108/G108,"")</f>
      </c>
      <c r="J108" s="200"/>
      <c r="K108" s="205">
        <f>IF(AND(I108&gt;0,J108&gt;0),I108-J108,"")</f>
      </c>
      <c r="L108" s="146"/>
      <c r="M108" s="49"/>
      <c r="N108" s="49"/>
    </row>
    <row r="109" spans="1:17" ht="14.25">
      <c r="A109" s="6"/>
      <c r="B109" s="206"/>
      <c r="C109" s="6"/>
      <c r="D109" s="207"/>
      <c r="E109" s="6"/>
      <c r="F109" s="6"/>
      <c r="G109" s="146"/>
      <c r="H109" s="146"/>
      <c r="I109" s="146"/>
      <c r="J109" s="6"/>
      <c r="K109" s="6"/>
      <c r="L109" s="146"/>
      <c r="M109" s="146"/>
      <c r="N109" s="49"/>
      <c r="O109" s="10"/>
      <c r="Q109" s="49"/>
    </row>
    <row r="110" spans="1:13" ht="14.25">
      <c r="A110" s="6"/>
      <c r="B110" s="6"/>
      <c r="C110" s="6"/>
      <c r="D110" s="6"/>
      <c r="E110" s="6"/>
      <c r="F110" s="6"/>
      <c r="G110" s="6"/>
      <c r="H110" s="6"/>
      <c r="I110" s="146"/>
      <c r="J110" s="144"/>
      <c r="K110" s="144"/>
      <c r="L110" s="6"/>
      <c r="M110" s="6"/>
    </row>
    <row r="111" spans="1:15" ht="18.75" thickBot="1">
      <c r="A111" s="6"/>
      <c r="B111" s="208" t="s">
        <v>147</v>
      </c>
      <c r="C111" s="209"/>
      <c r="D111" s="209"/>
      <c r="E111" s="210"/>
      <c r="F111" s="210"/>
      <c r="G111" s="210"/>
      <c r="H111" s="211"/>
      <c r="I111" s="212"/>
      <c r="J111" s="213"/>
      <c r="K111" s="214" t="s">
        <v>148</v>
      </c>
      <c r="L111" s="210"/>
      <c r="M111" s="215"/>
      <c r="N111" s="216"/>
      <c r="O111" s="5"/>
    </row>
    <row r="112" spans="1:15" ht="15" thickBot="1">
      <c r="A112" s="6"/>
      <c r="B112" s="6"/>
      <c r="C112" s="6"/>
      <c r="D112" s="6"/>
      <c r="E112" s="6"/>
      <c r="F112" s="6"/>
      <c r="G112" s="6"/>
      <c r="H112" s="6"/>
      <c r="I112" s="6"/>
      <c r="J112" s="6"/>
      <c r="K112" s="6"/>
      <c r="L112" s="6"/>
      <c r="M112" s="6"/>
      <c r="N112"/>
      <c r="O112" s="5"/>
    </row>
    <row r="113" spans="1:18" ht="25.5">
      <c r="A113" s="6"/>
      <c r="B113" s="533" t="s">
        <v>149</v>
      </c>
      <c r="C113" s="533"/>
      <c r="D113" s="533"/>
      <c r="E113" s="217" t="s">
        <v>150</v>
      </c>
      <c r="F113" s="218" t="s">
        <v>151</v>
      </c>
      <c r="G113" s="219"/>
      <c r="H113" s="220" t="s">
        <v>59</v>
      </c>
      <c r="I113" s="220" t="s">
        <v>75</v>
      </c>
      <c r="J113" s="220" t="s">
        <v>76</v>
      </c>
      <c r="K113" s="220" t="s">
        <v>77</v>
      </c>
      <c r="L113" s="220" t="s">
        <v>78</v>
      </c>
      <c r="M113" s="220" t="s">
        <v>79</v>
      </c>
      <c r="N113" s="220" t="s">
        <v>80</v>
      </c>
      <c r="O113" s="220" t="s">
        <v>81</v>
      </c>
      <c r="P113" s="220" t="s">
        <v>82</v>
      </c>
      <c r="Q113" s="220" t="s">
        <v>83</v>
      </c>
      <c r="R113" s="452" t="s">
        <v>186</v>
      </c>
    </row>
    <row r="114" spans="1:18" ht="14.25">
      <c r="A114" s="6"/>
      <c r="B114" s="221"/>
      <c r="C114" s="222"/>
      <c r="D114" s="222"/>
      <c r="E114" s="223"/>
      <c r="F114" s="224"/>
      <c r="G114" s="225"/>
      <c r="H114" s="226"/>
      <c r="I114" s="226"/>
      <c r="J114" s="226"/>
      <c r="K114" s="226"/>
      <c r="L114" s="226"/>
      <c r="M114" s="226"/>
      <c r="N114" s="226"/>
      <c r="O114" s="226"/>
      <c r="P114" s="226"/>
      <c r="Q114" s="227"/>
      <c r="R114" s="453"/>
    </row>
    <row r="115" spans="1:18" ht="15" customHeight="1">
      <c r="A115" s="534" t="s">
        <v>152</v>
      </c>
      <c r="B115" s="527" t="s">
        <v>332</v>
      </c>
      <c r="C115" s="527"/>
      <c r="D115" s="527"/>
      <c r="E115" s="528" t="s">
        <v>341</v>
      </c>
      <c r="F115" s="529" t="s">
        <v>153</v>
      </c>
      <c r="G115" s="457" t="s">
        <v>154</v>
      </c>
      <c r="H115" s="456">
        <v>7332</v>
      </c>
      <c r="I115" s="456">
        <v>4888</v>
      </c>
      <c r="J115" s="456">
        <v>2444</v>
      </c>
      <c r="K115" s="458"/>
      <c r="L115" s="459"/>
      <c r="M115" s="460"/>
      <c r="N115" s="461"/>
      <c r="O115" s="461"/>
      <c r="P115" s="462"/>
      <c r="Q115" s="462"/>
      <c r="R115" s="463"/>
    </row>
    <row r="116" spans="1:18" ht="310.5" customHeight="1">
      <c r="A116" s="534"/>
      <c r="B116" s="527"/>
      <c r="C116" s="527"/>
      <c r="D116" s="527"/>
      <c r="E116" s="528"/>
      <c r="F116" s="529"/>
      <c r="G116" s="457" t="s">
        <v>155</v>
      </c>
      <c r="H116" s="456">
        <v>3686</v>
      </c>
      <c r="I116" s="456">
        <v>2610</v>
      </c>
      <c r="J116" s="456">
        <v>2425</v>
      </c>
      <c r="K116" s="458"/>
      <c r="L116" s="456"/>
      <c r="M116" s="460"/>
      <c r="N116" s="461"/>
      <c r="O116" s="461"/>
      <c r="P116" s="462"/>
      <c r="Q116" s="462"/>
      <c r="R116" s="454" t="s">
        <v>355</v>
      </c>
    </row>
    <row r="117" spans="1:18" ht="15" customHeight="1">
      <c r="A117" s="534"/>
      <c r="B117" s="530" t="s">
        <v>333</v>
      </c>
      <c r="C117" s="530"/>
      <c r="D117" s="530"/>
      <c r="E117" s="528" t="s">
        <v>341</v>
      </c>
      <c r="F117" s="529" t="s">
        <v>153</v>
      </c>
      <c r="G117" s="464" t="s">
        <v>154</v>
      </c>
      <c r="H117" s="465">
        <v>0.036</v>
      </c>
      <c r="I117" s="465">
        <v>0.036</v>
      </c>
      <c r="J117" s="465">
        <v>0.036</v>
      </c>
      <c r="K117" s="458"/>
      <c r="L117" s="456"/>
      <c r="M117" s="460"/>
      <c r="N117" s="460"/>
      <c r="O117" s="460"/>
      <c r="P117" s="466"/>
      <c r="Q117" s="466"/>
      <c r="R117" s="455"/>
    </row>
    <row r="118" spans="1:18" ht="115.5" customHeight="1">
      <c r="A118" s="534"/>
      <c r="B118" s="530"/>
      <c r="C118" s="530"/>
      <c r="D118" s="530"/>
      <c r="E118" s="528"/>
      <c r="F118" s="529"/>
      <c r="G118" s="464" t="s">
        <v>155</v>
      </c>
      <c r="H118" s="467">
        <v>0.1989</v>
      </c>
      <c r="I118" s="467">
        <v>0.0095</v>
      </c>
      <c r="J118" s="465">
        <v>0</v>
      </c>
      <c r="K118" s="458"/>
      <c r="L118" s="456"/>
      <c r="M118" s="460"/>
      <c r="N118" s="460"/>
      <c r="O118" s="460"/>
      <c r="P118" s="466"/>
      <c r="Q118" s="466"/>
      <c r="R118" s="454" t="s">
        <v>356</v>
      </c>
    </row>
    <row r="119" spans="1:18" ht="15" customHeight="1">
      <c r="A119" s="534"/>
      <c r="B119" s="535" t="s">
        <v>334</v>
      </c>
      <c r="C119" s="535"/>
      <c r="D119" s="535"/>
      <c r="E119" s="528" t="s">
        <v>342</v>
      </c>
      <c r="F119" s="529" t="s">
        <v>153</v>
      </c>
      <c r="G119" s="457" t="s">
        <v>154</v>
      </c>
      <c r="H119" s="456">
        <v>7332</v>
      </c>
      <c r="I119" s="456">
        <v>4888</v>
      </c>
      <c r="J119" s="456">
        <v>2444</v>
      </c>
      <c r="K119" s="458"/>
      <c r="L119" s="456"/>
      <c r="M119" s="460"/>
      <c r="N119" s="461"/>
      <c r="O119" s="461"/>
      <c r="P119" s="462"/>
      <c r="Q119" s="462"/>
      <c r="R119" s="455"/>
    </row>
    <row r="120" spans="1:18" ht="284.25" customHeight="1">
      <c r="A120" s="534"/>
      <c r="B120" s="535"/>
      <c r="C120" s="535"/>
      <c r="D120" s="535"/>
      <c r="E120" s="528"/>
      <c r="F120" s="529"/>
      <c r="G120" s="457" t="s">
        <v>155</v>
      </c>
      <c r="H120" s="456">
        <v>3686</v>
      </c>
      <c r="I120" s="456">
        <v>2610</v>
      </c>
      <c r="J120" s="456">
        <v>2425</v>
      </c>
      <c r="K120" s="458"/>
      <c r="L120" s="456"/>
      <c r="M120" s="468"/>
      <c r="N120" s="461"/>
      <c r="O120" s="461"/>
      <c r="P120" s="462"/>
      <c r="Q120" s="462"/>
      <c r="R120" s="454" t="s">
        <v>357</v>
      </c>
    </row>
    <row r="121" spans="1:18" ht="15" customHeight="1">
      <c r="A121" s="6"/>
      <c r="B121" s="527" t="s">
        <v>335</v>
      </c>
      <c r="C121" s="527"/>
      <c r="D121" s="527"/>
      <c r="E121" s="528" t="s">
        <v>342</v>
      </c>
      <c r="F121" s="529" t="s">
        <v>153</v>
      </c>
      <c r="G121" s="464" t="s">
        <v>154</v>
      </c>
      <c r="H121" s="469">
        <v>10</v>
      </c>
      <c r="I121" s="456">
        <v>10</v>
      </c>
      <c r="J121" s="456">
        <v>1</v>
      </c>
      <c r="K121" s="458"/>
      <c r="L121" s="456"/>
      <c r="M121" s="460"/>
      <c r="N121" s="461"/>
      <c r="O121" s="461"/>
      <c r="P121" s="466"/>
      <c r="Q121" s="466"/>
      <c r="R121" s="454"/>
    </row>
    <row r="122" spans="1:18" ht="197.25" customHeight="1">
      <c r="A122" s="6"/>
      <c r="B122" s="527"/>
      <c r="C122" s="527"/>
      <c r="D122" s="527"/>
      <c r="E122" s="528"/>
      <c r="F122" s="529"/>
      <c r="G122" s="464" t="s">
        <v>155</v>
      </c>
      <c r="H122" s="469">
        <v>0</v>
      </c>
      <c r="I122" s="456">
        <v>0</v>
      </c>
      <c r="J122" s="456">
        <v>1</v>
      </c>
      <c r="K122" s="458"/>
      <c r="L122" s="456"/>
      <c r="M122" s="468"/>
      <c r="N122" s="461"/>
      <c r="O122" s="461"/>
      <c r="P122" s="466"/>
      <c r="Q122" s="466"/>
      <c r="R122" s="454" t="s">
        <v>358</v>
      </c>
    </row>
    <row r="123" spans="1:18" ht="15" customHeight="1">
      <c r="A123" s="6"/>
      <c r="B123" s="530" t="s">
        <v>336</v>
      </c>
      <c r="C123" s="530"/>
      <c r="D123" s="530"/>
      <c r="E123" s="528" t="s">
        <v>342</v>
      </c>
      <c r="F123" s="529" t="s">
        <v>153</v>
      </c>
      <c r="G123" s="464" t="s">
        <v>154</v>
      </c>
      <c r="H123" s="470">
        <v>14</v>
      </c>
      <c r="I123" s="456">
        <v>14</v>
      </c>
      <c r="J123" s="456">
        <v>1</v>
      </c>
      <c r="K123" s="458"/>
      <c r="L123" s="456"/>
      <c r="M123" s="460"/>
      <c r="N123" s="460"/>
      <c r="O123" s="460"/>
      <c r="P123" s="471"/>
      <c r="Q123" s="471"/>
      <c r="R123" s="454"/>
    </row>
    <row r="124" spans="1:18" ht="224.25" customHeight="1">
      <c r="A124" s="6"/>
      <c r="B124" s="530"/>
      <c r="C124" s="530"/>
      <c r="D124" s="530"/>
      <c r="E124" s="528"/>
      <c r="F124" s="529"/>
      <c r="G124" s="464" t="s">
        <v>155</v>
      </c>
      <c r="H124" s="470">
        <v>0</v>
      </c>
      <c r="I124" s="456">
        <v>0</v>
      </c>
      <c r="J124" s="456">
        <v>1</v>
      </c>
      <c r="K124" s="458"/>
      <c r="L124" s="456"/>
      <c r="M124" s="460"/>
      <c r="N124" s="460"/>
      <c r="O124" s="460"/>
      <c r="P124" s="471"/>
      <c r="Q124" s="471"/>
      <c r="R124" s="454" t="s">
        <v>359</v>
      </c>
    </row>
    <row r="125" spans="1:18" ht="15" customHeight="1">
      <c r="A125" s="6"/>
      <c r="B125" s="527" t="s">
        <v>337</v>
      </c>
      <c r="C125" s="527"/>
      <c r="D125" s="527"/>
      <c r="E125" s="528">
        <v>2.8</v>
      </c>
      <c r="F125" s="529" t="s">
        <v>153</v>
      </c>
      <c r="G125" s="457" t="s">
        <v>154</v>
      </c>
      <c r="H125" s="470">
        <v>1234</v>
      </c>
      <c r="I125" s="456">
        <v>1172</v>
      </c>
      <c r="J125" s="456">
        <v>1238</v>
      </c>
      <c r="K125" s="458"/>
      <c r="L125" s="456"/>
      <c r="M125" s="460"/>
      <c r="N125" s="461"/>
      <c r="O125" s="461"/>
      <c r="P125" s="462"/>
      <c r="Q125" s="462"/>
      <c r="R125" s="462"/>
    </row>
    <row r="126" spans="1:18" ht="195.75" customHeight="1">
      <c r="A126" s="6"/>
      <c r="B126" s="527"/>
      <c r="C126" s="527"/>
      <c r="D126" s="527"/>
      <c r="E126" s="528"/>
      <c r="F126" s="529"/>
      <c r="G126" s="457" t="s">
        <v>155</v>
      </c>
      <c r="H126" s="470">
        <v>1234</v>
      </c>
      <c r="I126" s="456">
        <v>1238</v>
      </c>
      <c r="J126" s="456">
        <v>1218</v>
      </c>
      <c r="K126" s="458"/>
      <c r="L126" s="456"/>
      <c r="M126" s="468"/>
      <c r="N126" s="461"/>
      <c r="O126" s="461"/>
      <c r="P126" s="462"/>
      <c r="Q126" s="462"/>
      <c r="R126" s="454" t="s">
        <v>360</v>
      </c>
    </row>
    <row r="127" spans="1:18" ht="23.25">
      <c r="A127" s="6"/>
      <c r="B127" s="555" t="s">
        <v>340</v>
      </c>
      <c r="C127" s="556"/>
      <c r="D127" s="556"/>
      <c r="E127" s="556"/>
      <c r="F127" s="556"/>
      <c r="G127" s="556"/>
      <c r="H127" s="556"/>
      <c r="I127" s="556"/>
      <c r="J127" s="556"/>
      <c r="K127" s="556"/>
      <c r="L127" s="556"/>
      <c r="M127" s="556"/>
      <c r="N127" s="556"/>
      <c r="O127" s="556"/>
      <c r="P127" s="556"/>
      <c r="Q127" s="556"/>
      <c r="R127" s="556"/>
    </row>
    <row r="128" spans="1:18" ht="14.25" customHeight="1">
      <c r="A128" s="6"/>
      <c r="B128" s="527" t="s">
        <v>338</v>
      </c>
      <c r="C128" s="527"/>
      <c r="D128" s="527"/>
      <c r="E128" s="528" t="s">
        <v>343</v>
      </c>
      <c r="F128" s="529" t="s">
        <v>153</v>
      </c>
      <c r="G128" s="457" t="s">
        <v>154</v>
      </c>
      <c r="H128" s="456">
        <v>6</v>
      </c>
      <c r="I128" s="456">
        <v>4</v>
      </c>
      <c r="J128" s="456">
        <v>2</v>
      </c>
      <c r="K128" s="458"/>
      <c r="L128" s="456"/>
      <c r="M128" s="460"/>
      <c r="N128" s="460"/>
      <c r="O128" s="460"/>
      <c r="P128" s="462"/>
      <c r="Q128" s="462"/>
      <c r="R128" s="472"/>
    </row>
    <row r="129" spans="1:18" ht="246" customHeight="1">
      <c r="A129" s="6"/>
      <c r="B129" s="527"/>
      <c r="C129" s="527"/>
      <c r="D129" s="527"/>
      <c r="E129" s="528"/>
      <c r="F129" s="529"/>
      <c r="G129" s="457" t="s">
        <v>155</v>
      </c>
      <c r="H129" s="456">
        <v>0</v>
      </c>
      <c r="I129" s="456">
        <v>0</v>
      </c>
      <c r="J129" s="456">
        <v>0</v>
      </c>
      <c r="K129" s="458"/>
      <c r="L129" s="456"/>
      <c r="M129" s="460"/>
      <c r="N129" s="460"/>
      <c r="O129" s="460"/>
      <c r="P129" s="462"/>
      <c r="Q129" s="462"/>
      <c r="R129" s="483" t="s">
        <v>361</v>
      </c>
    </row>
    <row r="130" spans="1:18" ht="14.25" customHeight="1">
      <c r="A130" s="6"/>
      <c r="B130" s="530" t="s">
        <v>339</v>
      </c>
      <c r="C130" s="530"/>
      <c r="D130" s="530"/>
      <c r="E130" s="528" t="s">
        <v>343</v>
      </c>
      <c r="F130" s="529" t="s">
        <v>153</v>
      </c>
      <c r="G130" s="464" t="s">
        <v>154</v>
      </c>
      <c r="H130" s="456">
        <v>0.014</v>
      </c>
      <c r="I130" s="456">
        <v>0.01</v>
      </c>
      <c r="J130" s="456">
        <v>0.004</v>
      </c>
      <c r="K130" s="458"/>
      <c r="L130" s="456"/>
      <c r="M130" s="460"/>
      <c r="N130" s="461"/>
      <c r="O130" s="461"/>
      <c r="P130" s="471"/>
      <c r="Q130" s="471"/>
      <c r="R130" s="472"/>
    </row>
    <row r="131" spans="1:18" ht="166.5" customHeight="1">
      <c r="A131" s="6"/>
      <c r="B131" s="530"/>
      <c r="C131" s="530"/>
      <c r="D131" s="530"/>
      <c r="E131" s="528"/>
      <c r="F131" s="529"/>
      <c r="G131" s="464" t="s">
        <v>155</v>
      </c>
      <c r="H131" s="456">
        <v>0</v>
      </c>
      <c r="I131" s="456">
        <v>0</v>
      </c>
      <c r="J131" s="456">
        <v>0</v>
      </c>
      <c r="K131" s="458"/>
      <c r="L131" s="456"/>
      <c r="M131" s="468"/>
      <c r="N131" s="461"/>
      <c r="O131" s="461"/>
      <c r="P131" s="471"/>
      <c r="Q131" s="471"/>
      <c r="R131" s="483" t="s">
        <v>362</v>
      </c>
    </row>
    <row r="132" spans="1:17" ht="14.25">
      <c r="A132" s="6"/>
      <c r="B132" s="206"/>
      <c r="C132" s="6"/>
      <c r="D132" s="6"/>
      <c r="E132" s="6"/>
      <c r="F132" s="6"/>
      <c r="G132" s="146"/>
      <c r="H132" s="6"/>
      <c r="I132" s="6"/>
      <c r="J132" s="6"/>
      <c r="K132" s="6"/>
      <c r="L132" s="6"/>
      <c r="M132" s="6"/>
      <c r="N132" s="6"/>
      <c r="P132" s="5"/>
      <c r="Q132" s="5"/>
    </row>
    <row r="133" spans="1:17" ht="15" thickBot="1">
      <c r="A133" s="6"/>
      <c r="B133" s="206"/>
      <c r="C133" s="6"/>
      <c r="D133" s="6"/>
      <c r="E133" s="6"/>
      <c r="F133" s="6"/>
      <c r="G133" s="146"/>
      <c r="H133" s="6"/>
      <c r="I133" s="6"/>
      <c r="J133" s="6"/>
      <c r="K133" s="6"/>
      <c r="L133" s="6"/>
      <c r="M133" s="6"/>
      <c r="N133" s="6"/>
      <c r="P133" s="5"/>
      <c r="Q133" s="5"/>
    </row>
    <row r="134" spans="1:17" ht="25.5">
      <c r="A134" s="6"/>
      <c r="B134" s="228" t="s">
        <v>156</v>
      </c>
      <c r="C134" s="6"/>
      <c r="D134" s="6"/>
      <c r="E134" s="229" t="s">
        <v>150</v>
      </c>
      <c r="F134" s="230" t="s">
        <v>151</v>
      </c>
      <c r="G134" s="219"/>
      <c r="H134" s="220" t="str">
        <f aca="true" t="shared" si="5" ref="H134:N134">C30</f>
        <v>P1</v>
      </c>
      <c r="I134" s="220" t="str">
        <f t="shared" si="5"/>
        <v>P2 (AÑO 2018)</v>
      </c>
      <c r="J134" s="220" t="str">
        <f t="shared" si="5"/>
        <v>P3</v>
      </c>
      <c r="K134" s="220" t="str">
        <f t="shared" si="5"/>
        <v>P4</v>
      </c>
      <c r="L134" s="220" t="str">
        <f t="shared" si="5"/>
        <v>P5</v>
      </c>
      <c r="M134" s="220" t="str">
        <f t="shared" si="5"/>
        <v>P6</v>
      </c>
      <c r="N134" s="220" t="str">
        <f t="shared" si="5"/>
        <v>P7</v>
      </c>
      <c r="O134" s="220" t="str">
        <f>L30</f>
        <v>P10</v>
      </c>
      <c r="P134" s="220" t="str">
        <f>M30</f>
        <v>P11</v>
      </c>
      <c r="Q134" s="220" t="str">
        <f>N30</f>
        <v>P12</v>
      </c>
    </row>
    <row r="135" spans="1:17" ht="14.25" customHeight="1" thickBot="1">
      <c r="A135" s="6"/>
      <c r="B135" s="523" t="str">
        <f>IF(ISBLANK(B115),"",(B115))</f>
        <v>Malaria O-4: Proporción de viviendas que han sido rociadas en los últimos 12 meses. </v>
      </c>
      <c r="C135" s="523"/>
      <c r="D135" s="523"/>
      <c r="E135" s="521" t="str">
        <f>IF(ISBLANK(E115),"",(E115))</f>
        <v>Outcome</v>
      </c>
      <c r="F135" s="522" t="str">
        <f>IF(ISBLANK(F115),"",(F115))</f>
        <v>Yes</v>
      </c>
      <c r="G135" s="231" t="s">
        <v>154</v>
      </c>
      <c r="H135" s="232">
        <f aca="true" t="shared" si="6" ref="H135:H140">H115</f>
        <v>7332</v>
      </c>
      <c r="I135" s="232">
        <f aca="true" t="shared" si="7" ref="I135:I140">+I115</f>
        <v>4888</v>
      </c>
      <c r="J135" s="232">
        <f>J121</f>
        <v>1</v>
      </c>
      <c r="K135" s="232">
        <f aca="true" t="shared" si="8" ref="K135:K140">+K115</f>
        <v>0</v>
      </c>
      <c r="L135" s="232">
        <f>L121</f>
        <v>0</v>
      </c>
      <c r="M135" s="232">
        <f aca="true" t="shared" si="9" ref="M135:M140">+M115</f>
        <v>0</v>
      </c>
      <c r="N135" s="233">
        <f aca="true" t="shared" si="10" ref="N135:N140">N115</f>
        <v>0</v>
      </c>
      <c r="O135" s="233">
        <f aca="true" t="shared" si="11" ref="O135:O140">O115</f>
        <v>0</v>
      </c>
      <c r="P135" s="233">
        <f aca="true" t="shared" si="12" ref="P135:P140">P115</f>
        <v>0</v>
      </c>
      <c r="Q135" s="233">
        <f aca="true" t="shared" si="13" ref="Q135:Q140">Q115</f>
        <v>0</v>
      </c>
    </row>
    <row r="136" spans="1:17" ht="15" thickBot="1">
      <c r="A136" s="6"/>
      <c r="B136" s="523"/>
      <c r="C136" s="523"/>
      <c r="D136" s="523"/>
      <c r="E136" s="521"/>
      <c r="F136" s="522"/>
      <c r="G136" s="234" t="s">
        <v>155</v>
      </c>
      <c r="H136" s="232">
        <f t="shared" si="6"/>
        <v>3686</v>
      </c>
      <c r="I136" s="232">
        <f t="shared" si="7"/>
        <v>2610</v>
      </c>
      <c r="J136" s="232">
        <f>J122</f>
        <v>1</v>
      </c>
      <c r="K136" s="232">
        <f t="shared" si="8"/>
        <v>0</v>
      </c>
      <c r="L136" s="232">
        <f>L122</f>
        <v>0</v>
      </c>
      <c r="M136" s="232">
        <f t="shared" si="9"/>
        <v>0</v>
      </c>
      <c r="N136" s="233">
        <f t="shared" si="10"/>
        <v>0</v>
      </c>
      <c r="O136" s="233">
        <f t="shared" si="11"/>
        <v>0</v>
      </c>
      <c r="P136" s="233">
        <f t="shared" si="12"/>
        <v>0</v>
      </c>
      <c r="Q136" s="233">
        <f t="shared" si="13"/>
        <v>0</v>
      </c>
    </row>
    <row r="137" spans="1:17" ht="15" thickBot="1">
      <c r="A137" s="6"/>
      <c r="B137" s="524" t="str">
        <f>IF(ISBLANK(B117),"",(B117))</f>
        <v>Malaria O-9: 2. Tasa anual de muestras de sangre (laminas leídas). </v>
      </c>
      <c r="C137" s="524"/>
      <c r="D137" s="524"/>
      <c r="E137" s="525" t="str">
        <f>IF(ISBLANK(E117),"",(E117))</f>
        <v>Outcome</v>
      </c>
      <c r="F137" s="526" t="str">
        <f>IF(ISBLANK(F117),"",(F117))</f>
        <v>Yes</v>
      </c>
      <c r="G137" s="235" t="s">
        <v>154</v>
      </c>
      <c r="H137" s="232">
        <f t="shared" si="6"/>
        <v>0.036</v>
      </c>
      <c r="I137" s="232">
        <f t="shared" si="7"/>
        <v>0.036</v>
      </c>
      <c r="J137" s="232">
        <f>J125</f>
        <v>1238</v>
      </c>
      <c r="K137" s="232">
        <f t="shared" si="8"/>
        <v>0</v>
      </c>
      <c r="L137" s="236">
        <f>L125</f>
        <v>0</v>
      </c>
      <c r="M137" s="232">
        <f t="shared" si="9"/>
        <v>0</v>
      </c>
      <c r="N137" s="237">
        <f t="shared" si="10"/>
        <v>0</v>
      </c>
      <c r="O137" s="237">
        <f t="shared" si="11"/>
        <v>0</v>
      </c>
      <c r="P137" s="237">
        <f t="shared" si="12"/>
        <v>0</v>
      </c>
      <c r="Q137" s="237">
        <f t="shared" si="13"/>
        <v>0</v>
      </c>
    </row>
    <row r="138" spans="1:17" ht="14.25" customHeight="1" thickBot="1">
      <c r="A138" s="6"/>
      <c r="B138" s="524"/>
      <c r="C138" s="524"/>
      <c r="D138" s="524"/>
      <c r="E138" s="525"/>
      <c r="F138" s="526"/>
      <c r="G138" s="235" t="s">
        <v>155</v>
      </c>
      <c r="H138" s="232">
        <f t="shared" si="6"/>
        <v>0.1989</v>
      </c>
      <c r="I138" s="232">
        <f t="shared" si="7"/>
        <v>0.0095</v>
      </c>
      <c r="J138" s="232">
        <f>J126</f>
        <v>1218</v>
      </c>
      <c r="K138" s="232">
        <f t="shared" si="8"/>
        <v>0</v>
      </c>
      <c r="L138" s="236">
        <f>L126</f>
        <v>0</v>
      </c>
      <c r="M138" s="232">
        <f t="shared" si="9"/>
        <v>0</v>
      </c>
      <c r="N138" s="237">
        <f t="shared" si="10"/>
        <v>0</v>
      </c>
      <c r="O138" s="237">
        <f t="shared" si="11"/>
        <v>0</v>
      </c>
      <c r="P138" s="237">
        <f t="shared" si="12"/>
        <v>0</v>
      </c>
      <c r="Q138" s="237">
        <f t="shared" si="13"/>
        <v>0</v>
      </c>
    </row>
    <row r="139" spans="1:17" ht="14.25" customHeight="1" thickBot="1">
      <c r="A139" s="6"/>
      <c r="B139" s="520" t="str">
        <f>IF(ISBLANK(B119),"",(B119))</f>
        <v>VC-5: Proporción de vivienda en las áreas priorizadas que reciben la fumigación intra-domiciliar </v>
      </c>
      <c r="C139" s="520"/>
      <c r="D139" s="520"/>
      <c r="E139" s="521" t="str">
        <f>IF(ISBLANK(E119),"",(E119))</f>
        <v>Resultado</v>
      </c>
      <c r="F139" s="522" t="str">
        <f>IF(ISBLANK(F119),"",(F119))</f>
        <v>Yes</v>
      </c>
      <c r="G139" s="234" t="s">
        <v>154</v>
      </c>
      <c r="H139" s="232">
        <f t="shared" si="6"/>
        <v>7332</v>
      </c>
      <c r="I139" s="232">
        <f t="shared" si="7"/>
        <v>4888</v>
      </c>
      <c r="J139" s="232">
        <f>J123</f>
        <v>1</v>
      </c>
      <c r="K139" s="232">
        <f t="shared" si="8"/>
        <v>0</v>
      </c>
      <c r="L139" s="232">
        <f>L123</f>
        <v>0</v>
      </c>
      <c r="M139" s="232">
        <f t="shared" si="9"/>
        <v>0</v>
      </c>
      <c r="N139" s="233">
        <f t="shared" si="10"/>
        <v>0</v>
      </c>
      <c r="O139" s="233">
        <f t="shared" si="11"/>
        <v>0</v>
      </c>
      <c r="P139" s="233">
        <f t="shared" si="12"/>
        <v>0</v>
      </c>
      <c r="Q139" s="233">
        <f t="shared" si="13"/>
        <v>0</v>
      </c>
    </row>
    <row r="140" spans="1:17" ht="15" customHeight="1" thickBot="1">
      <c r="A140" s="6"/>
      <c r="B140" s="520"/>
      <c r="C140" s="520"/>
      <c r="D140" s="520"/>
      <c r="E140" s="521"/>
      <c r="F140" s="522"/>
      <c r="G140" s="238" t="s">
        <v>155</v>
      </c>
      <c r="H140" s="239">
        <f t="shared" si="6"/>
        <v>3686</v>
      </c>
      <c r="I140" s="232">
        <f t="shared" si="7"/>
        <v>2610</v>
      </c>
      <c r="J140" s="239">
        <f>J124</f>
        <v>1</v>
      </c>
      <c r="K140" s="232">
        <f t="shared" si="8"/>
        <v>0</v>
      </c>
      <c r="L140" s="239">
        <f>L124</f>
        <v>0</v>
      </c>
      <c r="M140" s="232">
        <f t="shared" si="9"/>
        <v>0</v>
      </c>
      <c r="N140" s="233">
        <f t="shared" si="10"/>
        <v>0</v>
      </c>
      <c r="O140" s="233">
        <f t="shared" si="11"/>
        <v>0</v>
      </c>
      <c r="P140" s="233">
        <f t="shared" si="12"/>
        <v>0</v>
      </c>
      <c r="Q140" s="233">
        <f t="shared" si="13"/>
        <v>0</v>
      </c>
    </row>
  </sheetData>
  <sheetProtection selectLockedCells="1" selectUnlockedCells="1"/>
  <mergeCells count="67">
    <mergeCell ref="B127:R127"/>
    <mergeCell ref="B2:J2"/>
    <mergeCell ref="C4:D4"/>
    <mergeCell ref="E4:F4"/>
    <mergeCell ref="G4:J4"/>
    <mergeCell ref="C6:D6"/>
    <mergeCell ref="E6:F6"/>
    <mergeCell ref="I6:J6"/>
    <mergeCell ref="C8:D8"/>
    <mergeCell ref="I8:J8"/>
    <mergeCell ref="C10:D10"/>
    <mergeCell ref="E10:F10"/>
    <mergeCell ref="G10:J10"/>
    <mergeCell ref="C12:D12"/>
    <mergeCell ref="E12:F12"/>
    <mergeCell ref="G12:J12"/>
    <mergeCell ref="B14:J14"/>
    <mergeCell ref="H16:I16"/>
    <mergeCell ref="B18:C18"/>
    <mergeCell ref="D18:F18"/>
    <mergeCell ref="B21:J21"/>
    <mergeCell ref="D24:E24"/>
    <mergeCell ref="G24:H24"/>
    <mergeCell ref="I24:J24"/>
    <mergeCell ref="B26:C26"/>
    <mergeCell ref="B29:N29"/>
    <mergeCell ref="F46:I46"/>
    <mergeCell ref="B59:D59"/>
    <mergeCell ref="B70:C70"/>
    <mergeCell ref="B71:C71"/>
    <mergeCell ref="B72:C72"/>
    <mergeCell ref="B107:B108"/>
    <mergeCell ref="B113:D113"/>
    <mergeCell ref="A115:A120"/>
    <mergeCell ref="B115:D116"/>
    <mergeCell ref="E115:E116"/>
    <mergeCell ref="B119:D120"/>
    <mergeCell ref="E119:E120"/>
    <mergeCell ref="F115:F116"/>
    <mergeCell ref="B117:D118"/>
    <mergeCell ref="E117:E118"/>
    <mergeCell ref="F117:F118"/>
    <mergeCell ref="F119:F120"/>
    <mergeCell ref="B121:D122"/>
    <mergeCell ref="E121:E122"/>
    <mergeCell ref="F121:F122"/>
    <mergeCell ref="B123:D124"/>
    <mergeCell ref="E123:E124"/>
    <mergeCell ref="F123:F124"/>
    <mergeCell ref="B125:D126"/>
    <mergeCell ref="E125:E126"/>
    <mergeCell ref="F125:F126"/>
    <mergeCell ref="B128:D129"/>
    <mergeCell ref="E128:E129"/>
    <mergeCell ref="F128:F129"/>
    <mergeCell ref="B130:D131"/>
    <mergeCell ref="E130:E131"/>
    <mergeCell ref="F130:F131"/>
    <mergeCell ref="B139:D140"/>
    <mergeCell ref="E139:E140"/>
    <mergeCell ref="F139:F140"/>
    <mergeCell ref="B135:D136"/>
    <mergeCell ref="E135:E136"/>
    <mergeCell ref="F135:F136"/>
    <mergeCell ref="B137:D138"/>
    <mergeCell ref="E137:E138"/>
    <mergeCell ref="F137:F138"/>
  </mergeCells>
  <conditionalFormatting sqref="C30:N30 C93:N93">
    <cfRule type="cellIs" priority="4" dxfId="38" operator="equal" stopIfTrue="1">
      <formula>$C$16</formula>
    </cfRule>
  </conditionalFormatting>
  <conditionalFormatting sqref="C12:D12">
    <cfRule type="cellIs" priority="5" dxfId="39" operator="equal" stopIfTrue="1">
      <formula>"C"</formula>
    </cfRule>
    <cfRule type="cellIs" priority="6" dxfId="40" operator="equal" stopIfTrue="1">
      <formula>"B2"</formula>
    </cfRule>
    <cfRule type="cellIs" priority="7" dxfId="41" operator="equal" stopIfTrue="1">
      <formula>"B1"</formula>
    </cfRule>
  </conditionalFormatting>
  <conditionalFormatting sqref="H134:Q134 H113:Q114">
    <cfRule type="cellIs" priority="8" dxfId="42" operator="equal" stopIfTrue="1">
      <formula>$C$16</formula>
    </cfRule>
  </conditionalFormatting>
  <conditionalFormatting sqref="F46:I46">
    <cfRule type="expression" priority="9" dxfId="43" stopIfTrue="1">
      <formula>LEFT($F$46,2)="OK"</formula>
    </cfRule>
  </conditionalFormatting>
  <conditionalFormatting sqref="R113:R114">
    <cfRule type="cellIs" priority="1" dxfId="42" operator="equal" stopIfTrue="1">
      <formula>$C$16</formula>
    </cfRule>
  </conditionalFormatting>
  <dataValidations count="9">
    <dataValidation type="list" allowBlank="1" showErrorMessage="1" sqref="G6 B107">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07:C108">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7"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SheetLayoutView="100" zoomScalePageLayoutView="0" workbookViewId="0" topLeftCell="A1">
      <selection activeCell="A1" sqref="A1"/>
    </sheetView>
  </sheetViews>
  <sheetFormatPr defaultColWidth="11.421875" defaultRowHeight="15"/>
  <cols>
    <col min="1" max="1" width="23.7109375" style="6" customWidth="1"/>
    <col min="2" max="2" width="12.421875" style="6" customWidth="1"/>
    <col min="3" max="3" width="20.421875" style="6" customWidth="1"/>
    <col min="4" max="4" width="15.421875" style="6" customWidth="1"/>
    <col min="5" max="5" width="11.57421875" style="6" customWidth="1"/>
    <col min="6" max="6" width="18.574218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57421875" style="6" customWidth="1"/>
    <col min="14" max="14" width="8.421875" style="6" customWidth="1"/>
    <col min="15" max="15" width="7.140625" style="6" customWidth="1"/>
    <col min="16" max="16384" width="11.421875" style="6" customWidth="1"/>
  </cols>
  <sheetData>
    <row r="1" spans="1:10" ht="21" customHeight="1">
      <c r="A1" s="146"/>
      <c r="B1" s="146"/>
      <c r="C1" s="146"/>
      <c r="D1" s="146"/>
      <c r="E1" s="146"/>
      <c r="F1" s="146"/>
      <c r="G1" s="40"/>
      <c r="H1" s="146"/>
      <c r="I1" s="146"/>
      <c r="J1" s="146"/>
    </row>
    <row r="2" ht="25.5" customHeight="1"/>
    <row r="3" spans="2:20" ht="36">
      <c r="B3" s="562" t="str">
        <f>+"Tablero de mando: "&amp;" "&amp;+'Introducción de datos'!C4&amp;" - "&amp;+'Introducción de datos'!G6</f>
        <v>Tablero de mando:  El Salvador - MALARIA</v>
      </c>
      <c r="C3" s="562"/>
      <c r="D3" s="562"/>
      <c r="E3" s="562"/>
      <c r="F3" s="562"/>
      <c r="G3" s="562"/>
      <c r="H3" s="562"/>
      <c r="I3" s="562"/>
      <c r="J3" s="562"/>
      <c r="K3" s="240"/>
      <c r="L3" s="240"/>
      <c r="M3" s="240"/>
      <c r="N3" s="241"/>
      <c r="O3" s="241"/>
      <c r="P3" s="241"/>
      <c r="Q3" s="241"/>
      <c r="R3" s="241"/>
      <c r="S3" s="241"/>
      <c r="T3" s="241"/>
    </row>
    <row r="4" spans="12:20" ht="15" customHeight="1">
      <c r="L4" s="241"/>
      <c r="M4" s="241"/>
      <c r="N4" s="241"/>
      <c r="O4" s="241"/>
      <c r="P4" s="241"/>
      <c r="Q4" s="241"/>
      <c r="R4" s="241"/>
      <c r="S4" s="241"/>
      <c r="T4" s="241"/>
    </row>
    <row r="5" spans="12:20" ht="14.25">
      <c r="L5" s="241"/>
      <c r="M5" s="241"/>
      <c r="N5" s="241"/>
      <c r="O5" s="241"/>
      <c r="P5" s="241"/>
      <c r="Q5" s="241"/>
      <c r="R5" s="241"/>
      <c r="S5" s="241"/>
      <c r="T5" s="241"/>
    </row>
    <row r="6" spans="1:21" ht="32.25" customHeight="1">
      <c r="A6" s="242" t="s">
        <v>43</v>
      </c>
      <c r="B6" s="563" t="str">
        <f>+'Introducción de datos'!C4</f>
        <v>El Salvador</v>
      </c>
      <c r="C6" s="563"/>
      <c r="D6" s="564" t="s">
        <v>45</v>
      </c>
      <c r="E6" s="564"/>
      <c r="F6" s="565" t="str">
        <f>+'Introducción de datos'!G4</f>
        <v>Eliminación de la malaria en El Salvador: un esfuerzo de país</v>
      </c>
      <c r="G6" s="565"/>
      <c r="H6" s="565"/>
      <c r="I6" s="565"/>
      <c r="J6" s="565"/>
      <c r="K6" s="243"/>
      <c r="L6" s="244"/>
      <c r="M6" s="243"/>
      <c r="N6" s="243"/>
      <c r="O6" s="243"/>
      <c r="P6" s="245"/>
      <c r="Q6" s="246"/>
      <c r="R6" s="246"/>
      <c r="S6" s="246"/>
      <c r="T6" s="246"/>
      <c r="U6" s="246"/>
    </row>
    <row r="7" spans="2:21" ht="8.25" customHeight="1">
      <c r="B7" s="247"/>
      <c r="C7" s="248"/>
      <c r="D7" s="248"/>
      <c r="E7" s="249"/>
      <c r="F7" s="249"/>
      <c r="G7" s="250"/>
      <c r="H7" s="250"/>
      <c r="K7" s="243"/>
      <c r="L7" s="243"/>
      <c r="M7" s="243"/>
      <c r="N7" s="243"/>
      <c r="O7" s="243"/>
      <c r="P7" s="245"/>
      <c r="Q7" s="246"/>
      <c r="R7" s="246"/>
      <c r="S7" s="246"/>
      <c r="T7" s="246"/>
      <c r="U7" s="246"/>
    </row>
    <row r="8" spans="3:21" ht="3.75" customHeight="1">
      <c r="C8" s="251"/>
      <c r="D8" s="251"/>
      <c r="E8" s="251"/>
      <c r="F8" s="251"/>
      <c r="G8" s="251"/>
      <c r="H8" s="251"/>
      <c r="I8" s="251"/>
      <c r="J8" s="251"/>
      <c r="K8" s="243"/>
      <c r="L8" s="243"/>
      <c r="M8" s="243"/>
      <c r="N8" s="243"/>
      <c r="O8" s="252"/>
      <c r="P8" s="245"/>
      <c r="Q8" s="252"/>
      <c r="R8" s="253"/>
      <c r="S8" s="246"/>
      <c r="T8" s="246"/>
      <c r="U8" s="246"/>
    </row>
    <row r="9" spans="1:24" ht="25.5" customHeight="1">
      <c r="A9" s="254" t="s">
        <v>47</v>
      </c>
      <c r="B9" s="255" t="str">
        <f>+'Introducción de datos'!G6</f>
        <v>MALARIA</v>
      </c>
      <c r="C9" s="256" t="s">
        <v>46</v>
      </c>
      <c r="D9" s="257" t="str">
        <f>+'Introducción de datos'!C6</f>
        <v>1117</v>
      </c>
      <c r="E9" s="558" t="s">
        <v>157</v>
      </c>
      <c r="F9" s="558"/>
      <c r="G9" s="258">
        <f>+'Introducción de datos'!C10</f>
        <v>42736</v>
      </c>
      <c r="H9" s="254" t="s">
        <v>158</v>
      </c>
      <c r="I9" s="566">
        <f>+'Introducción de datos'!I6</f>
        <v>2000000</v>
      </c>
      <c r="J9" s="566"/>
      <c r="K9" s="243"/>
      <c r="L9" s="243"/>
      <c r="M9" s="243"/>
      <c r="N9" s="243"/>
      <c r="O9" s="252"/>
      <c r="P9" s="245"/>
      <c r="Q9" s="252"/>
      <c r="R9" s="253"/>
      <c r="S9" s="246"/>
      <c r="T9" s="259"/>
      <c r="U9" s="259"/>
      <c r="V9" s="251"/>
      <c r="W9" s="251"/>
      <c r="X9" s="251"/>
    </row>
    <row r="10" spans="1:21" ht="25.5" customHeight="1">
      <c r="A10" s="254" t="s">
        <v>159</v>
      </c>
      <c r="B10" s="260">
        <f>IF(ISBLANK('Introducción de datos'!G8),"",'Introducción de datos'!G8)</f>
      </c>
      <c r="C10" s="256" t="s">
        <v>160</v>
      </c>
      <c r="D10" s="261" t="str">
        <f>+'Introducción de datos'!I8</f>
        <v>Fase 1</v>
      </c>
      <c r="E10" s="558" t="s">
        <v>161</v>
      </c>
      <c r="F10" s="558"/>
      <c r="G10" s="559" t="str">
        <f>+'Introducción de datos'!C8</f>
        <v>Ministerio de Salud </v>
      </c>
      <c r="H10" s="559"/>
      <c r="I10" s="559"/>
      <c r="J10" s="559"/>
      <c r="K10" s="263"/>
      <c r="L10" s="263"/>
      <c r="M10" s="243"/>
      <c r="N10" s="263"/>
      <c r="O10" s="252"/>
      <c r="P10" s="245"/>
      <c r="Q10" s="259"/>
      <c r="R10" s="253"/>
      <c r="S10" s="246"/>
      <c r="T10" s="259"/>
      <c r="U10" s="259"/>
    </row>
    <row r="11" spans="1:21" ht="25.5" customHeight="1">
      <c r="A11" s="254" t="s">
        <v>162</v>
      </c>
      <c r="B11" s="262" t="s">
        <v>76</v>
      </c>
      <c r="C11" s="256" t="s">
        <v>163</v>
      </c>
      <c r="D11" s="264">
        <f>+'Introducción de datos'!E16</f>
        <v>43466</v>
      </c>
      <c r="E11" s="558" t="s">
        <v>164</v>
      </c>
      <c r="F11" s="558"/>
      <c r="G11" s="264">
        <f>'Introducción de datos'!G16</f>
        <v>43646</v>
      </c>
      <c r="H11" s="254" t="s">
        <v>165</v>
      </c>
      <c r="I11" s="561" t="str">
        <f>+'Introducción de datos'!C12</f>
        <v>B1</v>
      </c>
      <c r="J11" s="561"/>
      <c r="K11" s="265"/>
      <c r="L11" s="263"/>
      <c r="M11" s="243"/>
      <c r="N11" s="263"/>
      <c r="O11" s="263"/>
      <c r="P11" s="245"/>
      <c r="Q11" s="259"/>
      <c r="R11" s="253"/>
      <c r="S11" s="246"/>
      <c r="T11" s="266"/>
      <c r="U11" s="259"/>
    </row>
    <row r="12" spans="1:24" ht="25.5" customHeight="1">
      <c r="A12" s="254" t="s">
        <v>53</v>
      </c>
      <c r="B12" s="559" t="str">
        <f>+'Introducción de datos'!G10</f>
        <v>JACOBS</v>
      </c>
      <c r="C12" s="559"/>
      <c r="D12" s="559"/>
      <c r="E12" s="558" t="s">
        <v>56</v>
      </c>
      <c r="F12" s="558"/>
      <c r="G12" s="559" t="s">
        <v>345</v>
      </c>
      <c r="H12" s="559"/>
      <c r="I12" s="559"/>
      <c r="J12" s="559"/>
      <c r="K12" s="263"/>
      <c r="L12" s="263"/>
      <c r="M12" s="243"/>
      <c r="N12" s="263"/>
      <c r="O12" s="246"/>
      <c r="P12" s="245"/>
      <c r="Q12" s="259"/>
      <c r="R12" s="253"/>
      <c r="S12" s="246"/>
      <c r="T12" s="259"/>
      <c r="U12" s="267"/>
      <c r="V12" s="259"/>
      <c r="W12" s="266"/>
      <c r="X12" s="259"/>
    </row>
    <row r="13" spans="1:21" ht="25.5" customHeight="1">
      <c r="A13" s="254" t="s">
        <v>63</v>
      </c>
      <c r="B13" s="559" t="str">
        <f>+'Introducción de datos'!D18</f>
        <v>UAFM/UFE/MINSAL.</v>
      </c>
      <c r="C13" s="559"/>
      <c r="D13" s="559"/>
      <c r="E13" s="558" t="s">
        <v>166</v>
      </c>
      <c r="F13" s="558"/>
      <c r="G13" s="560">
        <v>43565</v>
      </c>
      <c r="H13" s="560"/>
      <c r="I13" s="560"/>
      <c r="J13" s="560"/>
      <c r="K13" s="246"/>
      <c r="L13" s="268"/>
      <c r="M13" s="268"/>
      <c r="N13" s="268"/>
      <c r="O13" s="246"/>
      <c r="P13" s="268"/>
      <c r="Q13" s="268"/>
      <c r="R13" s="253"/>
      <c r="S13" s="246"/>
      <c r="T13" s="268"/>
      <c r="U13" s="269"/>
    </row>
  </sheetData>
  <sheetProtection selectLockedCells="1" selectUnlockedCells="1"/>
  <mergeCells count="16">
    <mergeCell ref="B3:J3"/>
    <mergeCell ref="B6:C6"/>
    <mergeCell ref="D6:E6"/>
    <mergeCell ref="F6:J6"/>
    <mergeCell ref="E9:F9"/>
    <mergeCell ref="I9:J9"/>
    <mergeCell ref="E10:F10"/>
    <mergeCell ref="G10:J10"/>
    <mergeCell ref="B13:D13"/>
    <mergeCell ref="E13:F13"/>
    <mergeCell ref="G13:J13"/>
    <mergeCell ref="E11:F11"/>
    <mergeCell ref="I11:J11"/>
    <mergeCell ref="B12:D12"/>
    <mergeCell ref="E12:F12"/>
    <mergeCell ref="G12:J12"/>
  </mergeCells>
  <conditionalFormatting sqref="I11:J11">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dataValidations count="1">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T33"/>
  <sheetViews>
    <sheetView showGridLines="0" zoomScalePageLayoutView="0" workbookViewId="0" topLeftCell="A1">
      <selection activeCell="A1" sqref="A1"/>
    </sheetView>
  </sheetViews>
  <sheetFormatPr defaultColWidth="11.421875" defaultRowHeight="15"/>
  <cols>
    <col min="1" max="1" width="3.421875" style="0" customWidth="1"/>
    <col min="2" max="2" width="11.42187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21.57421875" style="0" customWidth="1"/>
    <col min="12" max="12" width="3.57421875" style="0" customWidth="1"/>
  </cols>
  <sheetData>
    <row r="1" spans="2:11" ht="30.75" customHeight="1">
      <c r="B1" s="6"/>
      <c r="C1" s="6"/>
      <c r="D1" s="6"/>
      <c r="E1" s="6"/>
      <c r="F1" s="6"/>
      <c r="G1" s="6"/>
      <c r="H1" s="6"/>
      <c r="I1" s="6"/>
      <c r="J1" s="6"/>
      <c r="K1" s="6"/>
    </row>
    <row r="2" spans="2:15" ht="27.75" customHeight="1">
      <c r="B2" s="542" t="str">
        <f>+"Cuadro de mando:  "&amp;"  "&amp;+'Introducción de datos'!C4&amp;" - "&amp;'Introducción de datos'!G6</f>
        <v>Cuadro de mando:    El Salvador - MALARIA</v>
      </c>
      <c r="C2" s="542"/>
      <c r="D2" s="542"/>
      <c r="E2" s="542"/>
      <c r="F2" s="542"/>
      <c r="G2" s="542"/>
      <c r="H2" s="542"/>
      <c r="I2" s="542"/>
      <c r="J2" s="542"/>
      <c r="K2" s="542"/>
      <c r="L2" s="270"/>
      <c r="M2" s="270"/>
      <c r="N2" s="270"/>
      <c r="O2" s="270"/>
    </row>
    <row r="3" spans="2:12" ht="14.25">
      <c r="B3" s="271">
        <f>+'Introducción de datos'!G8</f>
        <v>0</v>
      </c>
      <c r="C3" s="579" t="str">
        <f>+'Introducción de datos'!I8</f>
        <v>Fase 1</v>
      </c>
      <c r="D3" s="579"/>
      <c r="E3" s="580"/>
      <c r="F3" s="580"/>
      <c r="G3" s="580"/>
      <c r="H3" s="580"/>
      <c r="I3" s="581" t="str">
        <f>+'Introducción de datos'!B16</f>
        <v>Periodo:</v>
      </c>
      <c r="J3" s="581"/>
      <c r="K3" s="273" t="str">
        <f>+'Introducción de datos'!C16</f>
        <v>P3</v>
      </c>
      <c r="L3" s="274"/>
    </row>
    <row r="4" spans="2:11" ht="14.25">
      <c r="B4" s="271" t="str">
        <f>+'Introducción de datos'!B12</f>
        <v>Ultima calificación:</v>
      </c>
      <c r="C4" s="582" t="str">
        <f>+'Introducción de datos'!C12</f>
        <v>B1</v>
      </c>
      <c r="D4" s="582"/>
      <c r="E4" s="580" t="str">
        <f>+'Introducción de datos'!C8</f>
        <v>Ministerio de Salud </v>
      </c>
      <c r="F4" s="580"/>
      <c r="G4" s="580"/>
      <c r="H4" s="580"/>
      <c r="I4" s="581" t="str">
        <f>+'Introducción de datos'!D16</f>
        <v>Desde:</v>
      </c>
      <c r="J4" s="581"/>
      <c r="K4" s="275">
        <f>+'Introducción de datos'!E16</f>
        <v>43466</v>
      </c>
    </row>
    <row r="5" spans="2:11" ht="18.75" customHeight="1">
      <c r="B5" s="271"/>
      <c r="C5" s="271"/>
      <c r="D5" s="572" t="str">
        <f>+'Introducción de datos'!G4</f>
        <v>Eliminación de la malaria en El Salvador: un esfuerzo de país</v>
      </c>
      <c r="E5" s="572"/>
      <c r="F5" s="572"/>
      <c r="G5" s="572"/>
      <c r="H5" s="572"/>
      <c r="I5" s="572"/>
      <c r="J5" s="271" t="str">
        <f>+'Introducción de datos'!F16</f>
        <v>Hasta:</v>
      </c>
      <c r="K5" s="275">
        <f>'Introducción de datos'!G16</f>
        <v>43646</v>
      </c>
    </row>
    <row r="6" spans="2:11" ht="18">
      <c r="B6" s="276"/>
      <c r="C6" s="271"/>
      <c r="D6" s="277"/>
      <c r="E6" s="573" t="s">
        <v>167</v>
      </c>
      <c r="F6" s="573"/>
      <c r="G6" s="573"/>
      <c r="H6" s="573"/>
      <c r="I6" s="6"/>
      <c r="J6" s="6"/>
      <c r="K6" s="6"/>
    </row>
    <row r="7" spans="2:11" ht="10.5" customHeight="1">
      <c r="B7" s="278"/>
      <c r="C7" s="272"/>
      <c r="D7" s="277"/>
      <c r="E7" s="279"/>
      <c r="F7" s="279"/>
      <c r="G7" s="280"/>
      <c r="H7" s="280"/>
      <c r="I7" s="281"/>
      <c r="J7" s="281"/>
      <c r="K7" s="282"/>
    </row>
    <row r="8" spans="2:14" ht="14.25">
      <c r="B8" s="283" t="str">
        <f>+'Introducción de datos'!B27&amp;" - en ("&amp;'Introducción de datos'!D26&amp;")         "&amp;+I3&amp;" "&amp;+K3</f>
        <v>F1: Presupuesto y desembolsos del Fondo Mundial - en ($)         Periodo: P3</v>
      </c>
      <c r="C8" s="284"/>
      <c r="D8" s="146"/>
      <c r="E8" s="146"/>
      <c r="F8" s="146"/>
      <c r="H8" s="283" t="str">
        <f>+'Introducción de datos'!B48&amp;" - en ("&amp;'Introducción de datos'!D26&amp;")         "&amp;+I3&amp;" "&amp;+K3</f>
        <v>F3: Desembolsos y gastos - en ($)         Periodo: P3</v>
      </c>
      <c r="I8" s="6"/>
      <c r="J8" s="6"/>
      <c r="K8" s="6"/>
      <c r="N8" s="283"/>
    </row>
    <row r="9" spans="2:20" ht="98.25" customHeight="1">
      <c r="B9" s="285" t="s">
        <v>168</v>
      </c>
      <c r="C9" s="574" t="s">
        <v>352</v>
      </c>
      <c r="D9" s="574"/>
      <c r="E9" s="574"/>
      <c r="F9" s="574"/>
      <c r="H9" s="286" t="s">
        <v>168</v>
      </c>
      <c r="I9" s="575" t="s">
        <v>353</v>
      </c>
      <c r="J9" s="576"/>
      <c r="K9" s="576"/>
      <c r="L9" s="576"/>
      <c r="M9" s="577"/>
      <c r="N9" s="473"/>
      <c r="O9" s="578"/>
      <c r="P9" s="578"/>
      <c r="Q9" s="578"/>
      <c r="R9" s="578"/>
      <c r="S9" s="578"/>
      <c r="T9" s="578"/>
    </row>
    <row r="10" spans="2:11" ht="14.25">
      <c r="B10" s="146"/>
      <c r="C10" s="146"/>
      <c r="D10" s="146"/>
      <c r="E10" s="146"/>
      <c r="F10" s="146"/>
      <c r="G10" s="6"/>
      <c r="H10" s="6"/>
      <c r="I10" s="6"/>
      <c r="J10" s="6"/>
      <c r="K10" s="6"/>
    </row>
    <row r="11" spans="2:11" ht="14.25">
      <c r="B11" s="146"/>
      <c r="C11" s="146"/>
      <c r="D11" s="146"/>
      <c r="E11" s="146"/>
      <c r="F11" s="146"/>
      <c r="G11" s="6"/>
      <c r="H11" s="6"/>
      <c r="I11" s="6"/>
      <c r="J11" s="6"/>
      <c r="K11" s="6"/>
    </row>
    <row r="12" spans="2:11" ht="14.25">
      <c r="B12" s="146"/>
      <c r="C12" s="146"/>
      <c r="D12" s="146"/>
      <c r="E12" s="146"/>
      <c r="F12" s="146"/>
      <c r="G12" s="6"/>
      <c r="H12" s="6"/>
      <c r="I12" s="6"/>
      <c r="J12" s="6"/>
      <c r="K12" s="6"/>
    </row>
    <row r="13" spans="2:11" ht="14.25">
      <c r="B13" s="146"/>
      <c r="C13" s="146"/>
      <c r="D13" s="146"/>
      <c r="E13" s="146"/>
      <c r="F13" s="146"/>
      <c r="G13" s="6"/>
      <c r="H13" s="6"/>
      <c r="I13" s="6"/>
      <c r="J13" s="6"/>
      <c r="K13" s="6"/>
    </row>
    <row r="14" spans="2:11" ht="14.25">
      <c r="B14" s="146"/>
      <c r="C14" s="146"/>
      <c r="D14" s="146"/>
      <c r="E14" s="146"/>
      <c r="F14" s="146"/>
      <c r="G14" s="6"/>
      <c r="H14" s="6"/>
      <c r="I14" s="6"/>
      <c r="J14" s="6"/>
      <c r="K14" s="6"/>
    </row>
    <row r="15" spans="2:13" ht="14.25">
      <c r="B15" s="146"/>
      <c r="C15" s="146"/>
      <c r="D15" s="146"/>
      <c r="E15" s="146"/>
      <c r="F15" s="146"/>
      <c r="G15" s="6"/>
      <c r="H15" s="6"/>
      <c r="I15" s="6"/>
      <c r="J15" s="6"/>
      <c r="K15" s="6"/>
      <c r="M15" s="287" t="s">
        <v>169</v>
      </c>
    </row>
    <row r="16" spans="2:13" ht="14.25">
      <c r="B16" s="146"/>
      <c r="C16" s="146"/>
      <c r="D16" s="146"/>
      <c r="E16" s="146"/>
      <c r="F16" s="146"/>
      <c r="G16" s="6"/>
      <c r="H16" s="6"/>
      <c r="I16" s="6"/>
      <c r="J16" s="6"/>
      <c r="K16" s="6"/>
      <c r="M16" s="287" t="s">
        <v>170</v>
      </c>
    </row>
    <row r="17" spans="2:11" ht="14.25">
      <c r="B17" s="146"/>
      <c r="C17" s="146"/>
      <c r="D17" s="146"/>
      <c r="E17" s="146"/>
      <c r="F17" s="146"/>
      <c r="G17" s="6"/>
      <c r="H17" s="6"/>
      <c r="I17" s="6"/>
      <c r="J17" s="6"/>
      <c r="K17" s="6"/>
    </row>
    <row r="18" spans="2:11" ht="14.25">
      <c r="B18" s="146"/>
      <c r="C18" s="146"/>
      <c r="D18" s="146"/>
      <c r="E18" s="146"/>
      <c r="F18" s="146"/>
      <c r="G18" s="6"/>
      <c r="H18" s="6"/>
      <c r="I18" s="6"/>
      <c r="J18" s="6"/>
      <c r="K18" s="6"/>
    </row>
    <row r="19" spans="2:11" ht="14.25">
      <c r="B19" s="146"/>
      <c r="C19" s="146"/>
      <c r="D19" s="146"/>
      <c r="E19" s="146"/>
      <c r="F19" s="146"/>
      <c r="G19" s="6"/>
      <c r="H19" s="6"/>
      <c r="I19" s="6"/>
      <c r="J19" s="6"/>
      <c r="K19" s="6"/>
    </row>
    <row r="20" spans="2:11" ht="14.25">
      <c r="B20" s="146"/>
      <c r="C20" s="146"/>
      <c r="D20" s="146"/>
      <c r="E20" s="146"/>
      <c r="F20" s="146"/>
      <c r="G20" s="6"/>
      <c r="H20" s="6"/>
      <c r="I20" s="6"/>
      <c r="J20" s="6"/>
      <c r="K20" s="6"/>
    </row>
    <row r="21" spans="1:11" ht="24" customHeight="1">
      <c r="A21" s="10"/>
      <c r="B21" s="10"/>
      <c r="C21" s="10"/>
      <c r="D21" s="10"/>
      <c r="E21" s="10"/>
      <c r="F21" s="10"/>
      <c r="G21" s="10"/>
      <c r="H21" s="10"/>
      <c r="I21" s="10"/>
      <c r="J21" s="10"/>
      <c r="K21" s="10"/>
    </row>
    <row r="22" spans="2:11" ht="23.25" customHeight="1">
      <c r="B22" s="288" t="str">
        <f>+'Introducción de datos'!B36&amp;" - en ("&amp;'Introducción de datos'!D26&amp;")  "&amp;+I3&amp;" "&amp;+K3</f>
        <v>F2: Presupuesto y gastos reales por modulos de la subvención - en ($)  Periodo: P3</v>
      </c>
      <c r="C22" s="146"/>
      <c r="D22" s="146"/>
      <c r="E22" s="146"/>
      <c r="F22" s="146"/>
      <c r="H22" s="288" t="str">
        <f>+'Introducción de datos'!B57&amp;"   "&amp;+I3&amp;" "&amp;+K3</f>
        <v>F4: Último ciclo de información y desembolso del RP   Periodo: P3</v>
      </c>
      <c r="J22" s="6"/>
      <c r="K22" s="6"/>
    </row>
    <row r="23" spans="2:11" ht="83.25" customHeight="1">
      <c r="B23" s="286" t="s">
        <v>171</v>
      </c>
      <c r="C23" s="569" t="s">
        <v>354</v>
      </c>
      <c r="D23" s="569"/>
      <c r="E23" s="569"/>
      <c r="F23" s="569"/>
      <c r="G23" s="289"/>
      <c r="H23" s="286" t="s">
        <v>168</v>
      </c>
      <c r="I23" s="569" t="s">
        <v>351</v>
      </c>
      <c r="J23" s="569"/>
      <c r="K23" s="569"/>
    </row>
    <row r="24" spans="2:11" ht="15.75" customHeight="1">
      <c r="B24" s="290"/>
      <c r="C24" s="290"/>
      <c r="D24" s="290"/>
      <c r="E24" s="290"/>
      <c r="F24" s="290"/>
      <c r="G24" s="290"/>
      <c r="H24" s="291"/>
      <c r="I24" s="291"/>
      <c r="J24" s="290"/>
      <c r="K24" s="290"/>
    </row>
    <row r="25" spans="2:11" ht="29.25" customHeight="1">
      <c r="B25" s="6"/>
      <c r="C25" s="6"/>
      <c r="D25" s="6"/>
      <c r="E25" s="6"/>
      <c r="F25" s="6"/>
      <c r="G25" s="292"/>
      <c r="H25" s="570" t="s">
        <v>172</v>
      </c>
      <c r="I25" s="570"/>
      <c r="J25" s="570"/>
      <c r="K25" s="570"/>
    </row>
    <row r="26" spans="2:11" ht="14.25">
      <c r="B26" s="6"/>
      <c r="C26" s="6"/>
      <c r="D26" s="6"/>
      <c r="E26" s="6"/>
      <c r="F26" s="6"/>
      <c r="G26" s="44"/>
      <c r="H26" s="571"/>
      <c r="I26" s="571"/>
      <c r="J26" s="293" t="s">
        <v>95</v>
      </c>
      <c r="K26" s="294" t="s">
        <v>96</v>
      </c>
    </row>
    <row r="27" spans="2:11" ht="29.25" customHeight="1">
      <c r="B27" s="6"/>
      <c r="C27" s="6"/>
      <c r="D27" s="6"/>
      <c r="E27" s="6"/>
      <c r="F27" s="6"/>
      <c r="G27" s="295"/>
      <c r="H27" s="567" t="str">
        <f>'Introducción de datos'!B61</f>
        <v>Días tardados en presentar el informe de progreso actualizado y solicitud de desembolso al ALF</v>
      </c>
      <c r="I27" s="567"/>
      <c r="J27" s="296">
        <f>+'Introducción de datos'!C61</f>
        <v>60</v>
      </c>
      <c r="K27" s="297">
        <f>+'Introducción de datos'!D61</f>
        <v>60</v>
      </c>
    </row>
    <row r="28" spans="2:11" ht="21" customHeight="1">
      <c r="B28" s="6"/>
      <c r="C28" s="6"/>
      <c r="D28" s="6"/>
      <c r="E28" s="6"/>
      <c r="F28" s="6"/>
      <c r="G28" s="295"/>
      <c r="H28" s="567" t="str">
        <f>'Introducción de datos'!B62</f>
        <v>Días que el desembolso ha tardado en llegar al RP</v>
      </c>
      <c r="I28" s="567"/>
      <c r="J28" s="296">
        <f>+'Introducción de datos'!C62</f>
        <v>0</v>
      </c>
      <c r="K28" s="298">
        <f>+'Introducción de datos'!D62</f>
        <v>0</v>
      </c>
    </row>
    <row r="29" spans="2:11" ht="21" customHeight="1">
      <c r="B29" s="6"/>
      <c r="C29" s="6"/>
      <c r="D29" s="6"/>
      <c r="E29" s="6"/>
      <c r="F29" s="6"/>
      <c r="G29" s="295"/>
      <c r="H29" s="568">
        <f>'Introducción de datos'!B63</f>
        <v>0</v>
      </c>
      <c r="I29" s="568"/>
      <c r="J29" s="299">
        <f>+'Introducción de datos'!C63</f>
        <v>0</v>
      </c>
      <c r="K29" s="298">
        <f>+'Introducción de datos'!D63</f>
        <v>0</v>
      </c>
    </row>
    <row r="30" spans="2:11" ht="14.25">
      <c r="B30" s="6"/>
      <c r="C30" s="6"/>
      <c r="D30" s="6"/>
      <c r="E30" s="6"/>
      <c r="F30" s="6"/>
      <c r="G30" s="6"/>
      <c r="H30" s="6"/>
      <c r="I30" s="6"/>
      <c r="J30" s="6"/>
      <c r="K30" s="6"/>
    </row>
    <row r="31" spans="2:11" ht="14.25">
      <c r="B31" s="6"/>
      <c r="C31" s="93"/>
      <c r="D31" s="300"/>
      <c r="E31" s="6"/>
      <c r="F31" s="6"/>
      <c r="G31" s="6"/>
      <c r="H31" s="6"/>
      <c r="I31" s="6"/>
      <c r="J31" s="6"/>
      <c r="K31" s="6"/>
    </row>
    <row r="32" spans="2:11" ht="14.25">
      <c r="B32" s="6"/>
      <c r="C32" s="263" t="s">
        <v>86</v>
      </c>
      <c r="D32" s="300"/>
      <c r="E32" s="6"/>
      <c r="F32" s="6"/>
      <c r="G32" s="6"/>
      <c r="H32" s="6"/>
      <c r="I32" s="6"/>
      <c r="J32" s="6"/>
      <c r="K32" s="6"/>
    </row>
    <row r="33" ht="14.25">
      <c r="C33" s="287" t="s">
        <v>130</v>
      </c>
    </row>
  </sheetData>
  <sheetProtection selectLockedCells="1" selectUnlockedCells="1"/>
  <mergeCells count="19">
    <mergeCell ref="B2:K2"/>
    <mergeCell ref="C3:D3"/>
    <mergeCell ref="E3:H3"/>
    <mergeCell ref="I3:J3"/>
    <mergeCell ref="C4:D4"/>
    <mergeCell ref="E4:H4"/>
    <mergeCell ref="I4:J4"/>
    <mergeCell ref="D5:I5"/>
    <mergeCell ref="E6:H6"/>
    <mergeCell ref="C9:F9"/>
    <mergeCell ref="I9:M9"/>
    <mergeCell ref="H27:I27"/>
    <mergeCell ref="O9:T9"/>
    <mergeCell ref="H28:I28"/>
    <mergeCell ref="H29:I29"/>
    <mergeCell ref="C23:F23"/>
    <mergeCell ref="I23:K23"/>
    <mergeCell ref="H25:K25"/>
    <mergeCell ref="H26:I26"/>
  </mergeCells>
  <conditionalFormatting sqref="K27:K29">
    <cfRule type="cellIs" priority="3" dxfId="45" operator="equal" stopIfTrue="1">
      <formula>0</formula>
    </cfRule>
  </conditionalFormatting>
  <conditionalFormatting sqref="C4:D4">
    <cfRule type="cellIs" priority="4" dxfId="44" operator="equal" stopIfTrue="1">
      <formula>"C"</formula>
    </cfRule>
    <cfRule type="cellIs" priority="5" dxfId="40" operator="equal" stopIfTrue="1">
      <formula>"B2"</formula>
    </cfRule>
    <cfRule type="cellIs" priority="6"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1"/>
  <sheetViews>
    <sheetView showGridLines="0" zoomScalePageLayoutView="0" workbookViewId="0" topLeftCell="A1">
      <selection activeCell="A1" sqref="A1"/>
    </sheetView>
  </sheetViews>
  <sheetFormatPr defaultColWidth="11.421875" defaultRowHeight="15"/>
  <cols>
    <col min="1" max="1" width="3.421875" style="0" customWidth="1"/>
    <col min="2" max="2" width="14.421875" style="0" customWidth="1"/>
    <col min="3" max="3" width="12.421875" style="0" customWidth="1"/>
    <col min="4" max="4" width="13.140625" style="0" customWidth="1"/>
    <col min="5" max="5" width="11.421875" style="0" customWidth="1"/>
    <col min="6" max="6" width="11.8515625" style="0" customWidth="1"/>
    <col min="7" max="7" width="18.57421875" style="0" customWidth="1"/>
    <col min="8" max="8" width="11.421875" style="0" customWidth="1"/>
    <col min="9" max="9" width="14.421875" style="0" customWidth="1"/>
    <col min="10" max="10" width="15.140625" style="0" customWidth="1"/>
    <col min="11" max="11" width="15.421875" style="0" customWidth="1"/>
    <col min="12" max="12" width="20.28125" style="0" customWidth="1"/>
  </cols>
  <sheetData>
    <row r="1" spans="3:5" ht="28.5" customHeight="1">
      <c r="C1" s="301"/>
      <c r="E1" s="301"/>
    </row>
    <row r="2" spans="2:16" ht="27.75" customHeight="1">
      <c r="B2" s="592" t="str">
        <f>+"Cuadro de mando:  "&amp;"  "&amp;+'Introducción de datos'!C4&amp;" - "&amp;'Introducción de datos'!G6</f>
        <v>Cuadro de mando:    El Salvador - MALARIA</v>
      </c>
      <c r="C2" s="592"/>
      <c r="D2" s="592"/>
      <c r="E2" s="592"/>
      <c r="F2" s="592"/>
      <c r="G2" s="592"/>
      <c r="H2" s="592"/>
      <c r="I2" s="592"/>
      <c r="J2" s="592"/>
      <c r="K2" s="592"/>
      <c r="L2" s="592"/>
      <c r="M2" s="302"/>
      <c r="N2" s="302"/>
      <c r="O2" s="302"/>
      <c r="P2" s="302"/>
    </row>
    <row r="3" spans="2:12" ht="14.25">
      <c r="B3" s="303">
        <f>+'Introducción de datos'!G8</f>
        <v>0</v>
      </c>
      <c r="C3" s="593" t="str">
        <f>+'Introducción de datos'!I8</f>
        <v>Fase 1</v>
      </c>
      <c r="D3" s="593"/>
      <c r="E3" s="588"/>
      <c r="F3" s="588"/>
      <c r="G3" s="588"/>
      <c r="H3" s="588"/>
      <c r="I3" s="588"/>
      <c r="J3" s="594" t="str">
        <f>+'Introducción de datos'!B16</f>
        <v>Periodo:</v>
      </c>
      <c r="K3" s="594"/>
      <c r="L3" s="273" t="str">
        <f>+'Introducción de datos'!C16</f>
        <v>P3</v>
      </c>
    </row>
    <row r="4" spans="2:12" ht="14.25">
      <c r="B4" s="303" t="str">
        <f>+'Introducción de datos'!B12</f>
        <v>Ultima calificación:</v>
      </c>
      <c r="C4" s="582" t="str">
        <f>+'Introducción de datos'!C12</f>
        <v>B1</v>
      </c>
      <c r="D4" s="582"/>
      <c r="E4" s="588" t="str">
        <f>+'Introducción de datos'!C8</f>
        <v>Ministerio de Salud </v>
      </c>
      <c r="F4" s="588"/>
      <c r="G4" s="588"/>
      <c r="H4" s="588"/>
      <c r="I4" s="588"/>
      <c r="J4" s="594" t="str">
        <f>+'Introducción de datos'!D16</f>
        <v>Desde:</v>
      </c>
      <c r="K4" s="594"/>
      <c r="L4" s="275">
        <f>+'Introducción de datos'!E16</f>
        <v>43466</v>
      </c>
    </row>
    <row r="5" spans="2:12" ht="18.75" customHeight="1">
      <c r="B5" s="303"/>
      <c r="C5" s="303"/>
      <c r="D5" s="588" t="str">
        <f>+'Introducción de datos'!G4</f>
        <v>Eliminación de la malaria en El Salvador: un esfuerzo de país</v>
      </c>
      <c r="E5" s="588"/>
      <c r="F5" s="588"/>
      <c r="G5" s="588"/>
      <c r="H5" s="588"/>
      <c r="I5" s="588"/>
      <c r="J5" s="588"/>
      <c r="K5" s="303" t="str">
        <f>+'Introducción de datos'!F16</f>
        <v>Hasta:</v>
      </c>
      <c r="L5" s="275">
        <f>+'Introducción de datos'!G16</f>
        <v>43646</v>
      </c>
    </row>
    <row r="6" spans="2:9" ht="18">
      <c r="B6" s="304"/>
      <c r="C6" s="303"/>
      <c r="D6" s="277"/>
      <c r="E6" s="589" t="s">
        <v>16</v>
      </c>
      <c r="F6" s="589"/>
      <c r="G6" s="589"/>
      <c r="H6" s="589"/>
      <c r="I6" s="589"/>
    </row>
    <row r="7" spans="2:8" ht="14.25">
      <c r="B7" s="305" t="str">
        <f>+'Introducción de datos'!B68&amp;"     "&amp;+J3&amp;" "&amp;+L3</f>
        <v>M1: Estado de las condiciones precedentes y acciones con fecha límite     Periodo: P3</v>
      </c>
      <c r="C7" s="306"/>
      <c r="H7" s="305" t="str">
        <f>+'Introducción de datos'!B75&amp;"         "&amp;+J3&amp;"  "&amp;+L3</f>
        <v>M2: Estado de los principales puestos directivos del RP         Periodo:  P3</v>
      </c>
    </row>
    <row r="8" spans="2:12" ht="14.25" customHeight="1">
      <c r="B8" s="307" t="s">
        <v>168</v>
      </c>
      <c r="C8" s="590"/>
      <c r="D8" s="590"/>
      <c r="E8" s="590"/>
      <c r="F8" s="590"/>
      <c r="G8" s="308"/>
      <c r="H8" s="307" t="s">
        <v>168</v>
      </c>
      <c r="I8" s="585"/>
      <c r="J8" s="585"/>
      <c r="K8" s="585"/>
      <c r="L8" s="585"/>
    </row>
    <row r="9" spans="2:8" ht="14.25">
      <c r="B9" s="10"/>
      <c r="C9" s="10"/>
      <c r="D9" s="10"/>
      <c r="E9" s="10"/>
      <c r="F9" s="10"/>
      <c r="G9" s="10"/>
      <c r="H9" s="10"/>
    </row>
    <row r="10" spans="1:16" ht="14.25">
      <c r="A10" s="309"/>
      <c r="B10" s="10"/>
      <c r="C10" s="10"/>
      <c r="D10" s="591"/>
      <c r="E10" s="512"/>
      <c r="F10" s="512"/>
      <c r="G10" s="12"/>
      <c r="H10" s="10"/>
      <c r="N10" s="311"/>
      <c r="O10" s="311"/>
      <c r="P10" s="312"/>
    </row>
    <row r="11" spans="2:15" ht="14.25">
      <c r="B11" s="10"/>
      <c r="C11" s="310"/>
      <c r="D11" s="591"/>
      <c r="E11" s="310"/>
      <c r="F11" s="310"/>
      <c r="G11" s="310"/>
      <c r="H11" s="310"/>
      <c r="N11" s="10"/>
      <c r="O11" s="10"/>
    </row>
    <row r="12" spans="2:8" ht="14.25">
      <c r="B12" s="310"/>
      <c r="C12" s="313"/>
      <c r="D12" s="314"/>
      <c r="E12" s="314"/>
      <c r="F12" s="314"/>
      <c r="G12" s="314"/>
      <c r="H12" s="315"/>
    </row>
    <row r="13" spans="2:8" ht="14.25">
      <c r="B13" s="310"/>
      <c r="C13" s="313"/>
      <c r="D13" s="314"/>
      <c r="E13" s="314"/>
      <c r="F13" s="314"/>
      <c r="G13" s="314"/>
      <c r="H13" s="315"/>
    </row>
    <row r="15" spans="2:8" ht="27.75" customHeight="1">
      <c r="B15" s="305" t="str">
        <f>+'Introducción de datos'!B80&amp;"            "&amp;+J3&amp;" "&amp;+L3</f>
        <v>M3: Acuerdos contractuales (N/A)            Periodo: P3</v>
      </c>
      <c r="H15" s="305" t="str">
        <f>+'Introducción de datos'!B85&amp;"                "&amp;+J3&amp;" "&amp;+L3</f>
        <v>M4: Número de informes completos recibidos a tiempo (N/A)                Periodo: P3</v>
      </c>
    </row>
    <row r="16" spans="2:12" ht="29.25" customHeight="1">
      <c r="B16" s="307" t="s">
        <v>168</v>
      </c>
      <c r="C16" s="585" t="s">
        <v>173</v>
      </c>
      <c r="D16" s="585"/>
      <c r="E16" s="585"/>
      <c r="F16" s="585"/>
      <c r="G16" s="308"/>
      <c r="H16" s="307" t="s">
        <v>168</v>
      </c>
      <c r="I16" s="585" t="s">
        <v>173</v>
      </c>
      <c r="J16" s="585"/>
      <c r="K16" s="585"/>
      <c r="L16" s="585"/>
    </row>
    <row r="17" spans="2:8" ht="14.25">
      <c r="B17" s="316"/>
      <c r="H17" s="317"/>
    </row>
    <row r="18" ht="14.25">
      <c r="M18" s="274"/>
    </row>
    <row r="25" ht="22.5" customHeight="1"/>
    <row r="26" spans="2:8" ht="14.25">
      <c r="B26" s="305" t="str">
        <f>+'Introducción de datos'!B91</f>
        <v>M5: Presupuesto y compra de productos y equipo sanitario, medicamentos y productos farmacéuticos</v>
      </c>
      <c r="H26" s="305" t="str">
        <f>+'Introducción de datos'!B104&amp;"    "&amp;+J3&amp;"  "&amp;+L3</f>
        <v>M6: Diferencia entre existencias actuales y existencias de seguridad    Periodo:  P3</v>
      </c>
    </row>
    <row r="27" spans="2:13" ht="99" customHeight="1">
      <c r="B27" s="307" t="s">
        <v>168</v>
      </c>
      <c r="C27" s="586"/>
      <c r="D27" s="586"/>
      <c r="E27" s="586"/>
      <c r="F27" s="586"/>
      <c r="G27" s="308"/>
      <c r="H27" s="307" t="s">
        <v>168</v>
      </c>
      <c r="I27" s="587"/>
      <c r="J27" s="587"/>
      <c r="K27" s="587"/>
      <c r="L27" s="587"/>
      <c r="M27" s="318"/>
    </row>
    <row r="29" spans="6:12" ht="75" customHeight="1">
      <c r="F29" s="319"/>
      <c r="G29" s="319"/>
      <c r="H29" s="320" t="s">
        <v>132</v>
      </c>
      <c r="I29" s="321" t="s">
        <v>133</v>
      </c>
      <c r="J29" s="322" t="s">
        <v>174</v>
      </c>
      <c r="K29" s="323" t="s">
        <v>175</v>
      </c>
      <c r="L29" s="324" t="s">
        <v>176</v>
      </c>
    </row>
    <row r="30" spans="6:12" ht="14.25" customHeight="1">
      <c r="F30" s="319"/>
      <c r="G30" s="319"/>
      <c r="H30" s="583" t="str">
        <f>+'Introducción de datos'!B107</f>
        <v>MALARIA</v>
      </c>
      <c r="I30" s="325">
        <f>+'Introducción de datos'!C107</f>
        <v>0</v>
      </c>
      <c r="J30" s="326">
        <f>+'Introducción de datos'!I107</f>
      </c>
      <c r="K30" s="325">
        <f>+'Introducción de datos'!J107</f>
        <v>0</v>
      </c>
      <c r="L30" s="327">
        <f>+'Introducción de datos'!K107</f>
      </c>
    </row>
    <row r="31" spans="2:12" ht="30" customHeight="1" thickBot="1">
      <c r="B31" s="584" t="str">
        <f>+'Introducción de datos'!B101</f>
        <v>* Incluye sólo insumos y equipos de laboratorio y entomología </v>
      </c>
      <c r="C31" s="584"/>
      <c r="D31" s="584"/>
      <c r="E31" s="584"/>
      <c r="F31" s="10"/>
      <c r="G31" s="10"/>
      <c r="H31" s="583"/>
      <c r="I31" s="325">
        <f>+'Introducción de datos'!C108</f>
        <v>0</v>
      </c>
      <c r="J31" s="326">
        <f>+'Introducción de datos'!I108</f>
      </c>
      <c r="K31" s="325">
        <f>+'Introducción de datos'!J108</f>
        <v>0</v>
      </c>
      <c r="L31" s="328">
        <f>+'Introducción de datos'!K108</f>
      </c>
    </row>
  </sheetData>
  <sheetProtection selectLockedCells="1" selectUnlockedCells="1"/>
  <mergeCells count="19">
    <mergeCell ref="B2:L2"/>
    <mergeCell ref="C3:D3"/>
    <mergeCell ref="E3:I3"/>
    <mergeCell ref="J3:K3"/>
    <mergeCell ref="C4:D4"/>
    <mergeCell ref="E4:I4"/>
    <mergeCell ref="J4:K4"/>
    <mergeCell ref="D5:J5"/>
    <mergeCell ref="E6:I6"/>
    <mergeCell ref="C8:F8"/>
    <mergeCell ref="I8:L8"/>
    <mergeCell ref="D10:D11"/>
    <mergeCell ref="E10:F10"/>
    <mergeCell ref="H30:H31"/>
    <mergeCell ref="B31:E31"/>
    <mergeCell ref="C16:F16"/>
    <mergeCell ref="I16:L16"/>
    <mergeCell ref="C27:F27"/>
    <mergeCell ref="I27:L27"/>
  </mergeCells>
  <conditionalFormatting sqref="D12:D13">
    <cfRule type="cellIs" priority="4" dxfId="43" operator="greaterThan" stopIfTrue="1">
      <formula>0</formula>
    </cfRule>
  </conditionalFormatting>
  <conditionalFormatting sqref="E12:E13">
    <cfRule type="cellIs" priority="5" dxfId="46" operator="greaterThan" stopIfTrue="1">
      <formula>0</formula>
    </cfRule>
  </conditionalFormatting>
  <conditionalFormatting sqref="F12:G13">
    <cfRule type="cellIs" priority="6" dxfId="44" operator="greaterThan" stopIfTrue="1">
      <formula>0</formula>
    </cfRule>
  </conditionalFormatting>
  <conditionalFormatting sqref="C4:D4">
    <cfRule type="cellIs" priority="7" dxfId="44" operator="equal" stopIfTrue="1">
      <formula>"C"</formula>
    </cfRule>
    <cfRule type="cellIs" priority="8" dxfId="40" operator="equal" stopIfTrue="1">
      <formula>"B2"</formula>
    </cfRule>
    <cfRule type="cellIs" priority="9" dxfId="41" operator="equal" stopIfTrue="1">
      <formula>"B1"</formula>
    </cfRule>
  </conditionalFormatting>
  <conditionalFormatting sqref="L30">
    <cfRule type="cellIs" priority="10" dxfId="47" operator="lessThan" stopIfTrue="1">
      <formula>1</formula>
    </cfRule>
    <cfRule type="cellIs" priority="11" dxfId="48" operator="between" stopIfTrue="1">
      <formula>3</formula>
      <formula>17</formula>
    </cfRule>
    <cfRule type="cellIs" priority="12" dxfId="49" operator="between" stopIfTrue="1">
      <formula>1</formula>
      <formula>3</formula>
    </cfRule>
  </conditionalFormatting>
  <conditionalFormatting sqref="L31">
    <cfRule type="cellIs" priority="13" dxfId="47" operator="lessThan" stopIfTrue="1">
      <formula>1</formula>
    </cfRule>
    <cfRule type="cellIs" priority="14" dxfId="48" operator="between" stopIfTrue="1">
      <formula>3</formula>
      <formula>100</formula>
    </cfRule>
    <cfRule type="cellIs" priority="15" dxfId="49"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r:id="rId2"/>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H28"/>
  <sheetViews>
    <sheetView showGridLines="0" zoomScalePageLayoutView="0" workbookViewId="0" topLeftCell="A1">
      <selection activeCell="A1" sqref="A1"/>
    </sheetView>
  </sheetViews>
  <sheetFormatPr defaultColWidth="11.421875" defaultRowHeight="15"/>
  <cols>
    <col min="1" max="1" width="0.42578125" style="0" customWidth="1"/>
    <col min="2" max="2" width="17.8515625" style="0" customWidth="1"/>
    <col min="3" max="3" width="16.140625" style="0" customWidth="1"/>
    <col min="4" max="4" width="20.28125" style="0" customWidth="1"/>
    <col min="5" max="5" width="10.8515625" style="0" customWidth="1"/>
    <col min="6" max="6" width="12.28125" style="0" customWidth="1"/>
    <col min="7" max="7" width="8.421875" style="0" customWidth="1"/>
    <col min="8" max="8" width="6.421875" style="0" customWidth="1"/>
    <col min="9" max="9" width="6.00390625" style="0" customWidth="1"/>
    <col min="10" max="10" width="6.140625" style="0" customWidth="1"/>
    <col min="11" max="11" width="11.421875" style="0" customWidth="1"/>
    <col min="12" max="12" width="14.00390625" style="0" customWidth="1"/>
    <col min="13" max="13" width="11.57421875" style="0" customWidth="1"/>
    <col min="14" max="14" width="9.421875" style="0" customWidth="1"/>
    <col min="15" max="15" width="7.421875" style="0" customWidth="1"/>
    <col min="16" max="16" width="15.57421875" style="0" customWidth="1"/>
    <col min="17" max="17" width="14.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620" t="str">
        <f>+"Cuadro de mando:  "&amp;"  "&amp;+'Introducción de datos'!C4&amp;" - "&amp;'Introducción de datos'!G6</f>
        <v>Cuadro de mando:    El Salvador - MALARIA</v>
      </c>
      <c r="C2" s="620"/>
      <c r="D2" s="620"/>
      <c r="E2" s="620"/>
      <c r="F2" s="620"/>
      <c r="G2" s="620"/>
      <c r="H2" s="620"/>
      <c r="I2" s="620"/>
      <c r="J2" s="620"/>
      <c r="K2" s="620"/>
      <c r="L2" s="620"/>
      <c r="M2" s="620"/>
      <c r="N2" s="620"/>
      <c r="O2" s="620"/>
      <c r="P2" s="620"/>
      <c r="Q2" s="620"/>
    </row>
    <row r="3" spans="1:17" ht="14.25">
      <c r="A3" s="6"/>
      <c r="B3" s="271">
        <f>+'Introducción de datos'!G8</f>
        <v>0</v>
      </c>
      <c r="C3" s="579" t="str">
        <f>+'Introducción de datos'!I8</f>
        <v>Fase 1</v>
      </c>
      <c r="D3" s="579"/>
      <c r="E3" s="580"/>
      <c r="F3" s="580"/>
      <c r="G3" s="580"/>
      <c r="H3" s="580"/>
      <c r="I3" s="580"/>
      <c r="J3" s="580"/>
      <c r="K3" s="580"/>
      <c r="L3" s="6"/>
      <c r="M3" s="6"/>
      <c r="O3" s="581" t="str">
        <f>+'Introducción de datos'!B16</f>
        <v>Periodo:</v>
      </c>
      <c r="P3" s="581"/>
      <c r="Q3" s="329" t="str">
        <f>+'Introducción de datos'!C16</f>
        <v>P3</v>
      </c>
    </row>
    <row r="4" spans="1:28" ht="12" customHeight="1">
      <c r="A4" s="6"/>
      <c r="B4" s="271" t="str">
        <f>+'Introducción de datos'!B12</f>
        <v>Ultima calificación:</v>
      </c>
      <c r="C4" s="621" t="str">
        <f>+'Introducción de datos'!C12</f>
        <v>B1</v>
      </c>
      <c r="D4" s="621"/>
      <c r="E4" s="580" t="str">
        <f>+'Introducción de datos'!C8</f>
        <v>Ministerio de Salud </v>
      </c>
      <c r="F4" s="580"/>
      <c r="G4" s="580"/>
      <c r="H4" s="580"/>
      <c r="I4" s="580"/>
      <c r="J4" s="580"/>
      <c r="K4" s="580"/>
      <c r="L4" s="580"/>
      <c r="M4" s="6"/>
      <c r="O4" s="330"/>
      <c r="P4" s="271" t="str">
        <f>+'Introducción de datos'!D16</f>
        <v>Desde:</v>
      </c>
      <c r="Q4" s="331">
        <f>+'Introducción de datos'!E16</f>
        <v>43466</v>
      </c>
      <c r="X4" s="287"/>
      <c r="Y4" s="287"/>
      <c r="Z4" s="287"/>
      <c r="AA4" s="287"/>
      <c r="AB4" s="287"/>
    </row>
    <row r="5" spans="1:34" ht="20.25" customHeight="1">
      <c r="A5" s="6"/>
      <c r="B5" s="271"/>
      <c r="C5" s="271"/>
      <c r="D5" s="580" t="str">
        <f>+'Introducción de datos'!G4</f>
        <v>Eliminación de la malaria en El Salvador: un esfuerzo de país</v>
      </c>
      <c r="E5" s="580"/>
      <c r="F5" s="580"/>
      <c r="G5" s="580"/>
      <c r="H5" s="580"/>
      <c r="I5" s="580"/>
      <c r="J5" s="580"/>
      <c r="K5" s="580"/>
      <c r="L5" s="580"/>
      <c r="M5" s="580"/>
      <c r="N5" s="580"/>
      <c r="P5" s="271" t="str">
        <f>+'Introducción de datos'!F16</f>
        <v>Hasta:</v>
      </c>
      <c r="Q5" s="331">
        <f>+'Introducción de datos'!G16</f>
        <v>43646</v>
      </c>
      <c r="R5" s="332"/>
      <c r="S5" s="332"/>
      <c r="T5" s="332"/>
      <c r="U5" s="332"/>
      <c r="V5" s="332"/>
      <c r="W5" s="332"/>
      <c r="X5" s="287"/>
      <c r="Y5" s="287"/>
      <c r="Z5" s="287" t="s">
        <v>177</v>
      </c>
      <c r="AA5" s="287"/>
      <c r="AB5" s="333" t="s">
        <v>178</v>
      </c>
      <c r="AC5" s="332"/>
      <c r="AD5" s="332"/>
      <c r="AE5" s="332"/>
      <c r="AF5" s="332"/>
      <c r="AG5" s="332"/>
      <c r="AH5" s="332"/>
    </row>
    <row r="6" spans="1:34" ht="63.75" customHeight="1">
      <c r="A6" s="6"/>
      <c r="B6" s="271"/>
      <c r="C6" s="271"/>
      <c r="D6" s="334"/>
      <c r="E6" s="334"/>
      <c r="F6" s="611" t="s">
        <v>179</v>
      </c>
      <c r="G6" s="611"/>
      <c r="H6" s="611"/>
      <c r="I6" s="611"/>
      <c r="J6" s="611"/>
      <c r="K6" s="611"/>
      <c r="L6" s="334"/>
      <c r="M6" s="6"/>
      <c r="N6" s="6"/>
      <c r="O6" s="335"/>
      <c r="P6" s="336"/>
      <c r="R6" s="332"/>
      <c r="S6" s="332"/>
      <c r="T6" s="332"/>
      <c r="U6" s="332"/>
      <c r="V6" s="332"/>
      <c r="W6" s="332"/>
      <c r="X6" s="287"/>
      <c r="Y6" s="287"/>
      <c r="Z6" s="287"/>
      <c r="AA6" s="287"/>
      <c r="AB6" s="287"/>
      <c r="AC6" s="332"/>
      <c r="AD6" s="332"/>
      <c r="AE6" s="332"/>
      <c r="AF6" s="332"/>
      <c r="AG6" s="332"/>
      <c r="AH6" s="332"/>
    </row>
    <row r="7" spans="1:34" ht="3" customHeight="1">
      <c r="A7" s="6"/>
      <c r="B7" s="271"/>
      <c r="C7" s="271"/>
      <c r="D7" s="334"/>
      <c r="E7" s="334"/>
      <c r="F7" s="334"/>
      <c r="G7" s="334"/>
      <c r="H7" s="334"/>
      <c r="I7" s="334"/>
      <c r="J7" s="334"/>
      <c r="K7" s="334"/>
      <c r="L7" s="334"/>
      <c r="M7" s="6"/>
      <c r="N7" s="6"/>
      <c r="O7" s="335"/>
      <c r="P7" s="275"/>
      <c r="Q7" s="275"/>
      <c r="R7" s="332"/>
      <c r="S7" s="332"/>
      <c r="T7" s="332"/>
      <c r="U7" s="332"/>
      <c r="V7" s="332"/>
      <c r="W7" s="332"/>
      <c r="X7" s="287"/>
      <c r="Y7" s="287"/>
      <c r="Z7" s="287"/>
      <c r="AA7" s="287"/>
      <c r="AB7" s="287"/>
      <c r="AC7" s="332"/>
      <c r="AD7" s="332"/>
      <c r="AE7" s="332"/>
      <c r="AF7" s="332"/>
      <c r="AG7" s="332"/>
      <c r="AH7" s="332"/>
    </row>
    <row r="8" spans="1:34" ht="36.75" customHeight="1">
      <c r="A8" s="6"/>
      <c r="B8" s="612" t="str">
        <f>+'Introducción de datos'!B115</f>
        <v>Malaria O-4: Proporción de viviendas que han sido rociadas en los últimos 12 meses. </v>
      </c>
      <c r="C8" s="612"/>
      <c r="D8" s="612"/>
      <c r="E8" s="612"/>
      <c r="F8" s="612" t="str">
        <f>+'Introducción de datos'!B117</f>
        <v>Malaria O-9: 2. Tasa anual de muestras de sangre (laminas leídas). </v>
      </c>
      <c r="G8" s="612"/>
      <c r="H8" s="612"/>
      <c r="I8" s="612"/>
      <c r="J8" s="612"/>
      <c r="K8" s="612"/>
      <c r="L8" s="612" t="str">
        <f>+'Introducción de datos'!B119</f>
        <v>VC-5: Proporción de vivienda en las áreas priorizadas que reciben la fumigación intra-domiciliar </v>
      </c>
      <c r="M8" s="612"/>
      <c r="N8" s="612"/>
      <c r="O8" s="612"/>
      <c r="P8" s="612"/>
      <c r="Q8" s="612"/>
      <c r="R8" s="332"/>
      <c r="S8" s="332"/>
      <c r="T8" s="332"/>
      <c r="U8" s="332"/>
      <c r="V8" s="332"/>
      <c r="W8" s="332"/>
      <c r="X8" s="287"/>
      <c r="Y8" s="287"/>
      <c r="Z8" s="287"/>
      <c r="AA8" s="287"/>
      <c r="AB8" s="287"/>
      <c r="AC8" s="332"/>
      <c r="AD8" s="332"/>
      <c r="AE8" s="332"/>
      <c r="AF8" s="332"/>
      <c r="AG8" s="332"/>
      <c r="AH8" s="332"/>
    </row>
    <row r="9" spans="1:34" ht="137.25" customHeight="1">
      <c r="A9" s="6"/>
      <c r="B9" s="337" t="s">
        <v>180</v>
      </c>
      <c r="C9" s="613" t="str">
        <f>L20</f>
        <v>Para el periodo reportado no existen casos autóctonos, por lo que según la clasificación de focos según el Marco para la Eliminación de la Malaria (OMS), no se reportan focos activos.  La meta para el año 2019 es de 2,444 viviendas habiéndose realizado al 30 de junio de 2019, un total de RRI en 2,425 viviendas, logrando un porcentaje de 99.22%,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D9" s="614"/>
      <c r="E9" s="615"/>
      <c r="F9" s="337" t="s">
        <v>180</v>
      </c>
      <c r="G9" s="613" t="str">
        <f>L21</f>
        <v>Para el periodo reportado, enero a junio 2019, no se han reportado casos autóctonos, por consiguiente no existieron focos activos, por lo que el resultado reportado es cero. Fuente: Sistema de información del Programa Nacional de Malaria.</v>
      </c>
      <c r="H9" s="616"/>
      <c r="I9" s="616"/>
      <c r="J9" s="616"/>
      <c r="K9" s="617"/>
      <c r="L9" s="337" t="s">
        <v>180</v>
      </c>
      <c r="M9" s="618" t="str">
        <f>'Introducción de datos'!R120</f>
        <v>Las viviendas que se proyectaban rociar en el año 2019, estaban programadas con una proyección de 14 focos, este año hubo cero focos activos debido a que el caso reportado es importado. Por lo que no se debió haber rociado; sin embargo, el país realizó la acción de rociado en 2,425 viviendas ubicadas en áreas con vulnerabilidad y receptividad para la malaria. Fuente de datos: SUIS/Vectores, GEO, Informe mensual de SIBASI, Informe de LNR e informes mensuales del
Programa Nacional de Malaria.</v>
      </c>
      <c r="N9" s="619"/>
      <c r="O9" s="619"/>
      <c r="P9" s="619"/>
      <c r="Q9" s="617"/>
      <c r="R9" s="332"/>
      <c r="S9" s="332"/>
      <c r="T9" s="332"/>
      <c r="U9" s="332"/>
      <c r="V9" s="332"/>
      <c r="W9" s="332"/>
      <c r="X9" s="332"/>
      <c r="Y9" s="332"/>
      <c r="Z9" s="332"/>
      <c r="AA9" s="332"/>
      <c r="AB9" s="332"/>
      <c r="AC9" s="332"/>
      <c r="AD9" s="332"/>
      <c r="AE9" s="332"/>
      <c r="AF9" s="332"/>
      <c r="AG9" s="332"/>
      <c r="AH9" s="332"/>
    </row>
    <row r="10" spans="1:34" ht="9" customHeight="1">
      <c r="A10" s="6"/>
      <c r="B10" s="271"/>
      <c r="C10" s="271"/>
      <c r="D10" s="334"/>
      <c r="E10" s="334"/>
      <c r="F10" s="334"/>
      <c r="G10" s="334"/>
      <c r="H10" s="334"/>
      <c r="I10" s="334"/>
      <c r="J10" s="334"/>
      <c r="K10" s="334"/>
      <c r="L10" s="334"/>
      <c r="M10" s="6"/>
      <c r="N10" s="6"/>
      <c r="O10" s="335"/>
      <c r="P10" s="275"/>
      <c r="R10" s="332"/>
      <c r="S10" s="332"/>
      <c r="T10" s="332"/>
      <c r="U10" s="332"/>
      <c r="V10" s="332"/>
      <c r="W10" s="332"/>
      <c r="X10" s="332"/>
      <c r="Y10" s="332"/>
      <c r="Z10" s="332"/>
      <c r="AA10" s="332"/>
      <c r="AB10" s="332"/>
      <c r="AC10" s="332"/>
      <c r="AD10" s="332"/>
      <c r="AE10" s="332"/>
      <c r="AF10" s="332"/>
      <c r="AG10" s="332"/>
      <c r="AH10" s="332"/>
    </row>
    <row r="11" spans="1:34" ht="7.5" customHeight="1">
      <c r="A11" s="6"/>
      <c r="B11" s="271"/>
      <c r="C11" s="271"/>
      <c r="D11" s="334"/>
      <c r="E11" s="334"/>
      <c r="F11" s="334"/>
      <c r="G11" s="334"/>
      <c r="H11" s="334"/>
      <c r="I11" s="334"/>
      <c r="J11" s="334"/>
      <c r="K11" s="334"/>
      <c r="L11" s="334"/>
      <c r="M11" s="6"/>
      <c r="N11" s="6"/>
      <c r="O11" s="335"/>
      <c r="P11" s="275"/>
      <c r="R11" s="332"/>
      <c r="S11" s="332"/>
      <c r="T11" s="332"/>
      <c r="U11" s="332"/>
      <c r="V11" s="332"/>
      <c r="W11" s="332"/>
      <c r="X11" s="332"/>
      <c r="Y11" s="332"/>
      <c r="Z11" s="332"/>
      <c r="AA11" s="332"/>
      <c r="AB11" s="332"/>
      <c r="AC11" s="332"/>
      <c r="AD11" s="332"/>
      <c r="AE11" s="332"/>
      <c r="AF11" s="332"/>
      <c r="AG11" s="332"/>
      <c r="AH11" s="332"/>
    </row>
    <row r="12" spans="1:34" ht="18.75" customHeight="1">
      <c r="A12" s="6"/>
      <c r="B12" s="271"/>
      <c r="C12" s="271"/>
      <c r="D12" s="334"/>
      <c r="E12" s="334"/>
      <c r="F12" s="334"/>
      <c r="G12" s="334"/>
      <c r="H12" s="334"/>
      <c r="I12" s="334"/>
      <c r="J12" s="334"/>
      <c r="K12" s="334"/>
      <c r="L12" s="334"/>
      <c r="M12" s="6"/>
      <c r="N12" s="6"/>
      <c r="O12" s="335"/>
      <c r="P12" s="275"/>
      <c r="R12" s="332"/>
      <c r="S12" s="332"/>
      <c r="T12" s="332"/>
      <c r="U12" s="332"/>
      <c r="V12" s="332"/>
      <c r="W12" s="332"/>
      <c r="X12" s="332"/>
      <c r="Y12" s="332"/>
      <c r="Z12" s="332"/>
      <c r="AA12" s="332"/>
      <c r="AB12" s="332"/>
      <c r="AC12" s="332"/>
      <c r="AD12" s="332"/>
      <c r="AE12" s="332"/>
      <c r="AF12" s="332"/>
      <c r="AG12" s="332"/>
      <c r="AH12" s="332"/>
    </row>
    <row r="13" spans="1:34" ht="18.75" customHeight="1">
      <c r="A13" s="6"/>
      <c r="B13" s="271"/>
      <c r="C13" s="271"/>
      <c r="D13" s="334"/>
      <c r="E13" s="334"/>
      <c r="F13" s="334"/>
      <c r="G13" s="334"/>
      <c r="H13" s="334"/>
      <c r="I13" s="334"/>
      <c r="J13" s="334"/>
      <c r="K13" s="334"/>
      <c r="L13" s="334"/>
      <c r="M13" s="6"/>
      <c r="N13" s="6"/>
      <c r="O13" s="335"/>
      <c r="P13" s="275"/>
      <c r="R13" s="332"/>
      <c r="S13" s="332"/>
      <c r="T13" s="332"/>
      <c r="U13" s="332"/>
      <c r="V13" s="332"/>
      <c r="W13" s="332"/>
      <c r="X13" s="332"/>
      <c r="Y13" s="332"/>
      <c r="Z13" s="332"/>
      <c r="AA13" s="332"/>
      <c r="AB13" s="332"/>
      <c r="AC13" s="332"/>
      <c r="AD13" s="332"/>
      <c r="AE13" s="332"/>
      <c r="AF13" s="332"/>
      <c r="AG13" s="332"/>
      <c r="AH13" s="332"/>
    </row>
    <row r="14" spans="1:34" ht="18.75" customHeight="1">
      <c r="A14" s="6"/>
      <c r="B14" s="271"/>
      <c r="C14" s="271"/>
      <c r="D14" s="334"/>
      <c r="E14" s="334"/>
      <c r="F14" s="334"/>
      <c r="G14" s="334"/>
      <c r="H14" s="334"/>
      <c r="I14" s="334"/>
      <c r="J14" s="334"/>
      <c r="K14" s="334"/>
      <c r="L14" s="334"/>
      <c r="M14" s="6"/>
      <c r="N14" s="6"/>
      <c r="O14" s="335"/>
      <c r="P14" s="275"/>
      <c r="R14" s="332"/>
      <c r="S14" s="332"/>
      <c r="T14" s="332"/>
      <c r="U14" s="332"/>
      <c r="V14" s="332"/>
      <c r="W14" s="332"/>
      <c r="X14" s="332"/>
      <c r="Y14" s="332"/>
      <c r="Z14" s="332"/>
      <c r="AA14" s="332"/>
      <c r="AB14" s="332"/>
      <c r="AC14" s="332"/>
      <c r="AD14" s="332"/>
      <c r="AE14" s="332"/>
      <c r="AF14" s="332"/>
      <c r="AG14" s="332"/>
      <c r="AH14" s="332"/>
    </row>
    <row r="15" spans="1:34" ht="21" customHeight="1">
      <c r="A15" s="6"/>
      <c r="B15" s="271"/>
      <c r="C15" s="271"/>
      <c r="D15" s="334"/>
      <c r="E15" s="334"/>
      <c r="F15" s="334"/>
      <c r="G15" s="334"/>
      <c r="H15" s="334"/>
      <c r="I15" s="334"/>
      <c r="J15" s="334"/>
      <c r="K15" s="334"/>
      <c r="L15" s="334"/>
      <c r="M15" s="6"/>
      <c r="N15" s="6"/>
      <c r="O15" s="335"/>
      <c r="P15" s="275"/>
      <c r="R15" s="332"/>
      <c r="S15" s="332"/>
      <c r="T15" s="332"/>
      <c r="U15" s="332"/>
      <c r="V15" s="332"/>
      <c r="W15" s="332"/>
      <c r="X15" s="332"/>
      <c r="Y15" s="332"/>
      <c r="Z15" s="332"/>
      <c r="AA15" s="332"/>
      <c r="AB15" s="332"/>
      <c r="AC15" s="332"/>
      <c r="AD15" s="332"/>
      <c r="AE15" s="332"/>
      <c r="AF15" s="332"/>
      <c r="AG15" s="332"/>
      <c r="AH15" s="332"/>
    </row>
    <row r="16" spans="1:34" ht="18" customHeight="1">
      <c r="A16" s="6"/>
      <c r="B16" s="271"/>
      <c r="C16" s="271"/>
      <c r="D16" s="334"/>
      <c r="E16" s="334"/>
      <c r="F16" s="334"/>
      <c r="G16" s="334"/>
      <c r="H16" s="334"/>
      <c r="I16" s="334"/>
      <c r="J16" s="334"/>
      <c r="K16" s="334"/>
      <c r="L16" s="334"/>
      <c r="M16" s="6"/>
      <c r="N16" s="6"/>
      <c r="O16" s="335"/>
      <c r="P16" s="275"/>
      <c r="R16" s="332"/>
      <c r="S16" s="332"/>
      <c r="T16" s="332"/>
      <c r="U16" s="332"/>
      <c r="V16" s="332"/>
      <c r="W16" s="332"/>
      <c r="X16" s="332"/>
      <c r="Y16" s="332"/>
      <c r="Z16" s="332"/>
      <c r="AA16" s="332"/>
      <c r="AB16" s="332"/>
      <c r="AC16" s="332"/>
      <c r="AD16" s="332"/>
      <c r="AE16" s="332"/>
      <c r="AF16" s="332"/>
      <c r="AG16" s="332"/>
      <c r="AH16" s="332"/>
    </row>
    <row r="17" spans="1:34" ht="18" customHeight="1">
      <c r="A17" s="6"/>
      <c r="B17" s="271"/>
      <c r="C17" s="271"/>
      <c r="D17" s="334"/>
      <c r="E17" s="334"/>
      <c r="F17" s="334"/>
      <c r="G17" s="334"/>
      <c r="H17" s="334"/>
      <c r="I17" s="334"/>
      <c r="J17" s="334"/>
      <c r="K17" s="334"/>
      <c r="L17" s="334"/>
      <c r="M17" s="6"/>
      <c r="N17" s="6"/>
      <c r="O17" s="335"/>
      <c r="P17" s="275"/>
      <c r="R17" s="332"/>
      <c r="S17" s="332"/>
      <c r="T17" s="332"/>
      <c r="U17" s="332"/>
      <c r="V17" s="332"/>
      <c r="W17" s="332"/>
      <c r="X17" s="332"/>
      <c r="Y17" s="332"/>
      <c r="Z17" s="332"/>
      <c r="AA17" s="332"/>
      <c r="AB17" s="332"/>
      <c r="AC17" s="332"/>
      <c r="AD17" s="332"/>
      <c r="AE17" s="332"/>
      <c r="AF17" s="332"/>
      <c r="AG17" s="332"/>
      <c r="AH17" s="332"/>
    </row>
    <row r="18" spans="1:34" ht="18.75" customHeight="1">
      <c r="A18" s="6"/>
      <c r="B18" s="276"/>
      <c r="C18" s="271"/>
      <c r="D18" s="277"/>
      <c r="E18" s="605"/>
      <c r="F18" s="605"/>
      <c r="G18" s="605"/>
      <c r="H18" s="605"/>
      <c r="I18" s="605"/>
      <c r="J18" s="605"/>
      <c r="K18" s="605"/>
      <c r="L18" s="6"/>
      <c r="M18" s="6"/>
      <c r="N18" s="6"/>
      <c r="O18" s="6"/>
      <c r="P18" s="6"/>
      <c r="R18" s="332"/>
      <c r="S18" s="332"/>
      <c r="T18" s="332"/>
      <c r="U18" s="332"/>
      <c r="V18" s="332"/>
      <c r="W18" s="332"/>
      <c r="X18" s="332"/>
      <c r="Y18" s="332"/>
      <c r="Z18" s="332"/>
      <c r="AA18" s="332"/>
      <c r="AB18" s="332"/>
      <c r="AC18" s="332"/>
      <c r="AD18" s="332"/>
      <c r="AE18" s="332"/>
      <c r="AF18" s="332"/>
      <c r="AG18" s="332"/>
      <c r="AH18" s="332"/>
    </row>
    <row r="19" spans="1:34" ht="24" customHeight="1">
      <c r="A19" s="6"/>
      <c r="B19" s="606" t="s">
        <v>181</v>
      </c>
      <c r="C19" s="606"/>
      <c r="D19" s="606"/>
      <c r="E19" s="338" t="s">
        <v>154</v>
      </c>
      <c r="F19" s="338" t="s">
        <v>182</v>
      </c>
      <c r="G19" s="607" t="s">
        <v>183</v>
      </c>
      <c r="H19" s="607"/>
      <c r="I19" s="608" t="s">
        <v>184</v>
      </c>
      <c r="J19" s="608"/>
      <c r="K19" s="474" t="s">
        <v>185</v>
      </c>
      <c r="L19" s="609" t="s">
        <v>186</v>
      </c>
      <c r="M19" s="609"/>
      <c r="N19" s="609"/>
      <c r="O19" s="609"/>
      <c r="P19" s="609"/>
      <c r="Q19" s="609"/>
      <c r="R19" s="339" t="s">
        <v>187</v>
      </c>
      <c r="S19" s="340">
        <v>0</v>
      </c>
      <c r="T19" s="341">
        <v>0.3</v>
      </c>
      <c r="U19" s="341">
        <v>0.6</v>
      </c>
      <c r="V19" s="341">
        <v>0.9</v>
      </c>
      <c r="W19" s="341">
        <v>1</v>
      </c>
      <c r="X19" s="287"/>
      <c r="Y19" s="287"/>
      <c r="Z19" s="342" t="s">
        <v>188</v>
      </c>
      <c r="AA19" s="340">
        <v>0</v>
      </c>
      <c r="AB19" s="341">
        <v>0.2</v>
      </c>
      <c r="AC19" s="341">
        <v>0.4</v>
      </c>
      <c r="AD19" s="341">
        <v>0.6</v>
      </c>
      <c r="AE19" s="341">
        <v>0.8</v>
      </c>
      <c r="AF19" s="287"/>
      <c r="AG19" s="287"/>
      <c r="AH19" s="287"/>
    </row>
    <row r="20" spans="1:34" ht="137.25" customHeight="1">
      <c r="A20" s="6"/>
      <c r="B20" s="610" t="str">
        <f>+'Introducción de datos'!B115</f>
        <v>Malaria O-4: Proporción de viviendas que han sido rociadas en los últimos 12 meses. </v>
      </c>
      <c r="C20" s="610"/>
      <c r="D20" s="610"/>
      <c r="E20" s="343">
        <f ca="1">OFFSET('Introducción de datos'!$G$114,1,RIGHT('Introducción de datos'!$C$16,LEN('Introducción de datos'!$C$16)-1),1,1)</f>
        <v>2444</v>
      </c>
      <c r="F20" s="343">
        <f ca="1">OFFSET('Introducción de datos'!$G$114,2,RIGHT('Introducción de datos'!$C$16,LEN('Introducción de datos'!$C$16)-1),1,1)</f>
        <v>2425</v>
      </c>
      <c r="G20" s="598">
        <f aca="true" t="shared" si="0" ref="G20:G25">+IF(ISERROR(F20/E20),0,F20/E20)</f>
        <v>0.9922258592471358</v>
      </c>
      <c r="H20" s="598"/>
      <c r="I20" s="598"/>
      <c r="J20" s="598"/>
      <c r="K20" s="598"/>
      <c r="L20" s="603" t="str">
        <f>'Introducción de datos'!R116</f>
        <v>Para el periodo reportado no existen casos autóctonos, por lo que según la clasificación de focos según el Marco para la Eliminación de la Malaria (OMS), no se reportan focos activos.  La meta para el año 2019 es de 2,444 viviendas habiéndose realizado al 30 de junio de 2019, un total de RRI en 2,425 viviendas, logrando un porcentaje de 99.22%,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M20" s="603"/>
      <c r="N20" s="603"/>
      <c r="O20" s="603"/>
      <c r="P20" s="603"/>
      <c r="Q20" s="603"/>
      <c r="R20" s="339" t="s">
        <v>189</v>
      </c>
      <c r="S20" s="344">
        <v>0.3</v>
      </c>
      <c r="T20" s="341">
        <v>0.6</v>
      </c>
      <c r="U20" s="341">
        <v>0.9</v>
      </c>
      <c r="V20" s="341">
        <v>1</v>
      </c>
      <c r="W20" s="341">
        <v>2</v>
      </c>
      <c r="X20" s="287"/>
      <c r="Y20" s="287"/>
      <c r="Z20" s="342" t="s">
        <v>190</v>
      </c>
      <c r="AA20" s="344">
        <v>0.2</v>
      </c>
      <c r="AB20" s="341">
        <v>0.4</v>
      </c>
      <c r="AC20" s="341">
        <v>0.6</v>
      </c>
      <c r="AD20" s="341">
        <v>0.8</v>
      </c>
      <c r="AE20" s="341">
        <v>1</v>
      </c>
      <c r="AF20" s="287"/>
      <c r="AG20" s="287"/>
      <c r="AH20" s="287"/>
    </row>
    <row r="21" spans="1:34" ht="110.25" customHeight="1">
      <c r="A21" s="6"/>
      <c r="B21" s="602" t="str">
        <f>+'Introducción de datos'!B117</f>
        <v>Malaria O-9: 2. Tasa anual de muestras de sangre (laminas leídas). </v>
      </c>
      <c r="C21" s="602"/>
      <c r="D21" s="602"/>
      <c r="E21" s="449">
        <f ca="1">OFFSET('Introducción de datos'!$G$114,3,RIGHT('Introducción de datos'!$C$16,LEN('Introducción de datos'!$C$16)-1),1,1)</f>
        <v>0.036</v>
      </c>
      <c r="F21" s="345">
        <f ca="1">OFFSET('Introducción de datos'!$G$114,4,RIGHT('Introducción de datos'!$C$16,LEN('Introducción de datos'!$C$16)-1),1,1)</f>
        <v>0</v>
      </c>
      <c r="G21" s="598">
        <f t="shared" si="0"/>
        <v>0</v>
      </c>
      <c r="H21" s="598"/>
      <c r="I21" s="598"/>
      <c r="J21" s="598"/>
      <c r="K21" s="598"/>
      <c r="L21" s="603" t="str">
        <f>'Introducción de datos'!R118</f>
        <v>Para el periodo reportado, enero a junio 2019, no se han reportado casos autóctonos, por consiguiente no existieron focos activos, por lo que el resultado reportado es cero. Fuente: Sistema de información del Programa Nacional de Malaria.</v>
      </c>
      <c r="M21" s="603"/>
      <c r="N21" s="603"/>
      <c r="O21" s="603"/>
      <c r="P21" s="603"/>
      <c r="Q21" s="603"/>
      <c r="R21" s="346"/>
      <c r="S21" s="347" t="str">
        <f>"de "&amp;S19&amp;" a "&amp;S20</f>
        <v>de 0 a 0.3</v>
      </c>
      <c r="T21" s="347"/>
      <c r="U21" s="347" t="str">
        <f>"de "&amp;U19&amp;" a "&amp;U20</f>
        <v>de 0.6 a 0.9</v>
      </c>
      <c r="V21" s="347" t="str">
        <f>"de "&amp;V19&amp;" a "&amp;V20</f>
        <v>de 0.9 a 1</v>
      </c>
      <c r="W21" s="347" t="str">
        <f>"de "&amp;W19&amp;" a "&amp;W20</f>
        <v>de 1 a 2</v>
      </c>
      <c r="X21" s="287"/>
      <c r="Y21" s="348" t="s">
        <v>191</v>
      </c>
      <c r="Z21" s="349" t="s">
        <v>192</v>
      </c>
      <c r="AA21" s="347" t="str">
        <f>"de "&amp;AA19&amp;" a "&amp;AA20</f>
        <v>de 0 a 0.2</v>
      </c>
      <c r="AB21" s="347" t="str">
        <f>"de "&amp;AB19&amp;" a "&amp;AB20</f>
        <v>de 0.2 a 0.4</v>
      </c>
      <c r="AC21" s="347" t="str">
        <f>"de "&amp;AC19&amp;" a "&amp;AC20</f>
        <v>de 0.4 a 0.6</v>
      </c>
      <c r="AD21" s="347" t="str">
        <f>"de "&amp;AD19&amp;" a "&amp;AD20</f>
        <v>de 0.6 a 0.8</v>
      </c>
      <c r="AE21" s="347" t="str">
        <f>"de "&amp;AE19&amp;" a "&amp;AE20</f>
        <v>de 0.8 a 1</v>
      </c>
      <c r="AF21" s="287"/>
      <c r="AG21" s="287"/>
      <c r="AH21" s="287"/>
    </row>
    <row r="22" spans="1:34" ht="96.75" customHeight="1">
      <c r="A22" s="6"/>
      <c r="B22" s="604" t="str">
        <f>+'Introducción de datos'!B119</f>
        <v>VC-5: Proporción de vivienda en las áreas priorizadas que reciben la fumigación intra-domiciliar </v>
      </c>
      <c r="C22" s="604"/>
      <c r="D22" s="604"/>
      <c r="E22" s="450">
        <f ca="1">OFFSET('Introducción de datos'!$G$114,5,RIGHT('Introducción de datos'!$C$16,LEN('Introducción de datos'!$C$16)-1),1,1)</f>
        <v>2444</v>
      </c>
      <c r="F22" s="450">
        <f ca="1">OFFSET('Introducción de datos'!$G$114,6,RIGHT('Introducción de datos'!$C$16,LEN('Introducción de datos'!$C$16)-1),1,1)</f>
        <v>2425</v>
      </c>
      <c r="G22" s="598">
        <f t="shared" si="0"/>
        <v>0.9922258592471358</v>
      </c>
      <c r="H22" s="598"/>
      <c r="I22" s="598"/>
      <c r="J22" s="598"/>
      <c r="K22" s="598"/>
      <c r="L22" s="603" t="str">
        <f>'Introducción de datos'!R120</f>
        <v>Las viviendas que se proyectaban rociar en el año 2019, estaban programadas con una proyección de 14 focos, este año hubo cero focos activos debido a que el caso reportado es importado. Por lo que no se debió haber rociado; sin embargo, el país realizó la acción de rociado en 2,425 viviendas ubicadas en áreas con vulnerabilidad y receptividad para la malaria. Fuente de datos: SUIS/Vectores, GEO, Informe mensual de SIBASI, Informe de LNR e informes mensuales del
Programa Nacional de Malaria.</v>
      </c>
      <c r="M22" s="603"/>
      <c r="N22" s="603"/>
      <c r="O22" s="603"/>
      <c r="P22" s="603"/>
      <c r="Q22" s="603"/>
      <c r="R22" s="346"/>
      <c r="S22" s="341" t="e">
        <f aca="true" t="shared" si="1" ref="S22:V23">IF($K20&gt;S$19,IF($K20&lt;=S$20,$K20,NA()),NA())</f>
        <v>#N/A</v>
      </c>
      <c r="T22" s="341" t="e">
        <f t="shared" si="1"/>
        <v>#N/A</v>
      </c>
      <c r="U22" s="341" t="e">
        <f t="shared" si="1"/>
        <v>#N/A</v>
      </c>
      <c r="V22" s="341" t="e">
        <f t="shared" si="1"/>
        <v>#N/A</v>
      </c>
      <c r="W22" s="341" t="e">
        <f>IF($K20&gt;W$19,IF($K20&lt;=W$20,1,NA()),NA())</f>
        <v>#N/A</v>
      </c>
      <c r="X22" s="287"/>
      <c r="Y22" s="350" t="e">
        <f>+'Información de la subvención'!#REF!</f>
        <v>#REF!</v>
      </c>
      <c r="Z22" s="341" t="e">
        <f>+IF(Y22="A1",1,IF(Y22="A2",0.8,IF(Y22="B1",0.6,IF(Y22="B2",0.4,0.2))))</f>
        <v>#REF!</v>
      </c>
      <c r="AA22" s="341" t="e">
        <f aca="true" t="shared" si="2" ref="AA22:AE23">IF($Z22&gt;AA$19,IF($Z22&lt;=AA$20,$Z22,NA()),NA())</f>
        <v>#REF!</v>
      </c>
      <c r="AB22" s="341" t="e">
        <f t="shared" si="2"/>
        <v>#REF!</v>
      </c>
      <c r="AC22" s="341" t="e">
        <f t="shared" si="2"/>
        <v>#REF!</v>
      </c>
      <c r="AD22" s="341" t="e">
        <f t="shared" si="2"/>
        <v>#REF!</v>
      </c>
      <c r="AE22" s="341" t="e">
        <f t="shared" si="2"/>
        <v>#REF!</v>
      </c>
      <c r="AF22" s="287"/>
      <c r="AG22" s="287"/>
      <c r="AH22" s="287"/>
    </row>
    <row r="23" spans="1:34" ht="86.25" customHeight="1">
      <c r="A23" s="6"/>
      <c r="B23" s="595" t="str">
        <f>+'Introducción de datos'!B121</f>
        <v>CM-5: Porcentaje de casos confirmados, de todos los casos investigados. </v>
      </c>
      <c r="C23" s="596"/>
      <c r="D23" s="597"/>
      <c r="E23" s="450">
        <f ca="1">OFFSET('Introducción de datos'!$G$114,7,RIGHT('Introducción de datos'!$C$16,LEN('Introducción de datos'!$C$16)-1),1,1)</f>
        <v>1</v>
      </c>
      <c r="F23" s="450">
        <f ca="1">OFFSET('Introducción de datos'!$G$114,8,RIGHT('Introducción de datos'!$C$16,LEN('Introducción de datos'!$C$16)-1),1,1)</f>
        <v>1</v>
      </c>
      <c r="G23" s="598">
        <f t="shared" si="0"/>
        <v>1</v>
      </c>
      <c r="H23" s="599"/>
      <c r="I23" s="599"/>
      <c r="J23" s="599"/>
      <c r="K23" s="600"/>
      <c r="L23" s="601" t="str">
        <f>'Introducción de datos'!R122</f>
        <v>El caso importado tuvo procedencia de Mexico con residencia en área urbana del municipio de Ilobasco, del departamento de Cabañas. Formulario de investigación de caso de malaria; Sistema de Información del Programa Nacional
de Malaria.</v>
      </c>
      <c r="M23" s="601"/>
      <c r="N23" s="601"/>
      <c r="O23" s="601"/>
      <c r="P23" s="601"/>
      <c r="Q23" s="601"/>
      <c r="R23" s="346"/>
      <c r="S23" s="341" t="e">
        <f t="shared" si="1"/>
        <v>#N/A</v>
      </c>
      <c r="T23" s="341" t="e">
        <f t="shared" si="1"/>
        <v>#N/A</v>
      </c>
      <c r="U23" s="341" t="e">
        <f t="shared" si="1"/>
        <v>#N/A</v>
      </c>
      <c r="V23" s="341" t="e">
        <f t="shared" si="1"/>
        <v>#N/A</v>
      </c>
      <c r="W23" s="341" t="e">
        <f>IF($K21&gt;W$19,IF($K21&lt;=W$20,1,1),NA())</f>
        <v>#N/A</v>
      </c>
      <c r="X23" s="287"/>
      <c r="Y23" s="350" t="e">
        <f>+'Información de la subvención'!#REF!</f>
        <v>#REF!</v>
      </c>
      <c r="Z23" s="341" t="e">
        <f>+IF(Y23="A1",1,IF(Y23="A2",0.8,IF(Y23="B1",0.6,IF(Y23="B2",0.4,0.2))))</f>
        <v>#REF!</v>
      </c>
      <c r="AA23" s="341" t="e">
        <f t="shared" si="2"/>
        <v>#REF!</v>
      </c>
      <c r="AB23" s="341" t="e">
        <f t="shared" si="2"/>
        <v>#REF!</v>
      </c>
      <c r="AC23" s="341" t="e">
        <f t="shared" si="2"/>
        <v>#REF!</v>
      </c>
      <c r="AD23" s="341" t="e">
        <f t="shared" si="2"/>
        <v>#REF!</v>
      </c>
      <c r="AE23" s="341" t="e">
        <f t="shared" si="2"/>
        <v>#REF!</v>
      </c>
      <c r="AF23" s="287"/>
      <c r="AG23" s="287"/>
      <c r="AH23" s="287"/>
    </row>
    <row r="24" spans="2:17" ht="48" customHeight="1">
      <c r="B24" s="604" t="str">
        <f>+'Introducción de datos'!B123</f>
        <v>CM-6: 2. Porcentaje de focos del total investigados </v>
      </c>
      <c r="C24" s="604"/>
      <c r="D24" s="604"/>
      <c r="E24" s="450">
        <f ca="1">OFFSET('Introducción de datos'!$G$114,9,RIGHT('Introducción de datos'!$C$16,LEN('Introducción de datos'!$C$16)-1),1,1)</f>
        <v>1</v>
      </c>
      <c r="F24" s="450">
        <f ca="1">OFFSET('Introducción de datos'!$G$114,10,RIGHT('Introducción de datos'!$C$16,LEN('Introducción de datos'!$C$16)-1),1,1)</f>
        <v>1</v>
      </c>
      <c r="G24" s="598">
        <f t="shared" si="0"/>
        <v>1</v>
      </c>
      <c r="H24" s="599"/>
      <c r="I24" s="599"/>
      <c r="J24" s="599"/>
      <c r="K24" s="600"/>
      <c r="L24" s="601" t="s">
        <v>346</v>
      </c>
      <c r="M24" s="601"/>
      <c r="N24" s="601"/>
      <c r="O24" s="601"/>
      <c r="P24" s="601"/>
      <c r="Q24" s="601"/>
    </row>
    <row r="25" spans="2:17" ht="93" customHeight="1">
      <c r="B25" s="604" t="str">
        <f>+'Introducción de datos'!B125</f>
        <v>M&amp;E-2: Proporción de establecimientos de salud públicos y privados que reportan al sistema de vigilancia. </v>
      </c>
      <c r="C25" s="604"/>
      <c r="D25" s="604"/>
      <c r="E25" s="450">
        <f ca="1">OFFSET('Introducción de datos'!$G$114,11,RIGHT('Introducción de datos'!$C$16,LEN('Introducción de datos'!$C$16)-1),1,1)</f>
        <v>1238</v>
      </c>
      <c r="F25" s="450">
        <f ca="1">OFFSET('Introducción de datos'!$G$114,12,RIGHT('Introducción de datos'!$C$16,LEN('Introducción de datos'!$C$16)-1),1,1)</f>
        <v>1218</v>
      </c>
      <c r="G25" s="598">
        <f t="shared" si="0"/>
        <v>0.9838449111470113</v>
      </c>
      <c r="H25" s="599"/>
      <c r="I25" s="599"/>
      <c r="J25" s="599"/>
      <c r="K25" s="600"/>
      <c r="L25" s="603" t="str">
        <f>'Introducción de datos'!R126</f>
        <v>El 98% de las Unidades Notificadoras reportó en el VIGEPES al menos una vezen el periodo reportado. Fuente de datos: Documentos administrativos:reporte del VIGEPES sobre unidades notificadoras que reportaron de manera oportuna y completa al sistema.</v>
      </c>
      <c r="M25" s="603"/>
      <c r="N25" s="603"/>
      <c r="O25" s="603"/>
      <c r="P25" s="603"/>
      <c r="Q25" s="603"/>
    </row>
    <row r="26" spans="2:17" ht="30" customHeight="1">
      <c r="B26" s="625" t="str">
        <f>+'Introducción de datos'!B127</f>
        <v>INDICADORES DE IMPACTO</v>
      </c>
      <c r="C26" s="626"/>
      <c r="D26" s="626"/>
      <c r="E26" s="626"/>
      <c r="F26" s="626"/>
      <c r="G26" s="626"/>
      <c r="H26" s="626"/>
      <c r="I26" s="626"/>
      <c r="J26" s="626"/>
      <c r="K26" s="626"/>
      <c r="L26" s="626"/>
      <c r="M26" s="626"/>
      <c r="N26" s="626"/>
      <c r="O26" s="626"/>
      <c r="P26" s="626"/>
      <c r="Q26" s="627"/>
    </row>
    <row r="27" spans="2:17" ht="67.5" customHeight="1">
      <c r="B27" s="595" t="str">
        <f>+'Introducción de datos'!B128</f>
        <v>Malaria 1-9: Numero de Focos activos. (IMPACTO)</v>
      </c>
      <c r="C27" s="596"/>
      <c r="D27" s="597"/>
      <c r="E27" s="450">
        <f ca="1">OFFSET('Introducción de datos'!$G$114,14,RIGHT('Introducción de datos'!$C$16,LEN('Introducción de datos'!$C$16)-1),1,1)</f>
        <v>2</v>
      </c>
      <c r="F27" s="450">
        <f ca="1">OFFSET('Introducción de datos'!$G$114,15,RIGHT('Introducción de datos'!$C$16,LEN('Introducción de datos'!$C$16)-1),1,1)</f>
        <v>0</v>
      </c>
      <c r="G27" s="598">
        <f>+IF(ISERROR(F27/E27),0,F27/E27)</f>
        <v>0</v>
      </c>
      <c r="H27" s="599"/>
      <c r="I27" s="599"/>
      <c r="J27" s="599"/>
      <c r="K27" s="600"/>
      <c r="L27" s="622" t="str">
        <f>'Introducción de datos'!R129</f>
        <v>En 2019, la Incidencia Parasitaria Anual (IPA) es de 0 (cero), ya que a la fecha no se han registrado casos de malaria autóctonos para el periodo reportado. Fuente: VIGEPES-LAB.</v>
      </c>
      <c r="M27" s="623"/>
      <c r="N27" s="623"/>
      <c r="O27" s="623"/>
      <c r="P27" s="623"/>
      <c r="Q27" s="624"/>
    </row>
    <row r="28" spans="2:17" ht="67.5" customHeight="1">
      <c r="B28" s="595" t="str">
        <f>+'Introducción de datos'!B130</f>
        <v>Malaria 1-10: Incidencia parasitaria anual (número y tasa por mil) (IMPACTO)</v>
      </c>
      <c r="C28" s="596"/>
      <c r="D28" s="597"/>
      <c r="E28" s="451">
        <f ca="1">OFFSET('Introducción de datos'!$G$114,16,RIGHT('Introducción de datos'!$C$16,LEN('Introducción de datos'!$C$16)-1),1,1)</f>
        <v>0.004</v>
      </c>
      <c r="F28" s="450">
        <f ca="1">OFFSET('Introducción de datos'!$G$114,17,RIGHT('Introducción de datos'!$C$16,LEN('Introducción de datos'!$C$16)-1),1,1)</f>
        <v>0</v>
      </c>
      <c r="G28" s="598">
        <f>+IF(ISERROR(F28/E28),0,F28/E28)</f>
        <v>0</v>
      </c>
      <c r="H28" s="599"/>
      <c r="I28" s="599"/>
      <c r="J28" s="599"/>
      <c r="K28" s="600"/>
      <c r="L28" s="622" t="str">
        <f>'Introducción de datos'!R131</f>
        <v>Caso notificado en 2019 es clasificado como importado, no se reportan focos activos. Lo anterior ha sido verificado mediante las acciones de búsqueda activa reactiva y proactiva de casos, como parte de la estricta vigilancia epidemiológica. Fuente: VIGEPES.</v>
      </c>
      <c r="M28" s="623"/>
      <c r="N28" s="623"/>
      <c r="O28" s="623"/>
      <c r="P28" s="623"/>
      <c r="Q28" s="624"/>
    </row>
  </sheetData>
  <sheetProtection selectLockedCells="1" selectUnlockedCells="1"/>
  <mergeCells count="44">
    <mergeCell ref="L28:Q28"/>
    <mergeCell ref="B28:D28"/>
    <mergeCell ref="G27:K27"/>
    <mergeCell ref="G28:K28"/>
    <mergeCell ref="G25:K25"/>
    <mergeCell ref="L25:Q25"/>
    <mergeCell ref="L27:Q27"/>
    <mergeCell ref="B26:Q26"/>
    <mergeCell ref="B27:D27"/>
    <mergeCell ref="B25:D25"/>
    <mergeCell ref="G24:K24"/>
    <mergeCell ref="L24:Q24"/>
    <mergeCell ref="B24:D24"/>
    <mergeCell ref="B2:Q2"/>
    <mergeCell ref="C3:D3"/>
    <mergeCell ref="E3:K3"/>
    <mergeCell ref="O3:P3"/>
    <mergeCell ref="C4:D4"/>
    <mergeCell ref="E4:L4"/>
    <mergeCell ref="D5:N5"/>
    <mergeCell ref="F6:K6"/>
    <mergeCell ref="B8:E8"/>
    <mergeCell ref="F8:K8"/>
    <mergeCell ref="L8:Q8"/>
    <mergeCell ref="C9:E9"/>
    <mergeCell ref="G9:K9"/>
    <mergeCell ref="M9:Q9"/>
    <mergeCell ref="E18:K18"/>
    <mergeCell ref="B19:D19"/>
    <mergeCell ref="G19:H19"/>
    <mergeCell ref="I19:J19"/>
    <mergeCell ref="L19:Q19"/>
    <mergeCell ref="B20:D20"/>
    <mergeCell ref="G20:K20"/>
    <mergeCell ref="L20:Q20"/>
    <mergeCell ref="B23:D23"/>
    <mergeCell ref="G23:K23"/>
    <mergeCell ref="L23:Q23"/>
    <mergeCell ref="B21:D21"/>
    <mergeCell ref="G21:K21"/>
    <mergeCell ref="L21:Q21"/>
    <mergeCell ref="B22:D22"/>
    <mergeCell ref="G22:K22"/>
    <mergeCell ref="L22:Q22"/>
  </mergeCells>
  <conditionalFormatting sqref="C4:D4">
    <cfRule type="cellIs" priority="4" dxfId="44" operator="equal" stopIfTrue="1">
      <formula>"C"</formula>
    </cfRule>
    <cfRule type="cellIs" priority="5" dxfId="40" operator="equal" stopIfTrue="1">
      <formula>"B2"</formula>
    </cfRule>
    <cfRule type="cellIs" priority="6" dxfId="41" operator="equal" stopIfTrue="1">
      <formula>"B1"</formula>
    </cfRule>
  </conditionalFormatting>
  <conditionalFormatting sqref="G20:G25 G27:G28">
    <cfRule type="cellIs" priority="7" dxfId="50" operator="between" stopIfTrue="1">
      <formula>0</formula>
      <formula>0.599</formula>
    </cfRule>
    <cfRule type="cellIs" priority="8" dxfId="51" operator="between" stopIfTrue="1">
      <formula>0.6</formula>
      <formula>0.899</formula>
    </cfRule>
    <cfRule type="cellIs" priority="9" dxfId="52"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115" zoomScaleNormal="115" zoomScalePageLayoutView="0" workbookViewId="0" topLeftCell="A1">
      <selection activeCell="A1" sqref="A1"/>
    </sheetView>
  </sheetViews>
  <sheetFormatPr defaultColWidth="11.421875" defaultRowHeight="15"/>
  <cols>
    <col min="1" max="1" width="1.1484375" style="351" customWidth="1"/>
    <col min="2" max="2" width="19.421875" style="351" customWidth="1"/>
    <col min="3" max="3" width="1.1484375" style="351" customWidth="1"/>
    <col min="4" max="4" width="17.140625" style="351" customWidth="1"/>
    <col min="5" max="5" width="17.421875" style="351" customWidth="1"/>
    <col min="6" max="6" width="9.57421875" style="351" customWidth="1"/>
    <col min="7" max="7" width="13.00390625" style="351" customWidth="1"/>
    <col min="8" max="8" width="4.421875" style="351" customWidth="1"/>
    <col min="9" max="9" width="15.8515625" style="351" customWidth="1"/>
    <col min="10" max="10" width="3.421875" style="351" customWidth="1"/>
    <col min="11" max="11" width="7.421875" style="352" customWidth="1"/>
    <col min="12" max="12" width="22.00390625" style="351" customWidth="1"/>
    <col min="13" max="13" width="12.00390625" style="351" customWidth="1"/>
    <col min="14" max="14" width="5.421875" style="351" customWidth="1"/>
    <col min="15" max="15" width="2.421875" style="351" customWidth="1"/>
    <col min="16" max="16384" width="11.421875" style="351" customWidth="1"/>
  </cols>
  <sheetData>
    <row r="1" spans="1:14" ht="38.25" customHeight="1">
      <c r="A1" s="353"/>
      <c r="B1" s="353"/>
      <c r="C1" s="353"/>
      <c r="D1" s="353"/>
      <c r="E1" s="353"/>
      <c r="F1" s="353"/>
      <c r="G1" s="353"/>
      <c r="H1" s="353"/>
      <c r="I1" s="353"/>
      <c r="J1" s="353"/>
      <c r="K1" s="354"/>
      <c r="L1" s="353"/>
      <c r="M1" s="353"/>
      <c r="N1" s="353"/>
    </row>
    <row r="2" spans="1:256" ht="27.75" customHeight="1">
      <c r="A2" s="6"/>
      <c r="B2" s="620" t="str">
        <f>+"Cuadro de mando:  "&amp;"  "&amp;+'Introducción de datos'!C4&amp;" - "&amp;'Introducción de datos'!G6</f>
        <v>Cuadro de mando:    El Salvador - MALARIA</v>
      </c>
      <c r="C2" s="620"/>
      <c r="D2" s="620"/>
      <c r="E2" s="620"/>
      <c r="F2" s="620"/>
      <c r="G2" s="620"/>
      <c r="H2" s="620"/>
      <c r="I2" s="620"/>
      <c r="J2" s="620"/>
      <c r="K2" s="620"/>
      <c r="L2" s="620"/>
      <c r="M2" s="620"/>
      <c r="N2" s="620"/>
      <c r="O2" s="35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6"/>
      <c r="B3" s="271">
        <f>+'Introducción de datos'!G8</f>
        <v>0</v>
      </c>
      <c r="C3" s="579" t="str">
        <f>+'Introducción de datos'!I8</f>
        <v>Fase 1</v>
      </c>
      <c r="D3" s="579"/>
      <c r="E3" s="655"/>
      <c r="F3" s="655"/>
      <c r="G3" s="655"/>
      <c r="H3" s="655"/>
      <c r="I3" s="655"/>
      <c r="J3" s="655"/>
      <c r="K3" s="655"/>
      <c r="L3" s="271" t="str">
        <f>+'Introducción de datos'!B16</f>
        <v>Periodo:</v>
      </c>
      <c r="M3" s="329" t="str">
        <f>+'Introducción de datos'!C16</f>
        <v>P3</v>
      </c>
      <c r="N3" s="32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6"/>
      <c r="B4" s="271" t="str">
        <f>+'Introducción de datos'!B12</f>
        <v>Ultima calificación:</v>
      </c>
      <c r="C4" s="621" t="str">
        <f>+'Introducción de datos'!C12</f>
        <v>B1</v>
      </c>
      <c r="D4" s="621"/>
      <c r="E4" s="580" t="str">
        <f>+'Introducción de datos'!C8</f>
        <v>Ministerio de Salud </v>
      </c>
      <c r="F4" s="580"/>
      <c r="G4" s="580"/>
      <c r="H4" s="580"/>
      <c r="I4" s="580"/>
      <c r="J4" s="580"/>
      <c r="K4" s="580"/>
      <c r="L4" s="271" t="str">
        <f>+'Introducción de datos'!D16</f>
        <v>Desde:</v>
      </c>
      <c r="M4" s="275">
        <f>+'Introducción de datos'!E16</f>
        <v>43466</v>
      </c>
      <c r="N4" s="27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71"/>
      <c r="C5" s="271"/>
      <c r="D5" s="277"/>
      <c r="E5" s="580" t="str">
        <f>+'Introducción de datos'!G4</f>
        <v>Eliminación de la malaria en El Salvador: un esfuerzo de país</v>
      </c>
      <c r="F5" s="580"/>
      <c r="G5" s="580"/>
      <c r="H5" s="580"/>
      <c r="I5" s="580"/>
      <c r="J5" s="580"/>
      <c r="K5" s="580"/>
      <c r="L5" s="271" t="str">
        <f>+'Introducción de datos'!F16</f>
        <v>Hasta:</v>
      </c>
      <c r="M5" s="275">
        <f>+'Introducción de datos'!G16</f>
        <v>43646</v>
      </c>
      <c r="N5" s="27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78"/>
      <c r="C6" s="272"/>
      <c r="D6" s="277"/>
      <c r="E6" s="651" t="s">
        <v>190</v>
      </c>
      <c r="F6" s="651"/>
      <c r="G6" s="651"/>
      <c r="H6" s="651"/>
      <c r="I6" s="651"/>
      <c r="J6" s="651"/>
      <c r="K6" s="651"/>
      <c r="L6" s="146"/>
      <c r="M6" s="146"/>
      <c r="N6" s="14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60" customFormat="1" ht="4.5" customHeight="1">
      <c r="A7" s="356"/>
      <c r="B7" s="357"/>
      <c r="C7" s="357"/>
      <c r="D7" s="357"/>
      <c r="E7" s="357"/>
      <c r="F7" s="357"/>
      <c r="G7" s="357"/>
      <c r="H7" s="357"/>
      <c r="I7" s="357"/>
      <c r="J7" s="357"/>
      <c r="K7" s="357"/>
      <c r="L7" s="358"/>
      <c r="M7" s="358"/>
      <c r="N7" s="359"/>
    </row>
    <row r="8" spans="1:14" s="360" customFormat="1" ht="21" customHeight="1">
      <c r="A8" s="356"/>
      <c r="B8" s="638" t="s">
        <v>193</v>
      </c>
      <c r="C8" s="638"/>
      <c r="D8" s="638"/>
      <c r="E8" s="638"/>
      <c r="F8" s="638"/>
      <c r="G8" s="638"/>
      <c r="H8" s="638"/>
      <c r="I8" s="638"/>
      <c r="J8" s="638"/>
      <c r="K8" s="638"/>
      <c r="L8" s="638"/>
      <c r="M8" s="638"/>
      <c r="N8" s="638"/>
    </row>
    <row r="9" spans="1:14" s="360" customFormat="1" ht="3.75" customHeight="1">
      <c r="A9" s="356"/>
      <c r="B9" s="357"/>
      <c r="C9" s="357"/>
      <c r="D9" s="357"/>
      <c r="E9" s="357"/>
      <c r="F9" s="357"/>
      <c r="G9" s="357"/>
      <c r="H9" s="357"/>
      <c r="I9" s="357"/>
      <c r="J9" s="357"/>
      <c r="K9" s="357"/>
      <c r="L9" s="358"/>
      <c r="M9" s="358"/>
      <c r="N9" s="359"/>
    </row>
    <row r="10" spans="1:14" s="363" customFormat="1" ht="25.5" customHeight="1">
      <c r="A10" s="361"/>
      <c r="B10" s="652" t="s">
        <v>194</v>
      </c>
      <c r="C10" s="652"/>
      <c r="D10" s="653" t="s">
        <v>189</v>
      </c>
      <c r="E10" s="653"/>
      <c r="F10" s="653"/>
      <c r="G10" s="653"/>
      <c r="H10" s="362"/>
      <c r="I10" s="653" t="s">
        <v>190</v>
      </c>
      <c r="J10" s="653"/>
      <c r="K10" s="653"/>
      <c r="L10" s="653"/>
      <c r="M10" s="653"/>
      <c r="N10" s="653"/>
    </row>
    <row r="11" spans="1:14" s="363" customFormat="1" ht="28.5" customHeight="1">
      <c r="A11" s="361"/>
      <c r="B11" s="364" t="s">
        <v>195</v>
      </c>
      <c r="C11" s="365"/>
      <c r="D11" s="646" t="str">
        <f>IF(ISBLANK(Financiamiento!C9),"",(Financiamiento!C9))</f>
        <v>En relación al presupuesto aprobado para el año 2019 por el monto de $ 352,643.00,  de enero a junio 2019 se recibieron desembolsos  hasta la cantidad de  $217,471.28 , la diferencia de los fondos no recibidos  corresponde a ajustes presupuestarios del FM que serán asignados en el año 2020 como premio al obtener la  certificación de  Libre de Malaria Autoctona.</v>
      </c>
      <c r="E11" s="646"/>
      <c r="F11" s="646"/>
      <c r="G11" s="646"/>
      <c r="H11" s="366"/>
      <c r="I11" s="654"/>
      <c r="J11" s="654"/>
      <c r="K11" s="654"/>
      <c r="L11" s="654"/>
      <c r="M11" s="654"/>
      <c r="N11" s="654"/>
    </row>
    <row r="12" spans="1:14" s="363" customFormat="1" ht="27.75" customHeight="1">
      <c r="A12" s="361"/>
      <c r="B12" s="367" t="s">
        <v>196</v>
      </c>
      <c r="C12" s="368"/>
      <c r="D12" s="646" t="str">
        <f>IF(ISBLANK(Financiamiento!C23),"",(Financiamiento!C23))</f>
        <v>Al  comparar los gastos por modulo de la subvención  el Módulo 2 Gestión de Casos ha ejecutado un 65% con respecto al presupuesto asignado para las actividades del modulo;  y el Modulo 1 Control de vectores,  se ha ejecutado un 61%;  debido a que  con estas intervenciones  da respuesta el personal de salud al control del vectos y gestion de casos de malaria</v>
      </c>
      <c r="E12" s="646"/>
      <c r="F12" s="646"/>
      <c r="G12" s="646"/>
      <c r="H12" s="366"/>
      <c r="I12" s="647"/>
      <c r="J12" s="647"/>
      <c r="K12" s="647"/>
      <c r="L12" s="647"/>
      <c r="M12" s="647"/>
      <c r="N12" s="647"/>
    </row>
    <row r="13" spans="1:14" s="363" customFormat="1" ht="26.25" customHeight="1">
      <c r="A13" s="361"/>
      <c r="B13" s="367" t="s">
        <v>197</v>
      </c>
      <c r="C13" s="368"/>
      <c r="D13" s="646" t="str">
        <f>IF(ISBLANK(Financiamiento!I9),"",(Financiamiento!I9))</f>
        <v>"En el primer semestre del año 2019  se recibieron desembolsos por $ 217,471.28; alcanzandose una ejecución financiera acumulada de 2017 a junio 2019 de 58.6% ; existiendo un  compromisos  de $162,351.50 para ejecutarse durante el segúndo semestre del año 2019. Asi tambien al 30 de junio 2019, se tenia en cuentas bancarias la cantidad de $649,616.93"  de los cuales se tenienen en procesos de compra iniciados en  UACI, por el monto de $569,616.93
</v>
      </c>
      <c r="E13" s="646"/>
      <c r="F13" s="646"/>
      <c r="G13" s="646"/>
      <c r="H13" s="366"/>
      <c r="I13" s="648"/>
      <c r="J13" s="648"/>
      <c r="K13" s="648"/>
      <c r="L13" s="648"/>
      <c r="M13" s="648"/>
      <c r="N13" s="648"/>
    </row>
    <row r="14" spans="1:14" s="363" customFormat="1" ht="28.5" customHeight="1">
      <c r="A14" s="361"/>
      <c r="B14" s="369" t="s">
        <v>198</v>
      </c>
      <c r="C14" s="370"/>
      <c r="D14" s="649" t="str">
        <f>IF(ISBLANK(Financiamiento!I23),"",(Financiamiento!I23))</f>
        <v>El reporte fue entregado el 28 de febrero de 2019 y durante el periodo 2019 no se tuvieron retrasos en los desembolsos planificados.</v>
      </c>
      <c r="E14" s="649"/>
      <c r="F14" s="649"/>
      <c r="G14" s="649"/>
      <c r="H14" s="366"/>
      <c r="I14" s="650"/>
      <c r="J14" s="650"/>
      <c r="K14" s="650"/>
      <c r="L14" s="650"/>
      <c r="M14" s="650"/>
      <c r="N14" s="650"/>
    </row>
    <row r="15" spans="1:15" s="363" customFormat="1" ht="4.5" customHeight="1">
      <c r="A15" s="361"/>
      <c r="B15" s="371"/>
      <c r="C15" s="372"/>
      <c r="D15" s="373"/>
      <c r="E15" s="373"/>
      <c r="F15" s="373"/>
      <c r="G15" s="373"/>
      <c r="H15" s="366"/>
      <c r="I15" s="374"/>
      <c r="J15" s="374"/>
      <c r="K15" s="374"/>
      <c r="L15" s="374"/>
      <c r="M15" s="374"/>
      <c r="N15" s="374"/>
      <c r="O15" s="375"/>
    </row>
    <row r="16" spans="1:14" s="360" customFormat="1" ht="21" customHeight="1">
      <c r="A16" s="356"/>
      <c r="B16" s="638" t="s">
        <v>199</v>
      </c>
      <c r="C16" s="638"/>
      <c r="D16" s="638"/>
      <c r="E16" s="638"/>
      <c r="F16" s="638"/>
      <c r="G16" s="638"/>
      <c r="H16" s="638"/>
      <c r="I16" s="638"/>
      <c r="J16" s="638"/>
      <c r="K16" s="638"/>
      <c r="L16" s="638"/>
      <c r="M16" s="638"/>
      <c r="N16" s="638"/>
    </row>
    <row r="17" spans="1:14" s="363" customFormat="1" ht="3.75" customHeight="1">
      <c r="A17" s="361"/>
      <c r="B17" s="376"/>
      <c r="C17" s="377"/>
      <c r="D17" s="378"/>
      <c r="E17" s="379"/>
      <c r="F17" s="380"/>
      <c r="G17" s="380"/>
      <c r="H17" s="381"/>
      <c r="I17" s="382"/>
      <c r="J17" s="383"/>
      <c r="K17" s="384"/>
      <c r="L17" s="385"/>
      <c r="M17" s="386"/>
      <c r="N17" s="387"/>
    </row>
    <row r="18" spans="1:14" s="363" customFormat="1" ht="22.5" customHeight="1">
      <c r="A18" s="361"/>
      <c r="B18" s="641" t="s">
        <v>188</v>
      </c>
      <c r="C18" s="641"/>
      <c r="D18" s="642" t="s">
        <v>189</v>
      </c>
      <c r="E18" s="642"/>
      <c r="F18" s="642"/>
      <c r="G18" s="642"/>
      <c r="H18" s="362"/>
      <c r="I18" s="643" t="s">
        <v>190</v>
      </c>
      <c r="J18" s="643"/>
      <c r="K18" s="643"/>
      <c r="L18" s="643"/>
      <c r="M18" s="643"/>
      <c r="N18" s="643"/>
    </row>
    <row r="19" spans="1:14" s="363" customFormat="1" ht="21.75" customHeight="1">
      <c r="A19" s="361"/>
      <c r="B19" s="388" t="s">
        <v>191</v>
      </c>
      <c r="C19" s="389"/>
      <c r="D19" s="644">
        <f>IF(ISBLANK(Gestión!C8),"",(Gestión!C8))</f>
      </c>
      <c r="E19" s="644"/>
      <c r="F19" s="644"/>
      <c r="G19" s="644"/>
      <c r="H19" s="390"/>
      <c r="I19" s="645"/>
      <c r="J19" s="645"/>
      <c r="K19" s="645"/>
      <c r="L19" s="645"/>
      <c r="M19" s="645"/>
      <c r="N19" s="645"/>
    </row>
    <row r="20" spans="1:15" ht="24.75" customHeight="1">
      <c r="A20" s="353"/>
      <c r="B20" s="391" t="s">
        <v>192</v>
      </c>
      <c r="C20" s="392"/>
      <c r="D20" s="634">
        <f>IF(ISBLANK(Gestión!I8),"",(Gestión!I8))</f>
      </c>
      <c r="E20" s="634" t="e">
        <f>+'Introducción de datos'!D72/'Introducción de datos'!G72</f>
        <v>#DIV/0!</v>
      </c>
      <c r="F20" s="634" t="e">
        <f>+('Introducción de datos'!E72+'Introducción de datos'!F72)/'Introducción de datos'!G72</f>
        <v>#DIV/0!</v>
      </c>
      <c r="G20" s="634"/>
      <c r="H20" s="390"/>
      <c r="I20" s="635"/>
      <c r="J20" s="635"/>
      <c r="K20" s="635"/>
      <c r="L20" s="635"/>
      <c r="M20" s="635"/>
      <c r="N20" s="635"/>
      <c r="O20" s="393"/>
    </row>
    <row r="21" spans="1:15" ht="29.25" customHeight="1">
      <c r="A21" s="353"/>
      <c r="B21" s="394" t="s">
        <v>200</v>
      </c>
      <c r="C21" s="392"/>
      <c r="D21" s="634" t="str">
        <f>IF(ISBLANK(Gestión!C16),"",(Gestión!C16))</f>
        <v>No hay sub receptores</v>
      </c>
      <c r="E21" s="634"/>
      <c r="F21" s="634"/>
      <c r="G21" s="634"/>
      <c r="H21" s="390"/>
      <c r="I21" s="635"/>
      <c r="J21" s="635"/>
      <c r="K21" s="635"/>
      <c r="L21" s="635"/>
      <c r="M21" s="635"/>
      <c r="N21" s="635"/>
      <c r="O21" s="393"/>
    </row>
    <row r="22" spans="1:15" ht="26.25" customHeight="1">
      <c r="A22" s="353"/>
      <c r="B22" s="394" t="s">
        <v>201</v>
      </c>
      <c r="C22" s="392"/>
      <c r="D22" s="634" t="str">
        <f>IF(ISBLANK(Gestión!I16),"",(Gestión!I16))</f>
        <v>No hay sub receptores</v>
      </c>
      <c r="E22" s="634"/>
      <c r="F22" s="634"/>
      <c r="G22" s="634"/>
      <c r="H22" s="390"/>
      <c r="I22" s="635"/>
      <c r="J22" s="635"/>
      <c r="K22" s="635"/>
      <c r="L22" s="635"/>
      <c r="M22" s="635"/>
      <c r="N22" s="635"/>
      <c r="O22" s="393"/>
    </row>
    <row r="23" spans="1:15" ht="24.75" customHeight="1">
      <c r="A23" s="353"/>
      <c r="B23" s="394" t="s">
        <v>202</v>
      </c>
      <c r="C23" s="392"/>
      <c r="D23" s="634">
        <f>IF(ISBLANK(Gestión!C27),"",(Gestión!C27))</f>
      </c>
      <c r="E23" s="634"/>
      <c r="F23" s="634"/>
      <c r="G23" s="634"/>
      <c r="H23" s="390"/>
      <c r="I23" s="635"/>
      <c r="J23" s="635"/>
      <c r="K23" s="635"/>
      <c r="L23" s="635"/>
      <c r="M23" s="635"/>
      <c r="N23" s="635"/>
      <c r="O23" s="393"/>
    </row>
    <row r="24" spans="1:15" ht="27" customHeight="1">
      <c r="A24" s="353"/>
      <c r="B24" s="395" t="s">
        <v>203</v>
      </c>
      <c r="C24" s="396"/>
      <c r="D24" s="636">
        <f>IF(ISBLANK(Gestión!I27),"",(Gestión!I27))</f>
      </c>
      <c r="E24" s="636"/>
      <c r="F24" s="636"/>
      <c r="G24" s="636"/>
      <c r="H24" s="390"/>
      <c r="I24" s="637"/>
      <c r="J24" s="637"/>
      <c r="K24" s="637"/>
      <c r="L24" s="637"/>
      <c r="M24" s="637"/>
      <c r="N24" s="637"/>
      <c r="O24" s="393"/>
    </row>
    <row r="25" spans="1:15" ht="4.5" customHeight="1">
      <c r="A25" s="356"/>
      <c r="B25" s="397"/>
      <c r="C25" s="398"/>
      <c r="D25" s="399"/>
      <c r="E25" s="400"/>
      <c r="F25" s="401"/>
      <c r="G25" s="401"/>
      <c r="H25" s="362"/>
      <c r="I25" s="400"/>
      <c r="J25" s="402"/>
      <c r="K25" s="384"/>
      <c r="L25" s="385"/>
      <c r="M25" s="386"/>
      <c r="N25" s="387"/>
      <c r="O25" s="393"/>
    </row>
    <row r="26" spans="1:14" s="360" customFormat="1" ht="21" customHeight="1">
      <c r="A26" s="356"/>
      <c r="B26" s="638" t="s">
        <v>204</v>
      </c>
      <c r="C26" s="638"/>
      <c r="D26" s="638"/>
      <c r="E26" s="638"/>
      <c r="F26" s="638"/>
      <c r="G26" s="638"/>
      <c r="H26" s="638"/>
      <c r="I26" s="638"/>
      <c r="J26" s="638"/>
      <c r="K26" s="638"/>
      <c r="L26" s="638"/>
      <c r="M26" s="638"/>
      <c r="N26" s="638"/>
    </row>
    <row r="27" spans="1:15" ht="3.75" customHeight="1">
      <c r="A27" s="356"/>
      <c r="B27" s="397"/>
      <c r="C27" s="398"/>
      <c r="D27" s="399"/>
      <c r="E27" s="400"/>
      <c r="F27" s="401"/>
      <c r="G27" s="401"/>
      <c r="H27" s="362"/>
      <c r="I27" s="400"/>
      <c r="J27" s="402"/>
      <c r="K27" s="384"/>
      <c r="L27" s="385"/>
      <c r="M27" s="386"/>
      <c r="N27" s="387"/>
      <c r="O27" s="393"/>
    </row>
    <row r="28" spans="1:15" ht="21.75" customHeight="1">
      <c r="A28" s="353"/>
      <c r="B28" s="639" t="s">
        <v>205</v>
      </c>
      <c r="C28" s="639"/>
      <c r="D28" s="640" t="s">
        <v>189</v>
      </c>
      <c r="E28" s="640"/>
      <c r="F28" s="640"/>
      <c r="G28" s="640"/>
      <c r="H28" s="362"/>
      <c r="I28" s="640" t="s">
        <v>190</v>
      </c>
      <c r="J28" s="640"/>
      <c r="K28" s="640"/>
      <c r="L28" s="640"/>
      <c r="M28" s="640"/>
      <c r="N28" s="640"/>
      <c r="O28" s="393"/>
    </row>
    <row r="29" spans="1:15" ht="29.25" customHeight="1">
      <c r="A29" s="353"/>
      <c r="B29" s="403" t="s">
        <v>206</v>
      </c>
      <c r="C29" s="404"/>
      <c r="D29" s="631" t="str">
        <f>IF(ISBLANK(Programatico!C9),"",(Programatico!C9))</f>
        <v>Para el periodo reportado no existen casos autóctonos, por lo que según la clasificación de focos según el Marco para la Eliminación de la Malaria (OMS), no se reportan focos activos.  La meta para el año 2019 es de 2,444 viviendas habiéndose realizado al 30 de junio de 2019, un total de RRI en 2,425 viviendas, logrando un porcentaje de 99.22%,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E29" s="631"/>
      <c r="F29" s="631"/>
      <c r="G29" s="631"/>
      <c r="H29" s="390"/>
      <c r="I29" s="632"/>
      <c r="J29" s="632"/>
      <c r="K29" s="632"/>
      <c r="L29" s="632"/>
      <c r="M29" s="632"/>
      <c r="N29" s="632"/>
      <c r="O29" s="393"/>
    </row>
    <row r="30" spans="1:15" ht="21.75" customHeight="1">
      <c r="A30" s="353"/>
      <c r="B30" s="405" t="s">
        <v>207</v>
      </c>
      <c r="C30" s="406"/>
      <c r="D30" s="633" t="str">
        <f>IF(ISBLANK(Programatico!G9),"",(Programatico!G9))</f>
        <v>Para el periodo reportado, enero a junio 2019, no se han reportado casos autóctonos, por consiguiente no existieron focos activos, por lo que el resultado reportado es cero. Fuente: Sistema de información del Programa Nacional de Malaria.</v>
      </c>
      <c r="E30" s="633"/>
      <c r="F30" s="633"/>
      <c r="G30" s="633"/>
      <c r="H30" s="390"/>
      <c r="I30" s="629"/>
      <c r="J30" s="629"/>
      <c r="K30" s="629"/>
      <c r="L30" s="629"/>
      <c r="M30" s="629"/>
      <c r="N30" s="629"/>
      <c r="O30" s="393"/>
    </row>
    <row r="31" spans="1:15" ht="21.75" customHeight="1">
      <c r="A31" s="353"/>
      <c r="B31" s="405" t="s">
        <v>208</v>
      </c>
      <c r="C31" s="406"/>
      <c r="D31" s="633" t="str">
        <f>IF(ISBLANK(Programatico!M9),"",(Programatico!M9))</f>
        <v>Las viviendas que se proyectaban rociar en el año 2019, estaban programadas con una proyección de 14 focos, este año hubo cero focos activos debido a que el caso reportado es importado. Por lo que no se debió haber rociado; sin embargo, el país realizó la acción de rociado en 2,425 viviendas ubicadas en áreas con vulnerabilidad y receptividad para la malaria. Fuente de datos: SUIS/Vectores, GEO, Informe mensual de SIBASI, Informe de LNR e informes mensuales del
Programa Nacional de Malaria.</v>
      </c>
      <c r="E31" s="633"/>
      <c r="F31" s="633"/>
      <c r="G31" s="633"/>
      <c r="H31" s="390"/>
      <c r="I31" s="629"/>
      <c r="J31" s="629"/>
      <c r="K31" s="629"/>
      <c r="L31" s="629"/>
      <c r="M31" s="629"/>
      <c r="N31" s="629"/>
      <c r="O31" s="393"/>
    </row>
    <row r="32" spans="1:15" ht="21.75" customHeight="1">
      <c r="A32" s="353"/>
      <c r="B32" s="407" t="s">
        <v>59</v>
      </c>
      <c r="C32" s="406"/>
      <c r="D32" s="628" t="str">
        <f>IF(ISBLANK(Programatico!L20),"",(Programatico!L20))</f>
        <v>Para el periodo reportado no existen casos autóctonos, por lo que según la clasificación de focos según el Marco para la Eliminación de la Malaria (OMS), no se reportan focos activos.  La meta para el año 2019 es de 2,444 viviendas habiéndose realizado al 30 de junio de 2019, un total de RRI en 2,425 viviendas, logrando un porcentaje de 99.22%,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E32" s="628"/>
      <c r="F32" s="628"/>
      <c r="G32" s="628"/>
      <c r="H32" s="390"/>
      <c r="I32" s="629"/>
      <c r="J32" s="629"/>
      <c r="K32" s="629"/>
      <c r="L32" s="629"/>
      <c r="M32" s="629"/>
      <c r="N32" s="629"/>
      <c r="O32" s="393"/>
    </row>
    <row r="33" spans="1:15" ht="27" customHeight="1">
      <c r="A33" s="353"/>
      <c r="B33" s="407" t="s">
        <v>75</v>
      </c>
      <c r="C33" s="406"/>
      <c r="D33" s="628" t="str">
        <f>IF(ISBLANK(Programatico!L21),"",(Programatico!L21))</f>
        <v>Para el periodo reportado, enero a junio 2019, no se han reportado casos autóctonos, por consiguiente no existieron focos activos, por lo que el resultado reportado es cero. Fuente: Sistema de información del Programa Nacional de Malaria.</v>
      </c>
      <c r="E33" s="628"/>
      <c r="F33" s="628"/>
      <c r="G33" s="628"/>
      <c r="H33" s="390"/>
      <c r="I33" s="629"/>
      <c r="J33" s="629"/>
      <c r="K33" s="629"/>
      <c r="L33" s="629"/>
      <c r="M33" s="629"/>
      <c r="N33" s="629"/>
      <c r="O33" s="393"/>
    </row>
    <row r="34" spans="1:15" ht="21.75" customHeight="1">
      <c r="A34" s="353"/>
      <c r="B34" s="407" t="s">
        <v>76</v>
      </c>
      <c r="C34" s="406"/>
      <c r="D34" s="628" t="str">
        <f>IF(ISBLANK(Programatico!L22),"",(Programatico!L22))</f>
        <v>Las viviendas que se proyectaban rociar en el año 2019, estaban programadas con una proyección de 14 focos, este año hubo cero focos activos debido a que el caso reportado es importado. Por lo que no se debió haber rociado; sin embargo, el país realizó la acción de rociado en 2,425 viviendas ubicadas en áreas con vulnerabilidad y receptividad para la malaria. Fuente de datos: SUIS/Vectores, GEO, Informe mensual de SIBASI, Informe de LNR e informes mensuales del
Programa Nacional de Malaria.</v>
      </c>
      <c r="E34" s="628"/>
      <c r="F34" s="628"/>
      <c r="G34" s="628"/>
      <c r="H34" s="390"/>
      <c r="I34" s="629"/>
      <c r="J34" s="629"/>
      <c r="K34" s="629"/>
      <c r="L34" s="629"/>
      <c r="M34" s="629"/>
      <c r="N34" s="629"/>
      <c r="O34" s="393"/>
    </row>
    <row r="35" spans="1:15" ht="21.75" customHeight="1">
      <c r="A35" s="353"/>
      <c r="B35" s="407" t="s">
        <v>77</v>
      </c>
      <c r="C35" s="408"/>
      <c r="D35" s="628" t="str">
        <f>IF(ISBLANK(Programatico!L23),"",(Programatico!L23))</f>
        <v>El caso importado tuvo procedencia de Mexico con residencia en área urbana del municipio de Ilobasco, del departamento de Cabañas. Formulario de investigación de caso de malaria; Sistema de Información del Programa Nacional
de Malaria.</v>
      </c>
      <c r="E35" s="628"/>
      <c r="F35" s="628"/>
      <c r="G35" s="628"/>
      <c r="H35" s="390"/>
      <c r="I35" s="629"/>
      <c r="J35" s="629"/>
      <c r="K35" s="629"/>
      <c r="L35" s="629"/>
      <c r="M35" s="629"/>
      <c r="N35" s="629"/>
      <c r="O35" s="393"/>
    </row>
    <row r="36" spans="1:15" ht="21.75" customHeight="1">
      <c r="A36" s="353"/>
      <c r="B36" s="407" t="s">
        <v>78</v>
      </c>
      <c r="C36" s="408"/>
      <c r="D36" s="628" t="e">
        <f>IF(ISBLANK(Programatico!#REF!),"",(Programatico!#REF!))</f>
        <v>#REF!</v>
      </c>
      <c r="E36" s="628"/>
      <c r="F36" s="628"/>
      <c r="G36" s="628"/>
      <c r="H36" s="390"/>
      <c r="I36" s="629"/>
      <c r="J36" s="629"/>
      <c r="K36" s="629"/>
      <c r="L36" s="629"/>
      <c r="M36" s="629"/>
      <c r="N36" s="629"/>
      <c r="O36" s="393"/>
    </row>
    <row r="37" spans="1:15" ht="21.75" customHeight="1">
      <c r="A37" s="353"/>
      <c r="B37" s="407" t="s">
        <v>79</v>
      </c>
      <c r="C37" s="408"/>
      <c r="D37" s="628" t="e">
        <f>IF(ISBLANK(Programatico!#REF!),"",(Programatico!#REF!))</f>
        <v>#REF!</v>
      </c>
      <c r="E37" s="628"/>
      <c r="F37" s="628"/>
      <c r="G37" s="628"/>
      <c r="H37" s="390"/>
      <c r="I37" s="629"/>
      <c r="J37" s="629"/>
      <c r="K37" s="629"/>
      <c r="L37" s="629"/>
      <c r="M37" s="629"/>
      <c r="N37" s="629"/>
      <c r="O37" s="393"/>
    </row>
    <row r="38" spans="1:15" ht="21.75" customHeight="1">
      <c r="A38" s="353"/>
      <c r="B38" s="407" t="s">
        <v>80</v>
      </c>
      <c r="C38" s="408"/>
      <c r="D38" s="628" t="e">
        <f>IF(ISBLANK(Programatico!#REF!),"",(Programatico!#REF!))</f>
        <v>#REF!</v>
      </c>
      <c r="E38" s="628"/>
      <c r="F38" s="628"/>
      <c r="G38" s="628"/>
      <c r="H38" s="390"/>
      <c r="I38" s="629"/>
      <c r="J38" s="629"/>
      <c r="K38" s="629"/>
      <c r="L38" s="629"/>
      <c r="M38" s="629"/>
      <c r="N38" s="629"/>
      <c r="O38" s="393"/>
    </row>
    <row r="39" spans="1:15" ht="21.75" customHeight="1">
      <c r="A39" s="353"/>
      <c r="B39" s="407" t="s">
        <v>81</v>
      </c>
      <c r="C39" s="408"/>
      <c r="D39" s="628" t="e">
        <f>IF(ISBLANK(Programatico!#REF!),"",(Programatico!#REF!))</f>
        <v>#REF!</v>
      </c>
      <c r="E39" s="628"/>
      <c r="F39" s="628"/>
      <c r="G39" s="628"/>
      <c r="H39" s="390"/>
      <c r="I39" s="629"/>
      <c r="J39" s="629"/>
      <c r="K39" s="629"/>
      <c r="L39" s="629"/>
      <c r="M39" s="629"/>
      <c r="N39" s="629"/>
      <c r="O39" s="393"/>
    </row>
    <row r="40" spans="1:15" ht="21.75" customHeight="1">
      <c r="A40" s="353"/>
      <c r="B40" s="407" t="s">
        <v>82</v>
      </c>
      <c r="C40" s="408"/>
      <c r="D40" s="628" t="e">
        <f>IF(ISBLANK(Programatico!#REF!),"",(Programatico!#REF!))</f>
        <v>#REF!</v>
      </c>
      <c r="E40" s="628"/>
      <c r="F40" s="628"/>
      <c r="G40" s="628"/>
      <c r="H40" s="390"/>
      <c r="I40" s="629"/>
      <c r="J40" s="629"/>
      <c r="K40" s="629"/>
      <c r="L40" s="629"/>
      <c r="M40" s="629"/>
      <c r="N40" s="629"/>
      <c r="O40" s="393"/>
    </row>
    <row r="41" spans="1:15" ht="21.75" customHeight="1">
      <c r="A41" s="353"/>
      <c r="B41" s="407" t="s">
        <v>83</v>
      </c>
      <c r="C41" s="409"/>
      <c r="D41" s="628" t="e">
        <f>IF(ISBLANK(Programatico!#REF!),"",(Programatico!#REF!))</f>
        <v>#REF!</v>
      </c>
      <c r="E41" s="628"/>
      <c r="F41" s="628"/>
      <c r="G41" s="628"/>
      <c r="H41" s="390"/>
      <c r="I41" s="630"/>
      <c r="J41" s="630"/>
      <c r="K41" s="630"/>
      <c r="L41" s="630"/>
      <c r="M41" s="630"/>
      <c r="N41" s="630"/>
      <c r="O41" s="393"/>
    </row>
  </sheetData>
  <sheetProtection password="CFC9" sheet="1" objects="1" scenarios="1"/>
  <mergeCells count="65">
    <mergeCell ref="B2:N2"/>
    <mergeCell ref="C3:D3"/>
    <mergeCell ref="E3:K3"/>
    <mergeCell ref="C4:D4"/>
    <mergeCell ref="E4:K4"/>
    <mergeCell ref="E5:K5"/>
    <mergeCell ref="E6:K6"/>
    <mergeCell ref="B8:N8"/>
    <mergeCell ref="B10:C10"/>
    <mergeCell ref="D10:G10"/>
    <mergeCell ref="I10:N10"/>
    <mergeCell ref="D11:G11"/>
    <mergeCell ref="I11:N11"/>
    <mergeCell ref="D12:G12"/>
    <mergeCell ref="I12:N12"/>
    <mergeCell ref="D13:G13"/>
    <mergeCell ref="I13:N13"/>
    <mergeCell ref="D14:G14"/>
    <mergeCell ref="I14:N14"/>
    <mergeCell ref="B16:N16"/>
    <mergeCell ref="B18:C18"/>
    <mergeCell ref="D18:G18"/>
    <mergeCell ref="I18:N18"/>
    <mergeCell ref="D19:G19"/>
    <mergeCell ref="I19:N19"/>
    <mergeCell ref="D20:G20"/>
    <mergeCell ref="I20:N20"/>
    <mergeCell ref="D21:G21"/>
    <mergeCell ref="I21:N21"/>
    <mergeCell ref="D22:G22"/>
    <mergeCell ref="I22:N22"/>
    <mergeCell ref="D23:G23"/>
    <mergeCell ref="I23:N23"/>
    <mergeCell ref="D24:G24"/>
    <mergeCell ref="I24:N24"/>
    <mergeCell ref="B26:N26"/>
    <mergeCell ref="B28:C28"/>
    <mergeCell ref="D28:G28"/>
    <mergeCell ref="I28:N28"/>
    <mergeCell ref="D29:G29"/>
    <mergeCell ref="I29:N29"/>
    <mergeCell ref="D30:G30"/>
    <mergeCell ref="I30:N30"/>
    <mergeCell ref="D31:G31"/>
    <mergeCell ref="I31:N31"/>
    <mergeCell ref="D32:G32"/>
    <mergeCell ref="I32:N32"/>
    <mergeCell ref="D33:G33"/>
    <mergeCell ref="I33:N33"/>
    <mergeCell ref="D34:G34"/>
    <mergeCell ref="I34:N34"/>
    <mergeCell ref="D35:G35"/>
    <mergeCell ref="I35:N35"/>
    <mergeCell ref="D36:G36"/>
    <mergeCell ref="I36:N36"/>
    <mergeCell ref="D37:G37"/>
    <mergeCell ref="I37:N37"/>
    <mergeCell ref="D38:G38"/>
    <mergeCell ref="I38:N38"/>
    <mergeCell ref="D41:G41"/>
    <mergeCell ref="I41:N41"/>
    <mergeCell ref="D39:G39"/>
    <mergeCell ref="I39:N39"/>
    <mergeCell ref="D40:G40"/>
    <mergeCell ref="I40:N40"/>
  </mergeCells>
  <conditionalFormatting sqref="C4:D4">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37">
      <selection activeCell="Q34" sqref="Q34"/>
    </sheetView>
  </sheetViews>
  <sheetFormatPr defaultColWidth="11.421875" defaultRowHeight="15"/>
  <cols>
    <col min="1" max="1" width="4.140625" style="0" customWidth="1"/>
    <col min="2" max="2" width="14.421875" style="0" customWidth="1"/>
    <col min="3" max="3" width="12.421875" style="0" customWidth="1"/>
    <col min="4" max="4" width="11.421875" style="0" customWidth="1"/>
    <col min="5" max="5" width="19.00390625" style="0" customWidth="1"/>
    <col min="6" max="6" width="1.421875" style="0" customWidth="1"/>
    <col min="7" max="7" width="11.421875" style="0" customWidth="1"/>
    <col min="8" max="8" width="9.421875" style="0" customWidth="1"/>
    <col min="9" max="9" width="11.421875" style="0" customWidth="1"/>
    <col min="10" max="10" width="12.421875" style="0" customWidth="1"/>
    <col min="11" max="11" width="10.421875" style="0" customWidth="1"/>
    <col min="12" max="12" width="13.421875" style="0" customWidth="1"/>
  </cols>
  <sheetData>
    <row r="1" ht="30.75" customHeight="1"/>
    <row r="2" spans="2:12" ht="27.75" customHeight="1">
      <c r="B2" s="592" t="str">
        <f>+"Cuadro de mando:  "&amp;"  "&amp;+'Introducción de datos'!C4&amp;" - "&amp;'Introducción de datos'!G6</f>
        <v>Cuadro de mando:    El Salvador - MALARIA</v>
      </c>
      <c r="C2" s="592"/>
      <c r="D2" s="592"/>
      <c r="E2" s="592"/>
      <c r="F2" s="592"/>
      <c r="G2" s="592"/>
      <c r="H2" s="592"/>
      <c r="I2" s="592"/>
      <c r="J2" s="592"/>
      <c r="K2" s="592"/>
      <c r="L2" s="592"/>
    </row>
    <row r="3" spans="2:13" ht="14.25">
      <c r="B3" s="303">
        <f>+'Introducción de datos'!G8</f>
        <v>0</v>
      </c>
      <c r="C3" s="593" t="str">
        <f>+'Introducción de datos'!I8</f>
        <v>Fase 1</v>
      </c>
      <c r="D3" s="593"/>
      <c r="E3" s="588"/>
      <c r="F3" s="588"/>
      <c r="G3" s="588"/>
      <c r="H3" s="588"/>
      <c r="I3" s="588"/>
      <c r="J3" s="594" t="str">
        <f>+'Introducción de datos'!B16</f>
        <v>Periodo:</v>
      </c>
      <c r="K3" s="594"/>
      <c r="L3" s="329" t="str">
        <f>+'Introducción de datos'!C16</f>
        <v>P3</v>
      </c>
      <c r="M3" s="410"/>
    </row>
    <row r="4" spans="2:12" ht="14.25">
      <c r="B4" s="303" t="str">
        <f>+'Introducción de datos'!B12</f>
        <v>Ultima calificación:</v>
      </c>
      <c r="C4" s="688" t="str">
        <f>+'Introducción de datos'!C12</f>
        <v>B1</v>
      </c>
      <c r="D4" s="688"/>
      <c r="E4" s="588" t="str">
        <f>+'Introducción de datos'!C8</f>
        <v>Ministerio de Salud </v>
      </c>
      <c r="F4" s="588"/>
      <c r="G4" s="588"/>
      <c r="H4" s="588"/>
      <c r="I4" s="588"/>
      <c r="J4" s="594" t="str">
        <f>+'Introducción de datos'!D16</f>
        <v>Desde:</v>
      </c>
      <c r="K4" s="594"/>
      <c r="L4" s="275">
        <f>+'Introducción de datos'!E16</f>
        <v>43466</v>
      </c>
    </row>
    <row r="5" spans="2:12" ht="18.75" customHeight="1">
      <c r="B5" s="303"/>
      <c r="C5" s="303"/>
      <c r="D5" s="588" t="str">
        <f>+'Introducción de datos'!G4</f>
        <v>Eliminación de la malaria en El Salvador: un esfuerzo de país</v>
      </c>
      <c r="E5" s="588"/>
      <c r="F5" s="588"/>
      <c r="G5" s="588"/>
      <c r="H5" s="588"/>
      <c r="I5" s="588"/>
      <c r="J5" s="588"/>
      <c r="K5" s="303" t="str">
        <f>+'Introducción de datos'!F16</f>
        <v>Hasta:</v>
      </c>
      <c r="L5" s="275">
        <f>+'Introducción de datos'!G16</f>
        <v>43646</v>
      </c>
    </row>
    <row r="6" spans="2:9" ht="18">
      <c r="B6" s="304"/>
      <c r="C6" s="303"/>
      <c r="D6" s="277"/>
      <c r="E6" s="589" t="s">
        <v>209</v>
      </c>
      <c r="F6" s="589"/>
      <c r="G6" s="589"/>
      <c r="H6" s="589"/>
      <c r="I6" s="589"/>
    </row>
    <row r="7" spans="5:9" ht="18">
      <c r="E7" s="411"/>
      <c r="F7" s="411"/>
      <c r="G7" s="411"/>
      <c r="H7" s="411"/>
      <c r="I7" s="411"/>
    </row>
    <row r="8" spans="2:12" s="360" customFormat="1" ht="21" customHeight="1">
      <c r="B8" s="412" t="s">
        <v>210</v>
      </c>
      <c r="C8" s="413"/>
      <c r="D8" s="413"/>
      <c r="E8" s="413"/>
      <c r="F8" s="413"/>
      <c r="G8" s="413"/>
      <c r="H8" s="413"/>
      <c r="I8" s="413"/>
      <c r="J8" s="413"/>
      <c r="K8" s="413"/>
      <c r="L8" s="413"/>
    </row>
    <row r="9" ht="6" customHeight="1">
      <c r="B9" s="414"/>
    </row>
    <row r="10" spans="2:12" ht="14.25">
      <c r="B10" s="687"/>
      <c r="C10" s="687"/>
      <c r="D10" s="687"/>
      <c r="E10" s="687"/>
      <c r="F10" s="687"/>
      <c r="G10" s="687"/>
      <c r="H10" s="687"/>
      <c r="I10" s="687"/>
      <c r="J10" s="687"/>
      <c r="K10" s="687"/>
      <c r="L10" s="687"/>
    </row>
    <row r="11" spans="2:12" ht="14.25">
      <c r="B11" s="687"/>
      <c r="C11" s="687"/>
      <c r="D11" s="687"/>
      <c r="E11" s="687"/>
      <c r="F11" s="687"/>
      <c r="G11" s="687"/>
      <c r="H11" s="687"/>
      <c r="I11" s="687"/>
      <c r="J11" s="687"/>
      <c r="K11" s="687"/>
      <c r="L11" s="687"/>
    </row>
    <row r="13" spans="1:12" ht="42" customHeight="1">
      <c r="A13" s="415"/>
      <c r="B13" s="664" t="s">
        <v>211</v>
      </c>
      <c r="C13" s="664"/>
      <c r="D13" s="664"/>
      <c r="E13" s="664"/>
      <c r="F13" s="416"/>
      <c r="G13" s="665" t="s">
        <v>212</v>
      </c>
      <c r="H13" s="665"/>
      <c r="I13" s="665"/>
      <c r="J13" s="417" t="s">
        <v>213</v>
      </c>
      <c r="K13" s="666" t="s">
        <v>214</v>
      </c>
      <c r="L13" s="666"/>
    </row>
    <row r="14" spans="1:12" ht="29.25" customHeight="1">
      <c r="A14" s="667" t="s">
        <v>92</v>
      </c>
      <c r="B14" s="683"/>
      <c r="C14" s="683"/>
      <c r="D14" s="683"/>
      <c r="E14" s="683"/>
      <c r="F14" s="86"/>
      <c r="G14" s="684"/>
      <c r="H14" s="684"/>
      <c r="I14" s="684"/>
      <c r="J14" s="685"/>
      <c r="K14" s="680"/>
      <c r="L14" s="680"/>
    </row>
    <row r="15" spans="1:12" ht="2.25" customHeight="1">
      <c r="A15" s="667"/>
      <c r="B15" s="206"/>
      <c r="C15" s="206"/>
      <c r="D15" s="206"/>
      <c r="E15" s="206"/>
      <c r="F15" s="86"/>
      <c r="G15" s="684"/>
      <c r="H15" s="684"/>
      <c r="I15" s="684"/>
      <c r="J15" s="685"/>
      <c r="K15" s="680"/>
      <c r="L15" s="680"/>
    </row>
    <row r="16" spans="1:12" ht="25.5" customHeight="1">
      <c r="A16" s="667"/>
      <c r="B16" s="672"/>
      <c r="C16" s="672"/>
      <c r="D16" s="672"/>
      <c r="E16" s="672"/>
      <c r="F16" s="86"/>
      <c r="G16" s="681"/>
      <c r="H16" s="681"/>
      <c r="I16" s="681"/>
      <c r="J16" s="682"/>
      <c r="K16" s="675"/>
      <c r="L16" s="675"/>
    </row>
    <row r="17" spans="1:12" ht="4.5" customHeight="1">
      <c r="A17" s="667"/>
      <c r="B17" s="672"/>
      <c r="C17" s="672"/>
      <c r="D17" s="672"/>
      <c r="E17" s="672"/>
      <c r="F17" s="86"/>
      <c r="G17" s="681"/>
      <c r="H17" s="681"/>
      <c r="I17" s="681"/>
      <c r="J17" s="682"/>
      <c r="K17" s="675"/>
      <c r="L17" s="675"/>
    </row>
    <row r="18" spans="1:12" ht="14.25">
      <c r="A18" s="667"/>
      <c r="B18" s="672"/>
      <c r="C18" s="672"/>
      <c r="D18" s="672"/>
      <c r="E18" s="672"/>
      <c r="F18" s="86"/>
      <c r="G18" s="686"/>
      <c r="H18" s="686"/>
      <c r="I18" s="686"/>
      <c r="J18" s="674"/>
      <c r="K18" s="675"/>
      <c r="L18" s="675"/>
    </row>
    <row r="19" spans="1:12" ht="21" customHeight="1">
      <c r="A19" s="667"/>
      <c r="B19" s="672"/>
      <c r="C19" s="672"/>
      <c r="D19" s="672"/>
      <c r="E19" s="672"/>
      <c r="F19" s="86"/>
      <c r="G19" s="686"/>
      <c r="H19" s="686"/>
      <c r="I19" s="686"/>
      <c r="J19" s="674"/>
      <c r="K19" s="674"/>
      <c r="L19" s="675"/>
    </row>
    <row r="20" spans="1:12" ht="14.25">
      <c r="A20" s="667"/>
      <c r="B20" s="672"/>
      <c r="C20" s="672"/>
      <c r="D20" s="672"/>
      <c r="E20" s="672"/>
      <c r="F20" s="86"/>
      <c r="G20" s="673"/>
      <c r="H20" s="673"/>
      <c r="I20" s="673"/>
      <c r="J20" s="674"/>
      <c r="K20" s="675"/>
      <c r="L20" s="675"/>
    </row>
    <row r="21" spans="1:12" ht="14.25">
      <c r="A21" s="667"/>
      <c r="B21" s="672"/>
      <c r="C21" s="672"/>
      <c r="D21" s="672"/>
      <c r="E21" s="672"/>
      <c r="F21" s="86"/>
      <c r="G21" s="673"/>
      <c r="H21" s="673"/>
      <c r="I21" s="673"/>
      <c r="J21" s="674"/>
      <c r="K21" s="674"/>
      <c r="L21" s="675"/>
    </row>
    <row r="22" spans="1:12" ht="14.25">
      <c r="A22" s="667"/>
      <c r="B22" s="672"/>
      <c r="C22" s="672"/>
      <c r="D22" s="672"/>
      <c r="E22" s="672"/>
      <c r="F22" s="86"/>
      <c r="G22" s="673"/>
      <c r="H22" s="673"/>
      <c r="I22" s="673"/>
      <c r="J22" s="674"/>
      <c r="K22" s="675"/>
      <c r="L22" s="675"/>
    </row>
    <row r="23" spans="1:12" ht="14.25">
      <c r="A23" s="667"/>
      <c r="B23" s="672"/>
      <c r="C23" s="672"/>
      <c r="D23" s="672"/>
      <c r="E23" s="672"/>
      <c r="F23" s="86"/>
      <c r="G23" s="673"/>
      <c r="H23" s="673"/>
      <c r="I23" s="673"/>
      <c r="J23" s="674"/>
      <c r="K23" s="674"/>
      <c r="L23" s="675"/>
    </row>
    <row r="24" spans="1:12" ht="14.25">
      <c r="A24" s="667"/>
      <c r="B24" s="676"/>
      <c r="C24" s="676"/>
      <c r="D24" s="676"/>
      <c r="E24" s="676"/>
      <c r="F24" s="86"/>
      <c r="G24" s="677"/>
      <c r="H24" s="677"/>
      <c r="I24" s="677"/>
      <c r="J24" s="678"/>
      <c r="K24" s="679"/>
      <c r="L24" s="679"/>
    </row>
    <row r="25" spans="1:12" ht="14.25">
      <c r="A25" s="667"/>
      <c r="B25" s="676"/>
      <c r="C25" s="676"/>
      <c r="D25" s="676"/>
      <c r="E25" s="676"/>
      <c r="F25" s="86"/>
      <c r="G25" s="677"/>
      <c r="H25" s="677"/>
      <c r="I25" s="677"/>
      <c r="J25" s="678"/>
      <c r="K25" s="678"/>
      <c r="L25" s="679"/>
    </row>
    <row r="26" spans="1:12" ht="14.25">
      <c r="A26" s="415"/>
      <c r="B26" s="415"/>
      <c r="C26" s="415"/>
      <c r="D26" s="415"/>
      <c r="E26" s="415"/>
      <c r="F26" s="415"/>
      <c r="G26" s="415"/>
      <c r="H26" s="415"/>
      <c r="I26" s="415"/>
      <c r="J26" s="415"/>
      <c r="K26" s="415"/>
      <c r="L26" s="415"/>
    </row>
    <row r="27" spans="1:12" ht="18">
      <c r="A27" s="415"/>
      <c r="B27" s="415"/>
      <c r="C27" s="415"/>
      <c r="D27" s="415"/>
      <c r="E27" s="418" t="s">
        <v>215</v>
      </c>
      <c r="F27" s="419"/>
      <c r="G27" s="419"/>
      <c r="H27" s="419"/>
      <c r="I27" s="419"/>
      <c r="J27" s="415"/>
      <c r="K27" s="415"/>
      <c r="L27" s="415"/>
    </row>
    <row r="28" spans="1:12" ht="6" customHeight="1">
      <c r="A28" s="415"/>
      <c r="B28" s="415"/>
      <c r="C28" s="415"/>
      <c r="D28" s="415"/>
      <c r="E28" s="420"/>
      <c r="F28" s="420"/>
      <c r="G28" s="420"/>
      <c r="H28" s="420"/>
      <c r="I28" s="420"/>
      <c r="J28" s="415"/>
      <c r="K28" s="415"/>
      <c r="L28" s="415"/>
    </row>
    <row r="29" spans="1:12" s="360" customFormat="1" ht="21" customHeight="1">
      <c r="A29" s="421"/>
      <c r="B29" s="412" t="s">
        <v>216</v>
      </c>
      <c r="C29" s="422"/>
      <c r="D29" s="422"/>
      <c r="E29" s="422"/>
      <c r="F29" s="422"/>
      <c r="G29" s="422"/>
      <c r="H29" s="422"/>
      <c r="I29" s="422"/>
      <c r="J29" s="422"/>
      <c r="K29" s="422"/>
      <c r="L29" s="422"/>
    </row>
    <row r="30" spans="1:12" ht="6" customHeight="1">
      <c r="A30" s="415"/>
      <c r="B30" s="423"/>
      <c r="C30" s="415"/>
      <c r="D30" s="415"/>
      <c r="E30" s="415"/>
      <c r="F30" s="415"/>
      <c r="G30" s="415"/>
      <c r="H30" s="415"/>
      <c r="I30" s="415"/>
      <c r="J30" s="415"/>
      <c r="K30" s="415"/>
      <c r="L30" s="415"/>
    </row>
    <row r="31" spans="1:12" ht="45" customHeight="1">
      <c r="A31" s="415"/>
      <c r="B31" s="664" t="s">
        <v>212</v>
      </c>
      <c r="C31" s="664"/>
      <c r="D31" s="664"/>
      <c r="E31" s="664"/>
      <c r="F31" s="416"/>
      <c r="G31" s="665" t="s">
        <v>217</v>
      </c>
      <c r="H31" s="665"/>
      <c r="I31" s="665"/>
      <c r="J31" s="417" t="s">
        <v>213</v>
      </c>
      <c r="K31" s="666" t="s">
        <v>214</v>
      </c>
      <c r="L31" s="666"/>
    </row>
    <row r="32" spans="1:12" ht="18.75" customHeight="1">
      <c r="A32" s="667" t="s">
        <v>218</v>
      </c>
      <c r="B32" s="668"/>
      <c r="C32" s="668"/>
      <c r="D32" s="668"/>
      <c r="E32" s="668"/>
      <c r="F32" s="86"/>
      <c r="G32" s="669"/>
      <c r="H32" s="669"/>
      <c r="I32" s="669"/>
      <c r="J32" s="670"/>
      <c r="K32" s="671"/>
      <c r="L32" s="671"/>
    </row>
    <row r="33" spans="1:12" ht="18.75" customHeight="1">
      <c r="A33" s="667"/>
      <c r="B33" s="668"/>
      <c r="C33" s="668"/>
      <c r="D33" s="668"/>
      <c r="E33" s="668"/>
      <c r="F33" s="86"/>
      <c r="G33" s="669"/>
      <c r="H33" s="669"/>
      <c r="I33" s="669"/>
      <c r="J33" s="670"/>
      <c r="K33" s="670"/>
      <c r="L33" s="671"/>
    </row>
    <row r="34" spans="1:12" ht="18.75" customHeight="1">
      <c r="A34" s="667"/>
      <c r="B34" s="660">
        <f>IF(Recomendaciones!I43="","",Recomendaciones!I43)</f>
      </c>
      <c r="C34" s="660"/>
      <c r="D34" s="660"/>
      <c r="E34" s="660"/>
      <c r="F34" s="86"/>
      <c r="G34" s="661"/>
      <c r="H34" s="661"/>
      <c r="I34" s="661"/>
      <c r="J34" s="662"/>
      <c r="K34" s="663"/>
      <c r="L34" s="663"/>
    </row>
    <row r="35" spans="1:12" ht="18.75" customHeight="1">
      <c r="A35" s="667"/>
      <c r="B35" s="660"/>
      <c r="C35" s="660"/>
      <c r="D35" s="660"/>
      <c r="E35" s="660"/>
      <c r="F35" s="86"/>
      <c r="G35" s="661"/>
      <c r="H35" s="661"/>
      <c r="I35" s="661"/>
      <c r="J35" s="662"/>
      <c r="K35" s="662"/>
      <c r="L35" s="663"/>
    </row>
    <row r="36" spans="1:12" ht="18.75" customHeight="1">
      <c r="A36" s="667"/>
      <c r="B36" s="660">
        <f>+IF(Recomendaciones!I53="","",Recomendaciones!I53)</f>
      </c>
      <c r="C36" s="660"/>
      <c r="D36" s="660"/>
      <c r="E36" s="660"/>
      <c r="F36" s="86"/>
      <c r="G36" s="661"/>
      <c r="H36" s="661"/>
      <c r="I36" s="661"/>
      <c r="J36" s="662"/>
      <c r="K36" s="663"/>
      <c r="L36" s="663"/>
    </row>
    <row r="37" spans="1:12" ht="18.75" customHeight="1">
      <c r="A37" s="667"/>
      <c r="B37" s="660"/>
      <c r="C37" s="660"/>
      <c r="D37" s="660"/>
      <c r="E37" s="660"/>
      <c r="F37" s="86"/>
      <c r="G37" s="661"/>
      <c r="H37" s="661"/>
      <c r="I37" s="661"/>
      <c r="J37" s="662"/>
      <c r="K37" s="662"/>
      <c r="L37" s="663"/>
    </row>
    <row r="38" spans="1:12" ht="18.75" customHeight="1">
      <c r="A38" s="667"/>
      <c r="B38" s="660"/>
      <c r="C38" s="660"/>
      <c r="D38" s="660"/>
      <c r="E38" s="660"/>
      <c r="F38" s="86"/>
      <c r="G38" s="661"/>
      <c r="H38" s="661"/>
      <c r="I38" s="661"/>
      <c r="J38" s="662"/>
      <c r="K38" s="663"/>
      <c r="L38" s="663"/>
    </row>
    <row r="39" spans="1:12" ht="18.75" customHeight="1">
      <c r="A39" s="667"/>
      <c r="B39" s="660"/>
      <c r="C39" s="660"/>
      <c r="D39" s="660"/>
      <c r="E39" s="660"/>
      <c r="F39" s="86"/>
      <c r="G39" s="661"/>
      <c r="H39" s="661"/>
      <c r="I39" s="661"/>
      <c r="J39" s="662"/>
      <c r="K39" s="662"/>
      <c r="L39" s="663"/>
    </row>
    <row r="40" spans="1:12" ht="18.75" customHeight="1">
      <c r="A40" s="667"/>
      <c r="B40" s="660"/>
      <c r="C40" s="660"/>
      <c r="D40" s="660"/>
      <c r="E40" s="660"/>
      <c r="F40" s="86"/>
      <c r="G40" s="661"/>
      <c r="H40" s="661"/>
      <c r="I40" s="661"/>
      <c r="J40" s="662"/>
      <c r="K40" s="663"/>
      <c r="L40" s="663"/>
    </row>
    <row r="41" spans="1:12" ht="18.75" customHeight="1">
      <c r="A41" s="667"/>
      <c r="B41" s="660"/>
      <c r="C41" s="660"/>
      <c r="D41" s="660"/>
      <c r="E41" s="660"/>
      <c r="F41" s="86"/>
      <c r="G41" s="661"/>
      <c r="H41" s="661"/>
      <c r="I41" s="661"/>
      <c r="J41" s="662"/>
      <c r="K41" s="662"/>
      <c r="L41" s="663"/>
    </row>
    <row r="42" spans="1:12" ht="18.75" customHeight="1">
      <c r="A42" s="667"/>
      <c r="B42" s="656"/>
      <c r="C42" s="656"/>
      <c r="D42" s="656"/>
      <c r="E42" s="656"/>
      <c r="F42" s="86"/>
      <c r="G42" s="657"/>
      <c r="H42" s="657"/>
      <c r="I42" s="657"/>
      <c r="J42" s="658"/>
      <c r="K42" s="659"/>
      <c r="L42" s="659"/>
    </row>
    <row r="43" spans="1:12" ht="18.75" customHeight="1">
      <c r="A43" s="667"/>
      <c r="B43" s="656"/>
      <c r="C43" s="656"/>
      <c r="D43" s="656"/>
      <c r="E43" s="656"/>
      <c r="F43" s="86"/>
      <c r="G43" s="657"/>
      <c r="H43" s="657"/>
      <c r="I43" s="657"/>
      <c r="J43" s="658"/>
      <c r="K43" s="658"/>
      <c r="L43" s="659"/>
    </row>
  </sheetData>
  <sheetProtection selectLockedCells="1" selectUnlockedCells="1"/>
  <mergeCells count="66">
    <mergeCell ref="B2:L2"/>
    <mergeCell ref="C3:D3"/>
    <mergeCell ref="E3:I3"/>
    <mergeCell ref="J3:K3"/>
    <mergeCell ref="C4:D4"/>
    <mergeCell ref="E4:I4"/>
    <mergeCell ref="J4:K4"/>
    <mergeCell ref="D5:J5"/>
    <mergeCell ref="E6:I6"/>
    <mergeCell ref="B10:L11"/>
    <mergeCell ref="B13:E13"/>
    <mergeCell ref="G13:I13"/>
    <mergeCell ref="K13:L13"/>
    <mergeCell ref="A14:A25"/>
    <mergeCell ref="B14:E14"/>
    <mergeCell ref="G14:I15"/>
    <mergeCell ref="J14:J15"/>
    <mergeCell ref="B18:E19"/>
    <mergeCell ref="G18:I19"/>
    <mergeCell ref="J18:J19"/>
    <mergeCell ref="B22:E23"/>
    <mergeCell ref="G22:I23"/>
    <mergeCell ref="J22:J23"/>
    <mergeCell ref="K14:L15"/>
    <mergeCell ref="B16:E17"/>
    <mergeCell ref="G16:I17"/>
    <mergeCell ref="J16:J17"/>
    <mergeCell ref="K16:L17"/>
    <mergeCell ref="K18:L19"/>
    <mergeCell ref="B20:E21"/>
    <mergeCell ref="G20:I21"/>
    <mergeCell ref="J20:J21"/>
    <mergeCell ref="K20:L21"/>
    <mergeCell ref="K22:L23"/>
    <mergeCell ref="B24:E25"/>
    <mergeCell ref="G24:I25"/>
    <mergeCell ref="J24:J25"/>
    <mergeCell ref="K24:L25"/>
    <mergeCell ref="B31:E31"/>
    <mergeCell ref="G31:I31"/>
    <mergeCell ref="K31:L31"/>
    <mergeCell ref="A32:A43"/>
    <mergeCell ref="B32:E33"/>
    <mergeCell ref="G32:I33"/>
    <mergeCell ref="J32:J33"/>
    <mergeCell ref="K32:L33"/>
    <mergeCell ref="B34:E35"/>
    <mergeCell ref="G34:I35"/>
    <mergeCell ref="J40:J41"/>
    <mergeCell ref="K40:L41"/>
    <mergeCell ref="J34:J35"/>
    <mergeCell ref="K34:L35"/>
    <mergeCell ref="B36:E37"/>
    <mergeCell ref="G36:I37"/>
    <mergeCell ref="J36:J37"/>
    <mergeCell ref="K36:L37"/>
    <mergeCell ref="B42:E43"/>
    <mergeCell ref="G42:I43"/>
    <mergeCell ref="J42:J43"/>
    <mergeCell ref="K42:L43"/>
    <mergeCell ref="B38:E39"/>
    <mergeCell ref="G38:I39"/>
    <mergeCell ref="J38:J39"/>
    <mergeCell ref="K38:L39"/>
    <mergeCell ref="B40:E41"/>
    <mergeCell ref="G40:I41"/>
  </mergeCells>
  <conditionalFormatting sqref="C4:D4">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UAFM1</cp:lastModifiedBy>
  <cp:lastPrinted>2011-01-31T13:36:40Z</cp:lastPrinted>
  <dcterms:created xsi:type="dcterms:W3CDTF">2008-11-20T16:06:13Z</dcterms:created>
  <dcterms:modified xsi:type="dcterms:W3CDTF">2019-09-26T02:21:56Z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