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12.xml" ContentType="application/vnd.openxmlformats-officedocument.drawingml.chart+xml"/>
  <Override PartName="/xl/charts/style4.xml" ContentType="application/vnd.ms-office.chartstyle+xml"/>
  <Override PartName="/xl/charts/colors4.xml" ContentType="application/vnd.ms-office.chartcolorstyle+xml"/>
  <Override PartName="/xl/charts/chart13.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E:\Tableros de mando 260919\Tablero de Mando VIH AVANCE Enero a junio 2019\"/>
    </mc:Choice>
  </mc:AlternateContent>
  <xr:revisionPtr revIDLastSave="0" documentId="13_ncr:1_{AF69349F-E783-4101-8FDC-5C746876FC3E}" xr6:coauthVersionLast="44" xr6:coauthVersionMax="44" xr10:uidLastSave="{00000000-0000-0000-0000-000000000000}"/>
  <bookViews>
    <workbookView xWindow="-110" yWindow="-110" windowWidth="19420" windowHeight="10420" tabRatio="820" firstSheet="2" activeTab="3" xr2:uid="{00000000-000D-0000-FFFF-FFFF00000000}"/>
  </bookViews>
  <sheets>
    <sheet name="Menú" sheetId="1" r:id="rId1"/>
    <sheet name="Lista de indicadores" sheetId="2" r:id="rId2"/>
    <sheet name="Introducción de datos" sheetId="3" r:id="rId3"/>
    <sheet name="Información de la subvención" sheetId="4" r:id="rId4"/>
    <sheet name="Financiamiento" sheetId="5" r:id="rId5"/>
    <sheet name="Gestión" sheetId="6" r:id="rId6"/>
    <sheet name="Programatico" sheetId="7" r:id="rId7"/>
    <sheet name="Recomendaciones" sheetId="8" r:id="rId8"/>
    <sheet name="Acciones" sheetId="9" r:id="rId9"/>
    <sheet name="Setup" sheetId="10" r:id="rId10"/>
    <sheet name="Hoja1" sheetId="11" r:id="rId11"/>
  </sheets>
  <externalReferences>
    <externalReference r:id="rId12"/>
    <externalReference r:id="rId13"/>
  </externalReferences>
  <definedNames>
    <definedName name="__xlfn_COMPOUNDVALUE">NA()</definedName>
    <definedName name="__xlfn_CUBEKPIMEMBER">NA()</definedName>
    <definedName name="__xlfn_CUBEMEMBER">NA()</definedName>
    <definedName name="__xlfn_CUBERANKEDMEMBER">NA()</definedName>
    <definedName name="__xlfn_CUBESET">NA()</definedName>
    <definedName name="__xlfn_CUBEVALUE">NA()</definedName>
    <definedName name="Afganistán" localSheetId="0">Countries</definedName>
    <definedName name="Afganistán">Countries</definedName>
    <definedName name="_xlnm.Print_Area" localSheetId="8">Acciones!$A$1:$L$43</definedName>
    <definedName name="_xlnm.Print_Area" localSheetId="4">Financiamiento!$A$2:$L$31</definedName>
    <definedName name="_xlnm.Print_Area" localSheetId="5">Gestión!$A$1:$L$33</definedName>
    <definedName name="_xlnm.Print_Area" localSheetId="3">'Información de la subvención'!$A$1:$K$15</definedName>
    <definedName name="_xlnm.Print_Area" localSheetId="2">'Introducción de datos'!$A$1:$T$147</definedName>
    <definedName name="_xlnm.Print_Area" localSheetId="6">Programatico!$A$1:$Q$32</definedName>
    <definedName name="Ciudades">Setup!$J$9:$J$48</definedName>
    <definedName name="Component">Setup!$B$9:$B$14</definedName>
    <definedName name="Countries" localSheetId="0">[1]Setup!$J$9:$J$48</definedName>
    <definedName name="Countries">Setup!$J$9:$J$48</definedName>
    <definedName name="Currency">Setup!$C$9:$C$11</definedName>
    <definedName name="LFA">Setup!$H$9:$H$22</definedName>
    <definedName name="Medicaments">Setup!$I$9:$I$30</definedName>
    <definedName name="PERIOD">Setup!$F$9:$F$21</definedName>
    <definedName name="Phase">Setup!$E$9:$E$13</definedName>
    <definedName name="PrintA">Acciones!$A$2:$L$34</definedName>
    <definedName name="PrintDataF">'Introducción de datos'!$B$25:$J$77</definedName>
    <definedName name="PrintDataM">'Introducción de datos'!$B$79:$H$121</definedName>
    <definedName name="PrintF">Financiamiento!$A$2:$K$31</definedName>
    <definedName name="PrintGD">'Información de la subvención'!$A$2:$J$13</definedName>
    <definedName name="PrintM" localSheetId="8">Acciones!$A$2:$L$6</definedName>
    <definedName name="PrintM">Gestión!$A$2:$L$35</definedName>
    <definedName name="PrintP">Programatico!$A$2:$P$32</definedName>
    <definedName name="PrintR">Recomendaciones!$A$2:$N$41</definedName>
    <definedName name="Rating">Setup!$G$9:$G$14</definedName>
    <definedName name="Round">Setup!$D$9:$D$21</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4" i="7" l="1"/>
  <c r="E34" i="7"/>
  <c r="B34" i="7"/>
  <c r="F33" i="7"/>
  <c r="E33" i="7"/>
  <c r="B33" i="7"/>
  <c r="F32" i="7"/>
  <c r="E32" i="7"/>
  <c r="B32" i="7"/>
  <c r="F31" i="7"/>
  <c r="E31" i="7"/>
  <c r="B31" i="7"/>
  <c r="F30" i="7"/>
  <c r="E30" i="7"/>
  <c r="B30" i="7"/>
  <c r="F28" i="7"/>
  <c r="E28" i="7"/>
  <c r="B28" i="7"/>
  <c r="F27" i="7"/>
  <c r="E27" i="7"/>
  <c r="B27" i="7"/>
  <c r="H35" i="11"/>
  <c r="G35" i="11"/>
  <c r="F35" i="11"/>
  <c r="G11" i="11"/>
  <c r="H11" i="11"/>
  <c r="F11" i="11"/>
  <c r="G32" i="7" l="1"/>
  <c r="G27" i="7"/>
  <c r="G31" i="7"/>
  <c r="G30" i="7"/>
  <c r="G34" i="7"/>
  <c r="G28" i="7"/>
  <c r="G33" i="7"/>
  <c r="C110" i="3"/>
  <c r="C108" i="3"/>
  <c r="C107" i="3"/>
  <c r="E64" i="3"/>
  <c r="E65" i="3"/>
  <c r="D63" i="3"/>
  <c r="E63" i="3" s="1"/>
  <c r="D66" i="3" l="1"/>
  <c r="D47" i="3"/>
  <c r="D40" i="3"/>
  <c r="D39" i="3"/>
  <c r="E39" i="3" s="1"/>
  <c r="E62" i="3" l="1"/>
  <c r="D62" i="3"/>
  <c r="E66" i="3" s="1"/>
  <c r="E57" i="3"/>
  <c r="D60" i="3"/>
  <c r="E60" i="3" s="1"/>
  <c r="E56" i="3"/>
  <c r="D55" i="3"/>
  <c r="E40" i="3" l="1"/>
  <c r="E41" i="3"/>
  <c r="E42" i="3"/>
  <c r="E43" i="3"/>
  <c r="E44" i="3"/>
  <c r="E45" i="3"/>
  <c r="E46" i="3"/>
  <c r="E47" i="3"/>
  <c r="C33" i="3"/>
  <c r="F26" i="7" l="1"/>
  <c r="F25" i="7"/>
  <c r="E26" i="7"/>
  <c r="E25" i="7"/>
  <c r="B26" i="7"/>
  <c r="B25" i="7"/>
  <c r="B24" i="7"/>
  <c r="B23" i="7"/>
  <c r="E24" i="7"/>
  <c r="G25" i="7" l="1"/>
  <c r="G26" i="7"/>
  <c r="F24" i="7" l="1"/>
  <c r="F23" i="7"/>
  <c r="E23" i="7"/>
  <c r="G24" i="7" l="1"/>
  <c r="G23" i="7"/>
  <c r="E21" i="7"/>
  <c r="D50" i="3" l="1"/>
  <c r="D59" i="3" l="1"/>
  <c r="E59" i="3" s="1"/>
  <c r="E58" i="3"/>
  <c r="E55" i="3"/>
  <c r="G120" i="3"/>
  <c r="I120" i="3" s="1"/>
  <c r="K120" i="3" s="1"/>
  <c r="D61" i="3" l="1"/>
  <c r="E61" i="3" s="1"/>
  <c r="B2" i="9"/>
  <c r="B3" i="9"/>
  <c r="C3" i="9"/>
  <c r="J3" i="9"/>
  <c r="L3" i="9"/>
  <c r="B4" i="9"/>
  <c r="C4" i="9"/>
  <c r="E4" i="9"/>
  <c r="J4" i="9"/>
  <c r="L4" i="9"/>
  <c r="D5" i="9"/>
  <c r="K5" i="9"/>
  <c r="L5" i="9"/>
  <c r="B34" i="9"/>
  <c r="B36" i="9"/>
  <c r="B2" i="5"/>
  <c r="B3" i="5"/>
  <c r="C3" i="5"/>
  <c r="I3" i="5"/>
  <c r="K3" i="5"/>
  <c r="B4" i="5"/>
  <c r="C4" i="5"/>
  <c r="E4" i="5"/>
  <c r="I4" i="5"/>
  <c r="K4" i="5"/>
  <c r="D5" i="5"/>
  <c r="J5" i="5"/>
  <c r="K5" i="5"/>
  <c r="H27" i="5"/>
  <c r="J27" i="5"/>
  <c r="K27" i="5"/>
  <c r="H28" i="5"/>
  <c r="J28" i="5"/>
  <c r="K28" i="5"/>
  <c r="H29" i="5"/>
  <c r="J29" i="5"/>
  <c r="K29" i="5"/>
  <c r="B2" i="6"/>
  <c r="B3" i="6"/>
  <c r="C3" i="6"/>
  <c r="J3" i="6"/>
  <c r="L3" i="6"/>
  <c r="B4" i="6"/>
  <c r="C4" i="6"/>
  <c r="E4" i="6"/>
  <c r="J4" i="6"/>
  <c r="L4" i="6"/>
  <c r="D5" i="6"/>
  <c r="K5" i="6"/>
  <c r="L5" i="6"/>
  <c r="B27" i="6"/>
  <c r="H31" i="6"/>
  <c r="I31" i="6"/>
  <c r="K31" i="6"/>
  <c r="B37" i="6"/>
  <c r="B3" i="4"/>
  <c r="B3" i="10" s="1"/>
  <c r="B6" i="4"/>
  <c r="F6" i="4"/>
  <c r="B9" i="4"/>
  <c r="D9" i="4"/>
  <c r="G9" i="4"/>
  <c r="I9" i="4"/>
  <c r="B10" i="4"/>
  <c r="D10" i="4"/>
  <c r="G10" i="4"/>
  <c r="B11" i="4"/>
  <c r="D11" i="4"/>
  <c r="G11" i="4"/>
  <c r="I11" i="4"/>
  <c r="B12" i="4"/>
  <c r="G12" i="4"/>
  <c r="B13" i="4"/>
  <c r="G13" i="4"/>
  <c r="R30" i="3"/>
  <c r="B31" i="3"/>
  <c r="B32" i="3"/>
  <c r="R32" i="3"/>
  <c r="R29" i="3"/>
  <c r="R33" i="3"/>
  <c r="R34" i="3"/>
  <c r="C35" i="3"/>
  <c r="D35" i="3"/>
  <c r="F35" i="3"/>
  <c r="G35" i="3"/>
  <c r="H35" i="3"/>
  <c r="I35" i="3"/>
  <c r="J35" i="3"/>
  <c r="K35" i="3"/>
  <c r="L35" i="3"/>
  <c r="M35" i="3"/>
  <c r="N35" i="3"/>
  <c r="R35" i="3"/>
  <c r="C38" i="3"/>
  <c r="D38" i="3"/>
  <c r="C50" i="3"/>
  <c r="R52" i="3"/>
  <c r="R53" i="3"/>
  <c r="E54" i="3"/>
  <c r="Q54" i="3"/>
  <c r="G85" i="3"/>
  <c r="F20" i="8" s="1"/>
  <c r="E91" i="3"/>
  <c r="J31" i="6"/>
  <c r="B8" i="2"/>
  <c r="B9" i="2"/>
  <c r="B10" i="2"/>
  <c r="B11" i="2"/>
  <c r="B19" i="2"/>
  <c r="B20" i="2"/>
  <c r="B21" i="2"/>
  <c r="B22" i="2"/>
  <c r="B23" i="2"/>
  <c r="B25" i="2"/>
  <c r="B2" i="7"/>
  <c r="B3" i="7"/>
  <c r="C3" i="7"/>
  <c r="O3" i="7"/>
  <c r="B4" i="7"/>
  <c r="C4" i="7"/>
  <c r="E4" i="7"/>
  <c r="P4" i="7"/>
  <c r="Q4" i="7"/>
  <c r="D5" i="7"/>
  <c r="P5" i="7"/>
  <c r="Q5" i="7"/>
  <c r="B8" i="7"/>
  <c r="F8" i="7"/>
  <c r="B20" i="7"/>
  <c r="E20" i="7"/>
  <c r="F20" i="7"/>
  <c r="B21" i="7"/>
  <c r="F21" i="7"/>
  <c r="T21" i="7"/>
  <c r="U21" i="7"/>
  <c r="V21" i="7"/>
  <c r="W21" i="7"/>
  <c r="X21" i="7"/>
  <c r="Z21" i="7"/>
  <c r="AA21" i="7" s="1"/>
  <c r="B22" i="7"/>
  <c r="E22" i="7"/>
  <c r="F22" i="7"/>
  <c r="T22" i="7"/>
  <c r="U22" i="7"/>
  <c r="V22" i="7"/>
  <c r="W22" i="7"/>
  <c r="X22" i="7"/>
  <c r="Z22" i="7"/>
  <c r="AA22" i="7" s="1"/>
  <c r="T23" i="7"/>
  <c r="U23" i="7"/>
  <c r="V23" i="7"/>
  <c r="W23" i="7"/>
  <c r="X23" i="7"/>
  <c r="Z23" i="7"/>
  <c r="AA23" i="7" s="1"/>
  <c r="T28" i="7"/>
  <c r="U28" i="7"/>
  <c r="V28" i="7"/>
  <c r="W28" i="7"/>
  <c r="X28" i="7"/>
  <c r="T30" i="7"/>
  <c r="U30" i="7"/>
  <c r="V30" i="7"/>
  <c r="W30" i="7"/>
  <c r="X30" i="7"/>
  <c r="T31" i="7"/>
  <c r="U31" i="7"/>
  <c r="V31" i="7"/>
  <c r="W31" i="7"/>
  <c r="X31" i="7"/>
  <c r="B2" i="8"/>
  <c r="B3" i="8"/>
  <c r="C3" i="8"/>
  <c r="L3" i="8"/>
  <c r="M3" i="8"/>
  <c r="B4" i="8"/>
  <c r="C4" i="8"/>
  <c r="E4" i="8"/>
  <c r="L4" i="8"/>
  <c r="M4" i="8"/>
  <c r="E5" i="8"/>
  <c r="L5" i="8"/>
  <c r="M5" i="8"/>
  <c r="D11" i="8"/>
  <c r="D12" i="8"/>
  <c r="D13" i="8"/>
  <c r="D14" i="8"/>
  <c r="D19" i="8"/>
  <c r="D20" i="8"/>
  <c r="D21" i="8"/>
  <c r="D22" i="8"/>
  <c r="D23" i="8"/>
  <c r="D24" i="8"/>
  <c r="D29" i="8"/>
  <c r="D30" i="8"/>
  <c r="D31" i="8"/>
  <c r="D32" i="8"/>
  <c r="D33" i="8"/>
  <c r="D34" i="8"/>
  <c r="D35" i="8"/>
  <c r="D36" i="8"/>
  <c r="D37" i="8"/>
  <c r="D38" i="8"/>
  <c r="D39" i="8"/>
  <c r="D40" i="8"/>
  <c r="D41" i="8"/>
  <c r="F50" i="3" l="1"/>
  <c r="E50" i="3"/>
  <c r="AD21" i="7"/>
  <c r="AC21" i="7"/>
  <c r="AD23" i="7"/>
  <c r="AC23" i="7"/>
  <c r="AD22" i="7"/>
  <c r="AC22" i="7"/>
  <c r="R31" i="3"/>
  <c r="E20" i="8"/>
  <c r="AE23" i="7"/>
  <c r="AE22" i="7"/>
  <c r="AE21" i="7"/>
  <c r="B8" i="5"/>
  <c r="H26" i="6"/>
  <c r="H7" i="6"/>
  <c r="B7" i="6"/>
  <c r="G20" i="7"/>
  <c r="O31" i="3"/>
  <c r="B15" i="6"/>
  <c r="H18" i="6"/>
  <c r="H22" i="5"/>
  <c r="G22" i="7"/>
  <c r="G21" i="7"/>
  <c r="AF23" i="7"/>
  <c r="AB23" i="7"/>
  <c r="AF22" i="7"/>
  <c r="AB22" i="7"/>
  <c r="AF21" i="7"/>
  <c r="AB21" i="7"/>
  <c r="L31" i="6"/>
  <c r="B22" i="5"/>
  <c r="H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84" authorId="0" shapeId="0" xr:uid="{00000000-0006-0000-0200-000001000000}">
      <text>
        <r>
          <rPr>
            <b/>
            <sz val="8"/>
            <color indexed="32"/>
            <rFont val="Tahoma"/>
            <family val="2"/>
          </rPr>
          <t xml:space="preserve">Si los datos no están disponibles, no introduzca ceros; deje las celdas de la tabla en blanco. </t>
        </r>
      </text>
    </comment>
    <comment ref="B85" authorId="0" shapeId="0" xr:uid="{00000000-0006-0000-0200-000002000000}">
      <text>
        <r>
          <rPr>
            <b/>
            <sz val="8"/>
            <color indexed="32"/>
            <rFont val="Tahoma"/>
            <family val="2"/>
          </rPr>
          <t>Si los datos no están disponibles, no introduzca ceros; deje las celdas de esta tabla en blanco.</t>
        </r>
      </text>
    </comment>
  </commentList>
</comments>
</file>

<file path=xl/sharedStrings.xml><?xml version="1.0" encoding="utf-8"?>
<sst xmlns="http://schemas.openxmlformats.org/spreadsheetml/2006/main" count="609" uniqueCount="434">
  <si>
    <t>TABLERO DE MANDO: VIH</t>
  </si>
  <si>
    <t>VIH - SSF - El Salvador.</t>
  </si>
  <si>
    <t xml:space="preserve">Subvención N°: SLV - H - MINSAL </t>
  </si>
  <si>
    <t>Cuadro de mando: VIH - SSF - El Salvador.</t>
  </si>
  <si>
    <t>Indicadores Financieros</t>
  </si>
  <si>
    <t>Nombre:</t>
  </si>
  <si>
    <t>Definición</t>
  </si>
  <si>
    <t>Mediciones</t>
  </si>
  <si>
    <t>Fuentes de información</t>
  </si>
  <si>
    <r>
      <t xml:space="preserve">Presupuesto acumulado: </t>
    </r>
    <r>
      <rPr>
        <sz val="11"/>
        <color indexed="8"/>
        <rFont val="Arial"/>
        <family val="2"/>
      </rPr>
      <t xml:space="preserve">Importe del presupuesto de la subvención desde el periodo uno (trimestral, cuatrimestral o semestral) de la fase actual, hasta el periodo de referencia del cuadro de mando inclusive.
</t>
    </r>
    <r>
      <rPr>
        <b/>
        <sz val="11"/>
        <color indexed="8"/>
        <rFont val="Arial"/>
        <family val="2"/>
      </rPr>
      <t xml:space="preserve">Desembolsos acumulados realizados por el Fondo Mundial: </t>
    </r>
    <r>
      <rPr>
        <sz val="11"/>
        <color indexed="8"/>
        <rFont val="Arial"/>
        <family val="2"/>
      </rPr>
      <t>Suma de todos los fondos transferidos por el Fondo Mundial al RP o abonados directamente a los proveedores (p. ej. medicamentos, equipo, mosquiteras); hasta el periodo de referencia del cuadro de mando inclusive.</t>
    </r>
  </si>
  <si>
    <t>Moneda de la subvención ($ o euro) Acumulado – Cifras referidas al presupuesto y los desembolsos para todos los periodos de la fase hasta el periodo de referencia del cuadro de mando inclusive</t>
  </si>
  <si>
    <t>Información bancaria o contable del RP; notificación de desembolso del Fondo Mundial; informe de progreso actualizado/solicitud de desembolso; sitio web del Fondo Mundial</t>
  </si>
  <si>
    <r>
      <t>Presupuesto acumulado por objetivo:</t>
    </r>
    <r>
      <rPr>
        <sz val="11"/>
        <color indexed="8"/>
        <rFont val="Arial"/>
        <family val="2"/>
      </rPr>
      <t xml:space="preserve"> Suma del presupuesto de la subvención por Objetivo, desde el periodo uno de la fase actual hasta el periodo de referencia del cuadro de mando inclusive. 
</t>
    </r>
    <r>
      <rPr>
        <b/>
        <sz val="11"/>
        <color indexed="8"/>
        <rFont val="Arial"/>
        <family val="2"/>
      </rPr>
      <t>Gasto acumulado por objetivo:</t>
    </r>
    <r>
      <rPr>
        <sz val="11"/>
        <color indexed="8"/>
        <rFont val="Arial"/>
        <family val="2"/>
      </rPr>
      <t xml:space="preserve"> Suma de las cantidades gastadas por objetivo directamente por el RP más las cantidades transferidas por el RP a todos los subreceptores desde el principio de la fase hasta el periodo de referencia del cuadro de mando inclusive, por objetivo</t>
    </r>
  </si>
  <si>
    <t>• Acumulado – Cifras referidas al presupuesto, los desembolsos o el gasto para todos los periodos de la fase hasta el periodo de referencia del cuadro de mando inclusive.</t>
  </si>
  <si>
    <r>
      <t>Desembolso realizado por el Fondo Mundial: Antes de este periodo de referencia:</t>
    </r>
    <r>
      <rPr>
        <sz val="11"/>
        <color indexed="8"/>
        <rFont val="Arial"/>
        <family val="2"/>
      </rPr>
      <t xml:space="preserve"> Suma de las cantidades transferidas por el Fondo Mundial al RP o abonadas directamente a los proveedores (p. ej. medicamentos, equipo, mosquiteras), hasta, </t>
    </r>
    <r>
      <rPr>
        <b/>
        <i/>
        <sz val="11"/>
        <color indexed="8"/>
        <rFont val="Arial"/>
        <family val="2"/>
      </rPr>
      <t>aunque sin incluirlo,</t>
    </r>
    <r>
      <rPr>
        <sz val="11"/>
        <color indexed="8"/>
        <rFont val="Arial"/>
        <family val="2"/>
      </rPr>
      <t xml:space="preserve"> el periodo de referencia del cuadro de mando. </t>
    </r>
    <r>
      <rPr>
        <b/>
        <sz val="11"/>
        <color indexed="8"/>
        <rFont val="Arial"/>
        <family val="2"/>
      </rPr>
      <t>Desembolso realizado por el Fondo Mundial: Periodo de referencia:</t>
    </r>
    <r>
      <rPr>
        <sz val="11"/>
        <color indexed="8"/>
        <rFont val="Arial"/>
        <family val="2"/>
      </rPr>
      <t xml:space="preserve"> Suma de las cantidades transferidas por el Fondo Mundial al RP o abonadas directamente a los proveedores (p. ej. medicamentos, equipo, mosquiteras), durante el periodo de referencia del cuadro de mando. 
</t>
    </r>
    <r>
      <rPr>
        <b/>
        <sz val="11"/>
        <color indexed="8"/>
        <rFont val="Arial"/>
        <family val="2"/>
      </rPr>
      <t>Desembolsos y gastos del RP:</t>
    </r>
    <r>
      <rPr>
        <sz val="11"/>
        <color indexed="8"/>
        <rFont val="Arial"/>
        <family val="2"/>
      </rPr>
      <t xml:space="preserve"> </t>
    </r>
    <r>
      <rPr>
        <b/>
        <sz val="11"/>
        <color indexed="8"/>
        <rFont val="Arial"/>
        <family val="2"/>
      </rPr>
      <t>Antes de este periodo de referencia:</t>
    </r>
    <r>
      <rPr>
        <sz val="11"/>
        <color indexed="8"/>
        <rFont val="Arial"/>
        <family val="2"/>
      </rPr>
      <t xml:space="preserve"> Total de fondos registrados como gastados por el RP y/o desembolsados a los subreceptores hasta, </t>
    </r>
    <r>
      <rPr>
        <b/>
        <i/>
        <sz val="11"/>
        <color indexed="8"/>
        <rFont val="Arial"/>
        <family val="2"/>
      </rPr>
      <t xml:space="preserve">aunque sin incluirlo, </t>
    </r>
    <r>
      <rPr>
        <sz val="11"/>
        <color indexed="8"/>
        <rFont val="Arial"/>
        <family val="2"/>
      </rPr>
      <t>el periodo de referencia del cuadro de mando.</t>
    </r>
    <r>
      <rPr>
        <b/>
        <sz val="11"/>
        <color indexed="8"/>
        <rFont val="Arial"/>
        <family val="2"/>
      </rPr>
      <t xml:space="preserve"> Desembolsos y gastos del RP: Periodo de referencia:</t>
    </r>
    <r>
      <rPr>
        <sz val="11"/>
        <color indexed="8"/>
        <rFont val="Arial"/>
        <family val="2"/>
      </rPr>
      <t xml:space="preserve"> Total de fondos registrados como gastados por el RP y/o desembolsados a los subreceptores durante el periodo de referencia del cuadro de mando.
</t>
    </r>
    <r>
      <rPr>
        <b/>
        <sz val="11"/>
        <color indexed="8"/>
        <rFont val="Arial"/>
        <family val="2"/>
      </rPr>
      <t xml:space="preserve">Desembolsos a los subreceptores: Antes de este periodo de referencia: </t>
    </r>
    <r>
      <rPr>
        <sz val="11"/>
        <color indexed="8"/>
        <rFont val="Arial"/>
        <family val="2"/>
      </rPr>
      <t xml:space="preserve">El importe total transferido por el RP a los subreceptores, hasta, </t>
    </r>
    <r>
      <rPr>
        <b/>
        <i/>
        <sz val="11"/>
        <color indexed="8"/>
        <rFont val="Arial"/>
        <family val="2"/>
      </rPr>
      <t>aunque sin incluirlo,</t>
    </r>
    <r>
      <rPr>
        <sz val="11"/>
        <color indexed="8"/>
        <rFont val="Arial"/>
        <family val="2"/>
      </rPr>
      <t xml:space="preserve"> el periodo de referencia del cuadro de mando. </t>
    </r>
    <r>
      <rPr>
        <b/>
        <sz val="11"/>
        <color indexed="8"/>
        <rFont val="Arial"/>
        <family val="2"/>
      </rPr>
      <t xml:space="preserve">Desembolsos a los subreceptores: Periodo de referencia: </t>
    </r>
    <r>
      <rPr>
        <sz val="11"/>
        <color indexed="8"/>
        <rFont val="Arial"/>
        <family val="2"/>
      </rPr>
      <t xml:space="preserve">El importe total transferido por el RP a los subreceptores en el periodo de referencia del cuadro de mando.
</t>
    </r>
    <r>
      <rPr>
        <b/>
        <sz val="11"/>
        <color indexed="8"/>
        <rFont val="Arial"/>
        <family val="2"/>
      </rPr>
      <t xml:space="preserve">Gastos de los subreceptores: Antes de este periodo de referencia: </t>
    </r>
    <r>
      <rPr>
        <sz val="11"/>
        <color indexed="8"/>
        <rFont val="Arial"/>
        <family val="2"/>
      </rPr>
      <t xml:space="preserve">El importe de todos los gastos registrados por los subreceptores, hasta, </t>
    </r>
    <r>
      <rPr>
        <b/>
        <i/>
        <sz val="11"/>
        <color indexed="8"/>
        <rFont val="Arial"/>
        <family val="2"/>
      </rPr>
      <t>aunque sin incluirlo,</t>
    </r>
    <r>
      <rPr>
        <sz val="11"/>
        <color indexed="8"/>
        <rFont val="Arial"/>
        <family val="2"/>
      </rPr>
      <t xml:space="preserve"> el periodo de referencia del cuadro de mando. </t>
    </r>
    <r>
      <rPr>
        <b/>
        <sz val="11"/>
        <color indexed="8"/>
        <rFont val="Arial"/>
        <family val="2"/>
      </rPr>
      <t>Gastos de los subreceptores: Periodo de referencia:</t>
    </r>
    <r>
      <rPr>
        <sz val="11"/>
        <color indexed="8"/>
        <rFont val="Arial"/>
        <family val="2"/>
      </rPr>
      <t xml:space="preserve"> El importe de todos los gastos registrados por los subreceptores durante el periodo de referencia del cuadro de mando.</t>
    </r>
  </si>
  <si>
    <r>
      <t xml:space="preserve">Moneda de la subvención ($ o euro)
• Periodo de referencia – Cifras referidas al presupuesto, los desembolsos o el gasto para el periodo de referencia al que alude el cuadro de mando.
• Antes del periodo de referencia - Cifras referidas a todo el presupuesto, los desembolsos o el gasto para todos los periodos antes, </t>
    </r>
    <r>
      <rPr>
        <b/>
        <i/>
        <sz val="11"/>
        <color indexed="8"/>
        <rFont val="Arial"/>
        <family val="2"/>
      </rPr>
      <t>aunque sin incluirlo,</t>
    </r>
    <r>
      <rPr>
        <sz val="11"/>
        <color indexed="8"/>
        <rFont val="Arial"/>
        <family val="2"/>
      </rPr>
      <t xml:space="preserve"> del periodo actual.</t>
    </r>
  </si>
  <si>
    <t>Informe de progreso actualizado/solicitud de desembolso; datos del RP: informes de los subreceptores al RP</t>
  </si>
  <si>
    <r>
      <t xml:space="preserve">Días tardados en enviar el informe de progreso actualizado y solicitud de desembolso al ALF – </t>
    </r>
    <r>
      <rPr>
        <sz val="11"/>
        <color indexed="8"/>
        <rFont val="Arial"/>
        <family val="2"/>
      </rPr>
      <t xml:space="preserve">Este indicador mide el número de días naturales que el RP ha tardado en enviar un informe de progreso actualizado y solicitud de desembolso final al ALF desde el final del periodo. Un informe de progreso actualizado y solicitud de desembolso final cuando el ALF no necesita más aclaraciones del RP.
El valor esperado es de 45 días a partir del final del periodo, según se establece en el acuerdo de subvención.
El valor real es el número de días naturales desde la fecha de finalización del periodo hasta la fecha en la que el RP ha enviado al ALF el informe de progreso actualizado y solicitud de desembolso final.
</t>
    </r>
    <r>
      <rPr>
        <b/>
        <sz val="11"/>
        <color indexed="8"/>
        <rFont val="Arial"/>
        <family val="2"/>
      </rPr>
      <t xml:space="preserve">Días que el desembolso ha tardado en llegar al RP – </t>
    </r>
    <r>
      <rPr>
        <sz val="11"/>
        <color indexed="8"/>
        <rFont val="Arial"/>
        <family val="2"/>
      </rPr>
      <t xml:space="preserve">Este indicador mide el número de días naturales que el Fondo Mundial ha tardado en enviar el último desembolso a la cuenta del RP tras la recepción del informe de progreso actualizado y solicitud de desembolso final aceptable por parte del ALF. 
El número esperado es de 45 días. 
El número real es el número de días desde la fecha de transmisión del RP al ALF del informe de progreso actualizado y solicitud de desembolso final aceptable hasta la fecha en la que el desembolso ha sido recibido por el RP en su banco.
</t>
    </r>
    <r>
      <rPr>
        <b/>
        <sz val="11"/>
        <color indexed="8"/>
        <rFont val="Arial"/>
        <family val="2"/>
      </rPr>
      <t xml:space="preserve">Días que el desembolso ha tardado en llegar a los subreceptores – </t>
    </r>
    <r>
      <rPr>
        <sz val="11"/>
        <color indexed="8"/>
        <rFont val="Arial"/>
        <family val="2"/>
      </rPr>
      <t>Este indicador mide la media de días en la que los desembolsos se han realizado a todos los subreceptores.
Los días esperados para este indicador se establecerán en el país por el RP y los subreceptores, preferiblemente en el Manual de Operaciones de la Subvención. 
Los días reales son la media de días desde que el RP recibió los fondos procedentes del Fondo Mundial hasta la fecha en la que los recibieron todos los subreceptores. Los distintos subreceptores pudieron recibir los fondos en fechas distintas, por lo que este indicador es la media de todos los subreceptores en relación al último desembolso.</t>
    </r>
  </si>
  <si>
    <r>
      <t xml:space="preserve">Número de días naturales; se refiere sólo al periodo de referencia para el que se recibió el último desembolso y </t>
    </r>
    <r>
      <rPr>
        <b/>
        <sz val="11"/>
        <color indexed="8"/>
        <rFont val="Arial"/>
        <family val="2"/>
      </rPr>
      <t>no es acumulado</t>
    </r>
  </si>
  <si>
    <t>Correos electrónicos y registros del RP, ALF y el Fondo Mundial; documentos de notificación bancaria o acuse de recibo por parte del RP al Fondo Mundial; informes de los subreceptores al RP según los registros bancarios</t>
  </si>
  <si>
    <t>Indicadores de gestión</t>
  </si>
  <si>
    <t>Fuente de información</t>
  </si>
  <si>
    <r>
      <t xml:space="preserve">Número de condiciones precedentes y acciones con fecha límite, cumplidas o incumplidas. 
</t>
    </r>
    <r>
      <rPr>
        <sz val="11"/>
        <color indexed="8"/>
        <rFont val="Arial"/>
        <family val="2"/>
      </rPr>
      <t>Cumplidas: Se refieren al número de las condiciones precedentes y acciones con fecha límite que se han llevado a cabo dentro el período establecido. 
No cumplidas: Se refiere al número de las condiciones precedentes y acciones con fecha límite incumplidas, diferenciando las que cuya fecha aún no ha pasado de su fecha límite con aquellas para los que el plazo ya se han pasado del tiempo establecido.</t>
    </r>
  </si>
  <si>
    <t>Número, acumulado hasta el periodo de referencia del cuadro de mando. El número de condiciones precedentes y actuaciones enmarcadas dentro de un calendario cumplidas más condiciones precedentes y actuaciones enmarcadas dentro de un calendario incumplidas debe ser igual al número total establecido por el Fondo Mundial en la subvención</t>
  </si>
  <si>
    <t>Registros del RP; informes de desempeño de la subvención;</t>
  </si>
  <si>
    <r>
      <t>Número de puestos directivos planificados de la subvención del RP actualmente cubiertos o vacantes.</t>
    </r>
    <r>
      <rPr>
        <sz val="11"/>
        <color indexed="8"/>
        <rFont val="Arial"/>
        <family val="2"/>
      </rPr>
      <t xml:space="preserve"> Puestos directos de tiempo completo que están en el organigrama (o planificados de otra forma) y que son directamente responsables de garantizar la ejecución de la subvención en el RP y dirigir a los subreceptores (si es necesario). Incluye las nuevas contrataciones, el personal actual asignado a la gestión de la subvención, así como cualquier otro personal trasladado temporalmente de otras divisiones y organizaciones asociadas.</t>
    </r>
  </si>
  <si>
    <t>Número, en el actual periodo de referencia</t>
  </si>
  <si>
    <t>Registros del RP</t>
  </si>
  <si>
    <r>
      <t xml:space="preserve">
</t>
    </r>
    <r>
      <rPr>
        <b/>
        <sz val="11"/>
        <color indexed="8"/>
        <rFont val="Arial"/>
        <family val="2"/>
      </rPr>
      <t xml:space="preserve">Identificados: </t>
    </r>
    <r>
      <rPr>
        <sz val="11"/>
        <color indexed="8"/>
        <rFont val="Arial"/>
        <family val="2"/>
      </rPr>
      <t xml:space="preserve">Número total de subreceptores potenciales identificados por el RP para la fase. </t>
    </r>
    <r>
      <rPr>
        <b/>
        <sz val="11"/>
        <color indexed="8"/>
        <rFont val="Arial"/>
        <family val="2"/>
      </rPr>
      <t xml:space="preserve">Evaluados: </t>
    </r>
    <r>
      <rPr>
        <sz val="11"/>
        <color indexed="8"/>
        <rFont val="Arial"/>
        <family val="2"/>
      </rPr>
      <t xml:space="preserve">Número total de subreceptores potenciales evaluados por el RP para determinar si cumplen los requisitos para actuar como subreceptores de la subvención. </t>
    </r>
    <r>
      <rPr>
        <b/>
        <sz val="11"/>
        <color indexed="8"/>
        <rFont val="Arial"/>
        <family val="2"/>
      </rPr>
      <t>Aprobados:</t>
    </r>
    <r>
      <rPr>
        <sz val="11"/>
        <color indexed="8"/>
        <rFont val="Arial"/>
        <family val="2"/>
      </rPr>
      <t xml:space="preserve"> Número total de subreceptores que han sido aprobados</t>
    </r>
    <r>
      <rPr>
        <b/>
        <sz val="11"/>
        <color indexed="8"/>
        <rFont val="Arial"/>
        <family val="2"/>
      </rPr>
      <t xml:space="preserve">. Firmados: </t>
    </r>
    <r>
      <rPr>
        <sz val="11"/>
        <color indexed="8"/>
        <rFont val="Arial"/>
        <family val="2"/>
      </rPr>
      <t xml:space="preserve">Número total de subreceptores que han firmado acuerdos o contratos con el RP en relación a la subvención. </t>
    </r>
    <r>
      <rPr>
        <b/>
        <sz val="11"/>
        <color indexed="8"/>
        <rFont val="Arial"/>
        <family val="2"/>
      </rPr>
      <t xml:space="preserve">Que reciben financiación: </t>
    </r>
    <r>
      <rPr>
        <sz val="11"/>
        <color indexed="8"/>
        <rFont val="Arial"/>
        <family val="2"/>
      </rPr>
      <t xml:space="preserve">Número total de subreceptores que están recibiendo fondos y/o provisiones del RP.
Los números de subreceptores identificados, evaluados, firmados y que reciben fondos son acumulados para la fase, con las siguientes excepciones:  
Si un subreceptor no necesita una nueva aprobación en la Fase II, se tiene en cuenta la aprobación de la Fase I. 
Si un subreceptor ha firmado en la fase anterior, pero </t>
    </r>
    <r>
      <rPr>
        <b/>
        <sz val="11"/>
        <color indexed="8"/>
        <rFont val="Arial"/>
        <family val="2"/>
      </rPr>
      <t>no</t>
    </r>
    <r>
      <rPr>
        <sz val="11"/>
        <color indexed="8"/>
        <rFont val="Arial"/>
        <family val="2"/>
      </rPr>
      <t xml:space="preserve"> está trabajando en la fase actual, dicho subreceptor ya no se tiene en cuenta en Identificados, evaluados, aprobados.</t>
    </r>
  </si>
  <si>
    <t>Número, acumulado hasta el periodo de referencia. Un subreceptor es una institución o programa con un plan de trabajo, un presupuesto y unas metas de cumplimiento propios.</t>
  </si>
  <si>
    <t>Registros del RP; subacuerdos / memorandos de entendimiento; registros del MCP</t>
  </si>
  <si>
    <t xml:space="preserve">El número total de informes periódicos con información (del programa) financiera, de gestión y de rendimiento actualizada recibida por el RP de parte de los subreceptores y por los subreceptores de parte de los sub subreceptores en la fecha esperada. Un informe “completo” es aquel que contiene toda la información que el RP exige para el informe de progreso actualizado y solicitud de desembolso.
La fecha esperada sería establecida por el RP en los subacuerdos. </t>
  </si>
  <si>
    <r>
      <t xml:space="preserve">Número de informes recibidos. La cifra refleja sólo el periodo de referencia; no es </t>
    </r>
    <r>
      <rPr>
        <b/>
        <i/>
        <sz val="11"/>
        <color indexed="8"/>
        <rFont val="Arial"/>
        <family val="2"/>
      </rPr>
      <t>acumulada.</t>
    </r>
  </si>
  <si>
    <t>Registros del RP y el subreceptor</t>
  </si>
  <si>
    <r>
      <t xml:space="preserve">Este indicador mide el presupuesto aprobado para la fase actual de la subvención para la compra de productos y equipos sanitarios, productos farmacéuticos y medicinas (categorías 4 y 5 en los nuevos Informes Financieros Mejorados) y las cantidades acumuladas de las obligaciones financieras y gastos hasta el periodo de referencia del cuadro de mando. 
Presupuesto </t>
    </r>
    <r>
      <rPr>
        <b/>
        <sz val="11"/>
        <color indexed="8"/>
        <rFont val="Arial"/>
        <family val="2"/>
      </rPr>
      <t xml:space="preserve">aprobado: </t>
    </r>
    <r>
      <rPr>
        <sz val="11"/>
        <color indexed="8"/>
        <rFont val="Arial"/>
        <family val="2"/>
      </rPr>
      <t xml:space="preserve">Presupuesto total aprobado para las compras (categorías 4 y 5) </t>
    </r>
    <r>
      <rPr>
        <b/>
        <i/>
        <sz val="11"/>
        <color indexed="8"/>
        <rFont val="Arial"/>
        <family val="2"/>
      </rPr>
      <t>para la fase completa</t>
    </r>
    <r>
      <rPr>
        <i/>
        <sz val="11"/>
        <color indexed="8"/>
        <rFont val="Arial"/>
        <family val="2"/>
      </rPr>
      <t xml:space="preserve"> </t>
    </r>
    <r>
      <rPr>
        <sz val="11"/>
        <color indexed="8"/>
        <rFont val="Arial"/>
        <family val="2"/>
      </rPr>
      <t xml:space="preserve">de la subvención. No incluye las sumas para honorarios, gastos de gestión, gastos operativos, etc.
</t>
    </r>
    <r>
      <rPr>
        <b/>
        <sz val="11"/>
        <color indexed="8"/>
        <rFont val="Arial"/>
        <family val="2"/>
      </rPr>
      <t>Obligaciones acumuladas:</t>
    </r>
    <r>
      <rPr>
        <sz val="11"/>
        <color indexed="8"/>
        <rFont val="Arial"/>
        <family val="2"/>
      </rPr>
      <t xml:space="preserve"> Total de todos los pedidos realizados y sumas de dinero comprometidas para estas compras por parte del RP </t>
    </r>
    <r>
      <rPr>
        <b/>
        <i/>
        <sz val="11"/>
        <color indexed="8"/>
        <rFont val="Arial"/>
        <family val="2"/>
      </rPr>
      <t xml:space="preserve">hasta </t>
    </r>
    <r>
      <rPr>
        <sz val="11"/>
        <color indexed="8"/>
        <rFont val="Arial"/>
        <family val="2"/>
      </rPr>
      <t xml:space="preserve">el periodo de referencia del cuadro de mando inclusive. Lo ideal es que, al final de la fase, el presupuesto iguale a las obligaciones.
</t>
    </r>
    <r>
      <rPr>
        <b/>
        <sz val="11"/>
        <color indexed="8"/>
        <rFont val="Arial"/>
        <family val="2"/>
      </rPr>
      <t>Gasto acumulado:</t>
    </r>
    <r>
      <rPr>
        <sz val="11"/>
        <color indexed="8"/>
        <rFont val="Arial"/>
        <family val="2"/>
      </rPr>
      <t xml:space="preserve"> Total del gasto real en las categorías 4 y 5 </t>
    </r>
    <r>
      <rPr>
        <b/>
        <i/>
        <sz val="11"/>
        <color indexed="8"/>
        <rFont val="Arial"/>
        <family val="2"/>
      </rPr>
      <t>hasta</t>
    </r>
    <r>
      <rPr>
        <sz val="11"/>
        <color indexed="8"/>
        <rFont val="Arial"/>
        <family val="2"/>
      </rPr>
      <t xml:space="preserve"> el periodo de referencia del cuadro de mando inclusive (tanto si ha sido pagado por el RP como si ha sido autorizado a ser abonado por otra entidad, como el Fondo Mundial u otro).</t>
    </r>
  </si>
  <si>
    <t>Moneda de la subvención ($ o euro)</t>
  </si>
  <si>
    <t>Presupuesto aprobado del acuerdo de subvención (para las categorías 4 y 5 de los informes financieros mejorados de la fase actual); y datos financieros del RP (para gastos) y/o unidades de gestión de adquisición y suministro (para pedidos realizados y fondos comprometidos u obligados).</t>
  </si>
  <si>
    <r>
      <t xml:space="preserve">Nota: </t>
    </r>
    <r>
      <rPr>
        <sz val="11"/>
        <color indexed="8"/>
        <rFont val="Arial"/>
        <family val="2"/>
      </rPr>
      <t xml:space="preserve">La categoría 6 de los Informes Financieros Mejorados no será considerada como parte del presupuesto de productos farmacéuticos. La categoría 6 tiene diversos gastos que resultan difíciles de separar o cuantificar, tales como gastos de depósito, costos de distribución (especialmente cuando la distribución es realizada por los Ministerios de Sanidad) y otros relacionados con los costos operativos de la gestión de adquisición y suministro. </t>
    </r>
  </si>
  <si>
    <t xml:space="preserve">Este indicador es un reflejo de la diferencia entre el nivel de existencias actuales (o del último mes) de un producto específico (combinaciones en dosis fija de medicamentos, mosquitero, equipos de diagnóstico, etc.) de una dosis determinada, expresada en necesidades mensuales (número de meses de tratamiento disponible) para todos los pacientes del programa y las existencias de seguridad o de regulación (también expresado en meses) según se establece en el programa de la enfermedad, el sistema de almacenamiento o el programa de medicamentos esenciales, para el determinado producto o dosis.  
La tabla mostrará la diferencia de los meses en colores:
• ROJO: cuando la diferencia es negativa o 0 y muestra que los meses de las existencias actuales son inferiores o iguales a los que han sido establecidos como meses de existencias de seguridad
• AMARILLO: cuando disponemos de más que el nivel de existencias de seguridad (&gt;0), pero menos de 3 meses (+3).
• VERDE: cuando la diferencia es entre 3 y 18 meses.
• VIOLETA: Cuando la diferencia muestra que el nivel sobre las existencias de seguridad es mayor o igual a 18 meses, lo que indica un posible problema de excedentes de existencias.
Para ver una descripción completa de la forma de cálculo de este indicador, consulte el Manual de Usuario.
</t>
  </si>
  <si>
    <t>Número de meses</t>
  </si>
  <si>
    <t>Registros del RP: datos de almacenamiento.</t>
  </si>
  <si>
    <t>Indicadores del programa (del Marco de Referencia)</t>
  </si>
  <si>
    <t>Indicador</t>
  </si>
  <si>
    <t>Definición (del Plan de Monitoreo y Evaluación, junio de 2007)</t>
  </si>
  <si>
    <t xml:space="preserve">Los indicadores deben ser seleccionados del Marco de Referencia por los RP y los miembros del MCP o del Comité Técnico del MCP </t>
  </si>
  <si>
    <t>Marco de referencia</t>
  </si>
  <si>
    <t>Información de la subvención</t>
  </si>
  <si>
    <t>País:</t>
  </si>
  <si>
    <t>El Salvador</t>
  </si>
  <si>
    <t>Título de la subvención:</t>
  </si>
  <si>
    <t>INNOVANDO SERVICIOS, REDUCIENDO RIESGOS, RENOVANDO VIDAS EN EL SALVADOR</t>
  </si>
  <si>
    <t>Subvención nº:</t>
  </si>
  <si>
    <t>SLV - H - MINSAL</t>
  </si>
  <si>
    <t>Componente:</t>
  </si>
  <si>
    <t>VIH / SIDA</t>
  </si>
  <si>
    <t>Financiación total:</t>
  </si>
  <si>
    <t>Receptor Principal:</t>
  </si>
  <si>
    <t xml:space="preserve">Ministerio de Salud </t>
  </si>
  <si>
    <t>Convocatoria:</t>
  </si>
  <si>
    <t>SSF/NMF</t>
  </si>
  <si>
    <t>Fase:</t>
  </si>
  <si>
    <t>Fase 2</t>
  </si>
  <si>
    <t>Fecha de inicio (dd/mm/aa):</t>
  </si>
  <si>
    <t>Agente Local del Fondo:</t>
  </si>
  <si>
    <t>JACOBS</t>
  </si>
  <si>
    <t>Ultima calificación:</t>
  </si>
  <si>
    <t>B2</t>
  </si>
  <si>
    <t>Gerente de Cartera del Fondo:</t>
  </si>
  <si>
    <t>Periodo de referencia del que se informa</t>
  </si>
  <si>
    <t>Periodo:</t>
  </si>
  <si>
    <t>P1</t>
  </si>
  <si>
    <t>Desde:</t>
  </si>
  <si>
    <t>Hasta:</t>
  </si>
  <si>
    <t>Fecha de introducción de la información:</t>
  </si>
  <si>
    <t>Elaborado por:</t>
  </si>
  <si>
    <t>Información sobre los indicadores</t>
  </si>
  <si>
    <t>Introduzca los datos según el código de colores de las celdas</t>
  </si>
  <si>
    <t xml:space="preserve">Información financiera: </t>
  </si>
  <si>
    <t xml:space="preserve">Información de gestión: </t>
  </si>
  <si>
    <t xml:space="preserve">Información de programa: </t>
  </si>
  <si>
    <t xml:space="preserve">     Introduzca los datos financieros en todas las celdas naranjas como ésta.</t>
  </si>
  <si>
    <t>Moneda de la subvención</t>
  </si>
  <si>
    <t>$</t>
  </si>
  <si>
    <t>F1: Presupuesto y desembolsos del Fondo Mundial</t>
  </si>
  <si>
    <t>Desembolsos</t>
  </si>
  <si>
    <t>Periodo de referencia</t>
  </si>
  <si>
    <t>P2</t>
  </si>
  <si>
    <t>P3</t>
  </si>
  <si>
    <t>P4</t>
  </si>
  <si>
    <t>P5</t>
  </si>
  <si>
    <t>P6</t>
  </si>
  <si>
    <t>P7</t>
  </si>
  <si>
    <t>P8</t>
  </si>
  <si>
    <t>P9</t>
  </si>
  <si>
    <t>P10</t>
  </si>
  <si>
    <t>P11</t>
  </si>
  <si>
    <t>P12</t>
  </si>
  <si>
    <t>% del presupuesto desembolsado</t>
  </si>
  <si>
    <t>Presupuesto acumulado</t>
  </si>
  <si>
    <t>Desembolsos  acumulados</t>
  </si>
  <si>
    <t>Total</t>
  </si>
  <si>
    <t>F3: Desembolsos y gastos</t>
  </si>
  <si>
    <t>Anterior al periodo de referencia</t>
  </si>
  <si>
    <t>Periodo de referencia actual</t>
  </si>
  <si>
    <t>Desembolsado por el Fondo Mundial</t>
  </si>
  <si>
    <t>F4: Último ciclo de información y desembolso del RP</t>
  </si>
  <si>
    <t>Último desembolso de fondos: Número de días calendario</t>
  </si>
  <si>
    <t>(Días) esperados</t>
  </si>
  <si>
    <t>(Días) reales</t>
  </si>
  <si>
    <t>Días tardados en presentar el informe de progreso actualizado y solicitud de desembolso al ALF</t>
  </si>
  <si>
    <t>Días que el desembolso ha tardado en llegar al RP</t>
  </si>
  <si>
    <t xml:space="preserve">Días que el desembolso ha tardado en llegar a los subreceptores </t>
  </si>
  <si>
    <t>Información de gestión:</t>
  </si>
  <si>
    <t xml:space="preserve">     Introduzca los datos de gestión en todas las celdas azules.</t>
  </si>
  <si>
    <t>M1: Estado de las condiciones precedentes y acciones con fecha límite</t>
  </si>
  <si>
    <t>Cumplidas</t>
  </si>
  <si>
    <t>No cumplidas, aunque dentro de plazo</t>
  </si>
  <si>
    <t>No cumplidas y con el plazo vencido</t>
  </si>
  <si>
    <t>Condiciones precedentes</t>
  </si>
  <si>
    <t>Acciones con fecha límite</t>
  </si>
  <si>
    <t xml:space="preserve">Reportar cuales son no cumplidas con sus justificaciones </t>
  </si>
  <si>
    <t>M2: Estado de los principales puestos directivos del RP</t>
  </si>
  <si>
    <t>Planificados</t>
  </si>
  <si>
    <t>Cubiertos</t>
  </si>
  <si>
    <t>Vacantes</t>
  </si>
  <si>
    <t>Unidad de gestión de proyecto</t>
  </si>
  <si>
    <t xml:space="preserve">M3: Acuerdos contractuales (gestores de compra de bienes y servicios) </t>
  </si>
  <si>
    <t>Identificados</t>
  </si>
  <si>
    <t>Evaluados</t>
  </si>
  <si>
    <t>Aprobados</t>
  </si>
  <si>
    <t>Firmados</t>
  </si>
  <si>
    <t>Que reciben financiación</t>
  </si>
  <si>
    <t>Subreceptores</t>
  </si>
  <si>
    <t>N/A</t>
  </si>
  <si>
    <t>M4: Número de informes completos recibidos a tiempo</t>
  </si>
  <si>
    <t>Esperados</t>
  </si>
  <si>
    <t>Recibidos</t>
  </si>
  <si>
    <t>Pendientes</t>
  </si>
  <si>
    <t>Sub SR al SR</t>
  </si>
  <si>
    <t>Personal Técnico al RP</t>
  </si>
  <si>
    <t>M5: Presupuesto y compra de productos y equipo sanitario, medicamentos y productos farmacéuticos</t>
  </si>
  <si>
    <t>Presupuesto aprobado*</t>
  </si>
  <si>
    <t>Compromisos ( Compra UACI)</t>
  </si>
  <si>
    <t>Gastos</t>
  </si>
  <si>
    <t>Presupuesto aprobado acumulado*</t>
  </si>
  <si>
    <t>Obligaciones acumuladas</t>
  </si>
  <si>
    <t>Gastos acumulados</t>
  </si>
  <si>
    <t>* Incluye sólo los montos de las categorías 4 y 5 (Productos y equipamientos sanitarios y Medicamentos y productos farmacéuticos) de los  Informes Financieros Mejorados</t>
  </si>
  <si>
    <t>M6: Diferencia entre existencias actuales y existencias de seguridad</t>
  </si>
  <si>
    <t>Componente</t>
  </si>
  <si>
    <t>Productos</t>
  </si>
  <si>
    <t>(1)
Número de pastillas por paciente/día
(Revisión de las normas de tratamiento del país)</t>
  </si>
  <si>
    <t>(2 = 1 x 30)
Tratamiento mensual 
(Pastillas por paciente cada 30 días)</t>
  </si>
  <si>
    <t>(3)
Número total de pacientes en tratamiento</t>
  </si>
  <si>
    <t>(4 = 2 x 3)
Número total de pastillas que se necesitan para todos los pacientes durante un mes</t>
  </si>
  <si>
    <t>(5)
Existencias actuales en el almacén central (que no caducarán en los próximos 3 meses)</t>
  </si>
  <si>
    <t>(6 = 5 / 4)
Nivel de existencias expresado en meses de tratamiento para todos los pacientes actuales</t>
  </si>
  <si>
    <t xml:space="preserve">(7)
Nivel de existencias de seguridad
(expresado en meses y diferenciado por países) </t>
  </si>
  <si>
    <t>(8 = 6 - 7)
Diferencia entre existencias actuales y existencias de seguridad</t>
  </si>
  <si>
    <t>VIH/SIDA</t>
  </si>
  <si>
    <t>Efavirenz 600 mg/Emtricitabina 200 mg/tenofovir 300 mg</t>
  </si>
  <si>
    <t>Información de programa:</t>
  </si>
  <si>
    <t xml:space="preserve">     Introduzca los datos de desempeño en todas las celdas amarillas.</t>
  </si>
  <si>
    <t>Indicadores de programa (Marco de Referencia)</t>
  </si>
  <si>
    <t>Código</t>
  </si>
  <si>
    <t>¿Directamente vinculados?</t>
  </si>
  <si>
    <t>Comentarios</t>
  </si>
  <si>
    <t>3 PRIMEROS</t>
  </si>
  <si>
    <t>TCS-1 Número y porcentaje de adultos y niños elegible que actualmente recibe terapia antirretroviral</t>
  </si>
  <si>
    <t>Top Ten</t>
  </si>
  <si>
    <t>Yes</t>
  </si>
  <si>
    <t>Meta</t>
  </si>
  <si>
    <t>Logro</t>
  </si>
  <si>
    <r>
      <t>KP-3</t>
    </r>
    <r>
      <rPr>
        <vertAlign val="superscript"/>
        <sz val="14"/>
        <rFont val="Arial"/>
        <family val="2"/>
      </rPr>
      <t>a</t>
    </r>
    <r>
      <rPr>
        <sz val="14"/>
        <rFont val="Arial"/>
        <family val="2"/>
      </rPr>
      <t xml:space="preserve">  Número y porcentaje de hombres que tienen sexo con hombres que se sometieron a las pruebas y consejería del VIH y que recibieron sus resultados</t>
    </r>
  </si>
  <si>
    <t>KP-3c Número y porcentaje de trabajadores sexuales que se sometieron a las pruebas y consejería del VIH y que recibieron sus resultados</t>
  </si>
  <si>
    <t xml:space="preserve"> Top Ten</t>
  </si>
  <si>
    <t>KP-3b Número y porcentaje de personas transgénero que se sometieron a las pruebas y consejería del VIH y que recibieron sus resultados</t>
  </si>
  <si>
    <t>KP-3e Número de personas privadas de libertad que se sometieron a las pruebas y consejería del VIH y que recibieron sus resultados</t>
  </si>
  <si>
    <t>INDICADORES DE IMPACTO Y RESULTADOS</t>
  </si>
  <si>
    <r>
      <t>HIV I-9</t>
    </r>
    <r>
      <rPr>
        <vertAlign val="superscript"/>
        <sz val="14"/>
        <rFont val="Arial"/>
        <family val="2"/>
      </rPr>
      <t>a</t>
    </r>
    <r>
      <rPr>
        <sz val="14"/>
        <rFont val="Arial"/>
        <family val="2"/>
      </rPr>
      <t xml:space="preserve">    % de Hombres que tienen relaciones sexuales con hombres infectados por el VIH </t>
    </r>
  </si>
  <si>
    <t>Impacto</t>
  </si>
  <si>
    <t>HIV I-10   % de Trabajadoras sexuales  femeninas y masculinos infectados por el VIH</t>
  </si>
  <si>
    <t>HIV I-9b   % de Población Transgénero infectada por el VIH</t>
  </si>
  <si>
    <r>
      <t>HIV O-4</t>
    </r>
    <r>
      <rPr>
        <vertAlign val="superscript"/>
        <sz val="14"/>
        <rFont val="Arial"/>
        <family val="2"/>
      </rPr>
      <t xml:space="preserve">a  </t>
    </r>
    <r>
      <rPr>
        <sz val="14"/>
        <rFont val="Arial"/>
        <family val="2"/>
      </rPr>
      <t xml:space="preserve"> % de Hombres que reportan haber utilizado condón en su ultima relación sexual anal con una pareja masculina</t>
    </r>
  </si>
  <si>
    <t>Resultados</t>
  </si>
  <si>
    <t xml:space="preserve">Resultados </t>
  </si>
  <si>
    <t>HIV O-1: % de adultos y niños con VIH quienes continúan en tratamiento 12 meses después de haber iniciado la terapia</t>
  </si>
  <si>
    <t xml:space="preserve"> </t>
  </si>
  <si>
    <t>Fecha de inicio:</t>
  </si>
  <si>
    <t>Financiación total</t>
  </si>
  <si>
    <t>Receptor principal:</t>
  </si>
  <si>
    <t>Periodo de referencia:</t>
  </si>
  <si>
    <t>desde:</t>
  </si>
  <si>
    <t>hasta:</t>
  </si>
  <si>
    <t>Última calificación:</t>
  </si>
  <si>
    <t>Fecha de elaboración del informe:</t>
  </si>
  <si>
    <t>Indicadores financieros</t>
  </si>
  <si>
    <t>Comentarios:</t>
  </si>
  <si>
    <t>Periodo Actual</t>
  </si>
  <si>
    <t>Periodo Anterior</t>
  </si>
  <si>
    <t xml:space="preserve">Comentarios: </t>
  </si>
  <si>
    <t>Último desembolso de fondos: Días calendario</t>
  </si>
  <si>
    <t>El RP MINSAL cuenta con los principales puestos directivos, no hay puestos vacantes.</t>
  </si>
  <si>
    <t>Nivel de existencias expresado en meses de tratamiento para todos los pacientes actuales.</t>
  </si>
  <si>
    <t>Meses de existencias de seguridad</t>
  </si>
  <si>
    <t>Diferencia entre existencias actuales y existencias de seguridad</t>
  </si>
  <si>
    <t xml:space="preserve">                P7</t>
  </si>
  <si>
    <t>máx.</t>
  </si>
  <si>
    <t>Clasificación</t>
  </si>
  <si>
    <t>Indicadores de programa:</t>
  </si>
  <si>
    <t>KP-3c Número y porcentaje de trabajadoras sexuales que se sometieron a las pruebas y consejería del VIH y que recibieron sus resultados</t>
  </si>
  <si>
    <t>Comentario:</t>
  </si>
  <si>
    <t>Indicadores</t>
  </si>
  <si>
    <t>Lograda al 30 de junio</t>
  </si>
  <si>
    <t>0% - 59%</t>
  </si>
  <si>
    <t>60% - 89%</t>
  </si>
  <si>
    <t>&gt; 90%</t>
  </si>
  <si>
    <t>¿Cumplen lo acordado la adquisición y la contratación?</t>
  </si>
  <si>
    <t>Gestión</t>
  </si>
  <si>
    <t>Comentarios resumidos</t>
  </si>
  <si>
    <t>Recomendaciones</t>
  </si>
  <si>
    <t xml:space="preserve">El resultado alcanzado refleja el trabajo  realizado en conjunto  por la integración intersectorial,   desde hace 7 años, entre el Programa Nacional de VIH, personal de centros penales, personal de salud y grupos de apoyo que a traves de la metodología de pares se han capacitado a facilitadores de la población privada de libertad quienes posteriormente son los encargados de realizar las  intervenciones  de prevención, adherencia, estigma y discriminación, pre y pos consejerías; con las unidades móviles institucionales ( personal de laboratorio)  se les brinda tamizaje con la prueba del VIH a  esta población privada de libertad. Meta alcanzada y superada con un logro de cobertura del 107%. </t>
  </si>
  <si>
    <t>INDICADORES DE IMPACTO</t>
  </si>
  <si>
    <t>¿Se están ejecutando los fondos de acuerdo al presupuesto?</t>
  </si>
  <si>
    <t>Financiera</t>
  </si>
  <si>
    <t>F1</t>
  </si>
  <si>
    <t>F2</t>
  </si>
  <si>
    <t>F3</t>
  </si>
  <si>
    <t>F4</t>
  </si>
  <si>
    <t>¿Están las adquisiciones y contrataciones ejecutándose en el tiempo previsto?</t>
  </si>
  <si>
    <t>M1</t>
  </si>
  <si>
    <t>M2</t>
  </si>
  <si>
    <t>M3</t>
  </si>
  <si>
    <t>M4</t>
  </si>
  <si>
    <t>M5</t>
  </si>
  <si>
    <t>M6</t>
  </si>
  <si>
    <t>¿Se están alcanzando las metas programáticas?</t>
  </si>
  <si>
    <t>Programa</t>
  </si>
  <si>
    <t>P1 - tendencia</t>
  </si>
  <si>
    <t>P2 - tendencia</t>
  </si>
  <si>
    <t>P3 - tendencia</t>
  </si>
  <si>
    <t>Decisiones y acciones</t>
  </si>
  <si>
    <t>¿Cuál es el estado general de la ejecución de esta subvención?</t>
  </si>
  <si>
    <t>Principales recomendaciones del Comité de Monitoreo Estratégico</t>
  </si>
  <si>
    <t>Decisión del MCP</t>
  </si>
  <si>
    <t>Fecha límite para ejecutarla</t>
  </si>
  <si>
    <t>Persona responsable</t>
  </si>
  <si>
    <t xml:space="preserve">Indicador kp -3a. MINSAL debera coordinar como reportar la pre y post consejerias alcanzadas por PEPFAR / PASMO en el periodo, que abonan al indicador. </t>
  </si>
  <si>
    <t xml:space="preserve">Indicador kp -3c. MINSAL debera coordinar como reportar la pre y post consejerias alcanzadas por PEPFAR / PASMO en el periodo, que abonan al indicador. </t>
  </si>
  <si>
    <t>Indicador HIV 04 b, presentar el instrumento utilizado para recoleccion del dato, y explicar como esta construido el indicador (el comité solicita clarificar y amplir la justificacion de este indicador y explicar la metodologia de calculo)</t>
  </si>
  <si>
    <t>Acciones programadas / Periodo anterior</t>
  </si>
  <si>
    <t>¿Cuál es el estado general de la ejecución de estas acciones?</t>
  </si>
  <si>
    <t>Acción realizada</t>
  </si>
  <si>
    <t>Periodo de referencia anterior</t>
  </si>
  <si>
    <t>Set-up = List of validation for Grant Detail page</t>
  </si>
  <si>
    <t>Component</t>
  </si>
  <si>
    <t>Currency</t>
  </si>
  <si>
    <t>Round</t>
  </si>
  <si>
    <t>Phase</t>
  </si>
  <si>
    <t>Period</t>
  </si>
  <si>
    <t>Rating</t>
  </si>
  <si>
    <t>LFA</t>
  </si>
  <si>
    <t>Medicaments</t>
  </si>
  <si>
    <t>Countries</t>
  </si>
  <si>
    <t>Seleccionar</t>
  </si>
  <si>
    <t>Ronda 1</t>
  </si>
  <si>
    <t>Fase 1</t>
  </si>
  <si>
    <t>A1</t>
  </si>
  <si>
    <t>CA (Crown Agents)</t>
  </si>
  <si>
    <t>PASER</t>
  </si>
  <si>
    <t>Antigua y Barbuda</t>
  </si>
  <si>
    <t>MALARIA</t>
  </si>
  <si>
    <t>€</t>
  </si>
  <si>
    <t>Ronda 2</t>
  </si>
  <si>
    <t>A2</t>
  </si>
  <si>
    <t>DEL (Deloitte)</t>
  </si>
  <si>
    <t>Cicloserina 250mg</t>
  </si>
  <si>
    <t>Antillas Holandesas</t>
  </si>
  <si>
    <t>TB</t>
  </si>
  <si>
    <t>Ronda 3</t>
  </si>
  <si>
    <t>RCC</t>
  </si>
  <si>
    <t>B1</t>
  </si>
  <si>
    <t>DTT (DTT Emerging Markets)</t>
  </si>
  <si>
    <t>Kanamicina 1gr</t>
  </si>
  <si>
    <t>Argentina</t>
  </si>
  <si>
    <t>VIHSIDA / TB</t>
  </si>
  <si>
    <t>Ronda 4</t>
  </si>
  <si>
    <t>FIN (Finconsult)</t>
  </si>
  <si>
    <t>Etionamida 250mg</t>
  </si>
  <si>
    <t>Aruba</t>
  </si>
  <si>
    <t>FSS</t>
  </si>
  <si>
    <t>Ronda 5</t>
  </si>
  <si>
    <t>C</t>
  </si>
  <si>
    <t>GT (Grant Thornton)</t>
  </si>
  <si>
    <t>Levofloxacina 500mg</t>
  </si>
  <si>
    <t>Bahamas</t>
  </si>
  <si>
    <t>Ronda 6</t>
  </si>
  <si>
    <t>H-C (Hodar-Conseil)</t>
  </si>
  <si>
    <t>NVP</t>
  </si>
  <si>
    <t>Barbados</t>
  </si>
  <si>
    <t>Ronda 7</t>
  </si>
  <si>
    <t>KPMG (KPMG)</t>
  </si>
  <si>
    <t>3TC</t>
  </si>
  <si>
    <t>Belice</t>
  </si>
  <si>
    <t>Ronda 8</t>
  </si>
  <si>
    <t>MSCI (MSCI)</t>
  </si>
  <si>
    <t>D4T</t>
  </si>
  <si>
    <t>Bermudas</t>
  </si>
  <si>
    <t>Ronda 9</t>
  </si>
  <si>
    <t>PwC (PricewaterhouseCoopers)</t>
  </si>
  <si>
    <t>AZT</t>
  </si>
  <si>
    <t>Bolivia</t>
  </si>
  <si>
    <t>Ronda 10</t>
  </si>
  <si>
    <t xml:space="preserve">STI (Swiss Tropical Institute), </t>
  </si>
  <si>
    <t>DDI</t>
  </si>
  <si>
    <t>Brasil</t>
  </si>
  <si>
    <t>EFV</t>
  </si>
  <si>
    <t>Cabo Verde</t>
  </si>
  <si>
    <t>AS/LF</t>
  </si>
  <si>
    <t>Chile</t>
  </si>
  <si>
    <t>AS/AQ</t>
  </si>
  <si>
    <t>Colombia</t>
  </si>
  <si>
    <t>AS/MQ</t>
  </si>
  <si>
    <t>Costa Rica</t>
  </si>
  <si>
    <t>Al/Lum</t>
  </si>
  <si>
    <t>Cuba</t>
  </si>
  <si>
    <t>Dominica</t>
  </si>
  <si>
    <t>TB nutri'l supplements</t>
  </si>
  <si>
    <t>Ecuador</t>
  </si>
  <si>
    <t>E-PAP</t>
  </si>
  <si>
    <t>Producto 1</t>
  </si>
  <si>
    <t>España</t>
  </si>
  <si>
    <t>Producto 2</t>
  </si>
  <si>
    <t>Guadalupe</t>
  </si>
  <si>
    <t>Producto 3</t>
  </si>
  <si>
    <t>Guatemala</t>
  </si>
  <si>
    <t>Guinea</t>
  </si>
  <si>
    <t>Guinea Ecuatorial</t>
  </si>
  <si>
    <t>Guinea-Bissau</t>
  </si>
  <si>
    <t>Guyana</t>
  </si>
  <si>
    <t>Haití</t>
  </si>
  <si>
    <t>Honduras</t>
  </si>
  <si>
    <t>Islas Caimanes</t>
  </si>
  <si>
    <t>Jamaica</t>
  </si>
  <si>
    <t>México</t>
  </si>
  <si>
    <t>Nicaragua</t>
  </si>
  <si>
    <t>Panamá</t>
  </si>
  <si>
    <t>Paraguay</t>
  </si>
  <si>
    <t>Perú</t>
  </si>
  <si>
    <t>Puerto Rico</t>
  </si>
  <si>
    <t>San Vicente, Granadinas</t>
  </si>
  <si>
    <t>Trinidad y Tobago</t>
  </si>
  <si>
    <t>Uruguay</t>
  </si>
  <si>
    <t>Venezuela</t>
  </si>
  <si>
    <t>JAIME BRIZ DE FELIPE</t>
  </si>
  <si>
    <t>PTMI</t>
  </si>
  <si>
    <t>TB/VIH</t>
  </si>
  <si>
    <t>%</t>
  </si>
  <si>
    <t>F2: Presupuesto y gastos reales por Módulo de la subvención</t>
  </si>
  <si>
    <t>Módulos de la subvención</t>
  </si>
  <si>
    <t>UAFM/UFE/MINSAL.</t>
  </si>
  <si>
    <t>Para este período se han presentado a tiempo todas las condiciones precedentes, por parte del ALF se han dado por cumplidas</t>
  </si>
  <si>
    <t>01 de enero del 2019</t>
  </si>
  <si>
    <t>1 de enero de 2019</t>
  </si>
  <si>
    <t>30 de junio 2019</t>
  </si>
  <si>
    <t>9 de septiembre 2019</t>
  </si>
  <si>
    <t>N/D</t>
  </si>
  <si>
    <t>El RP MINSAL no cuenta con gestores de compra</t>
  </si>
  <si>
    <t>KP-1a(M): Porcentaje de hombres que tienen relaciones sexuales con hombres cubiertos por programas de prevención del VIH (paquetes definidos de servicios)</t>
  </si>
  <si>
    <t>KP-1c(M): Porcentaje de trabajadores sexuales cubiertos por programas de prevención del VIH (paquete definido de servicios)</t>
  </si>
  <si>
    <t>KP-1b(M): Porcentaje de personas transgénero cubiertas por programas de prevención del VIH; paquete definido de servicios</t>
  </si>
  <si>
    <t>TCS-3.1: Porcentaje de personas que viven con el VIH que están en TARV, que tienen una carga viral suprimida a los 12 meses (&lt;1000 copias/ml)</t>
  </si>
  <si>
    <t>GESTION DE PROGRAMAS</t>
  </si>
  <si>
    <t>PROGRAMA DE PREVENCION INTEGRAL PARA HOMBRES QUE TIENEN RELACIONES SEXUALES CON HOMBRES</t>
  </si>
  <si>
    <t>PROGRAMAS DE PREVENCION INTEGRAL PARA PERSONAS TRANSGENERO</t>
  </si>
  <si>
    <t>PROGRAMAS DE PREVENCION INTEGRAL PARA TRABAJADORES DEL SEXO Y SUS CLIENTES</t>
  </si>
  <si>
    <t>PROGRAMAS INTEGRALES PARA PERSONAS PRIVADAS DE LIBERTAD EN CENTROS PENITENCIARIOS Y OTROS LUGARES DE RECLUSION</t>
  </si>
  <si>
    <t>SSRS: SISTEMAS DE INFORMACION EN SALUD Y MONITOREO Y EVALUACION</t>
  </si>
  <si>
    <t>TRATAMIENTO, ATENCION Y APOYO</t>
  </si>
  <si>
    <t>(-) Anticipos de Fondos a Plan Internacional, INC</t>
  </si>
  <si>
    <t xml:space="preserve">(=) Saldo en Caja al 30 de junio MINSAL </t>
  </si>
  <si>
    <t xml:space="preserve">(-) Compromisos </t>
  </si>
  <si>
    <t xml:space="preserve">Saldo en Caja despues de compromisos al 30 de junio MINSAL </t>
  </si>
  <si>
    <t>(-) Gastos (ejecución MINSAL)</t>
  </si>
  <si>
    <t>Desembolso transferido a Plan Internacional, INC.</t>
  </si>
  <si>
    <t>(-) Gastos  validados por MINSAL (ejecución Plan Internacional, INC)</t>
  </si>
  <si>
    <t>(=) Saldo en Caja al 30 de junio Plan Internacional, INC.</t>
  </si>
  <si>
    <t>(-) Gastos  en revisión por MINSAL (ejecución Plan Internacional, INC)</t>
  </si>
  <si>
    <t>(+) Intereses percibidos en cuenta de ahorro 2019 MINSAL</t>
  </si>
  <si>
    <t>(+) Intereses percibidos en cuenta de ahorro 2019 SR</t>
  </si>
  <si>
    <t>El donante ha enviado los desembolsos según programación establecida, en tal sentido no se han generado atrasos, mientras que para el SR se han considerado una revisión del 100% de todos los documentos originales para poder determinar los gastos validados por el RP MIMSAL.</t>
  </si>
  <si>
    <t>Del 100% del presupuesto aprobado para la compra de insumos médicos y de laboratorio un 83% se encuentra en proceso de compra, a la fecha no se han realizado pagos.</t>
  </si>
  <si>
    <t>El periodo 1: El año  2019, tiene un presupuesto asignado de $5,151,444.00 de los cuales al 30 de junio de 2019 se han recibido en las cuentas bancarias  un monto de $4,086,490.00 que corresponde al presupuesto asignado para el primer semestre del año 2019.</t>
  </si>
  <si>
    <t xml:space="preserve">El Total de desembolsos que el RP ha recibido por FM es de $4,086,490.00  de los cuales ha gastado  $93,216.88, contando con un saldo de caja de $2,890,187.00  y con un compromiso de $ 2,302,936.00 que representa el 79% del saldo de caja en MINSAL. Asi tambien  se ha desembolsado a Plan Internacional la cantidad de $1,120, 587.00 de los cuales han presentado gastos validados al mes de junio por $97,248.97 y y tenemos en MINSAL en revision y validacion un monto de $ 372,206.80  con un  saldo de caja de $653,867.00. </t>
  </si>
  <si>
    <t>Durante el primer semestre del año 2019 MINSAL Y PLAN  han ejecutado gastos validados por $190,465.85 de los cuales $40,995.26 corresponde a gastos del módulo Gestión de Programas  que el 6% ,  el módulo: Programa de Prevención integral para HSH por un monto de $ 100,759.00  que corresponde al 5% .  Del  presupuesto  2019  el 79% de fondos de MINSAL estan en proceso en la UACI y un 33% de PLAN esta en proceso de validacion del gasto mas saldo de caja que se presento.</t>
  </si>
  <si>
    <r>
      <t>Meta Nacional:</t>
    </r>
    <r>
      <rPr>
        <u/>
        <sz val="10"/>
        <rFont val="Arial"/>
        <family val="2"/>
      </rPr>
      <t xml:space="preserve"> </t>
    </r>
    <r>
      <rPr>
        <sz val="10"/>
        <rFont val="Arial"/>
        <family val="2"/>
      </rPr>
      <t xml:space="preserve">   32500 PPL  que se han realizado la prueba de VIH y que conocen sus resultados  </t>
    </r>
    <r>
      <rPr>
        <b/>
        <u/>
        <sz val="10"/>
        <rFont val="Arial"/>
        <family val="2"/>
      </rPr>
      <t xml:space="preserve">
</t>
    </r>
    <r>
      <rPr>
        <sz val="10"/>
        <rFont val="Arial"/>
        <family val="2"/>
      </rPr>
      <t xml:space="preserve"> </t>
    </r>
    <r>
      <rPr>
        <b/>
        <u/>
        <sz val="10"/>
        <rFont val="Arial"/>
        <family val="2"/>
      </rPr>
      <t xml:space="preserve">
Logro:</t>
    </r>
    <r>
      <rPr>
        <sz val="10"/>
        <rFont val="Arial"/>
        <family val="2"/>
      </rPr>
      <t xml:space="preserve"> </t>
    </r>
    <r>
      <rPr>
        <b/>
        <sz val="10"/>
        <rFont val="Arial"/>
        <family val="2"/>
      </rPr>
      <t xml:space="preserve">= 3274/32500= 10% </t>
    </r>
    <r>
      <rPr>
        <sz val="10"/>
        <rFont val="Arial"/>
        <family val="2"/>
      </rPr>
      <t>PPL que se han realizado la prueba de VIH y que conocen sus resultados (datos preliminares)
El resultado de este indicador se esta viendo afectado por dos situaciones:
1. La extensión de las medidas extraordinarias tomadas por la presidencia de la República en los centros penales.
2. Retraso en la digitación: Actualmente el MINSAL no cuenta con recursos suficientes para poder digitar las pruebas de VIH y posteconsejerías brindadas a las PPL, lo que ha generado un retraso de la información de mas o menos 4 meses, se han realizado gestiones para que ONUSIDA y USAID a través del proyecto de cuidado y tratamiento apoye con 3 recursos para minimizar dicha situación.</t>
    </r>
  </si>
  <si>
    <t xml:space="preserve">Meta: 63%
Numerador: 440
Denominador: 832
Logro: 53% (datos preliminares)
Fuente: SIAP/VICITS 
De los 832 usuarios HSH, 440 declararon haber utilizado un condón en su última relación sexo anal, por lo que se puede observar un bajo uso del  mismo en esta población, el cual se refleja en la alta prevalencia actualmente existente.
</t>
  </si>
  <si>
    <t>Por ser este un indicador de cohorte de seguimiento, no se puede reportar en este período, ya que el resultado no nos reflejaría una información certera, por tal razón el resultado de este indicador se presentara en el proximo tablero de mando</t>
  </si>
  <si>
    <r>
      <t>Meta FM Nacionales(PEPFAR + GOES):</t>
    </r>
    <r>
      <rPr>
        <sz val="10"/>
        <rFont val="Arial"/>
        <family val="2"/>
      </rPr>
      <t xml:space="preserve"> 19761 personas HSH que se han realizado la prueba de VIH y que conocen sus resultados 
</t>
    </r>
    <r>
      <rPr>
        <b/>
        <u/>
        <sz val="10"/>
        <rFont val="Arial"/>
        <family val="2"/>
      </rPr>
      <t xml:space="preserve">Meta FM: 17785 </t>
    </r>
    <r>
      <rPr>
        <sz val="10"/>
        <rFont val="Arial"/>
        <family val="2"/>
      </rPr>
      <t xml:space="preserve">HSH a los cuales se les debe hacer la prueba de VIH y deben conocer sus resultados. 
</t>
    </r>
    <r>
      <rPr>
        <b/>
        <u/>
        <sz val="10"/>
        <rFont val="Arial"/>
        <family val="2"/>
      </rPr>
      <t>Metas MINSAL FM+ GOES:</t>
    </r>
    <r>
      <rPr>
        <sz val="10"/>
        <rFont val="Arial"/>
        <family val="2"/>
      </rPr>
      <t xml:space="preserve"> 8102
</t>
    </r>
    <r>
      <rPr>
        <b/>
        <u/>
        <sz val="10"/>
        <rFont val="Arial"/>
        <family val="2"/>
      </rPr>
      <t>Metas PLAN:</t>
    </r>
    <r>
      <rPr>
        <sz val="10"/>
        <rFont val="Arial"/>
        <family val="2"/>
      </rPr>
      <t xml:space="preserve"> 10671
</t>
    </r>
    <r>
      <rPr>
        <b/>
        <u/>
        <sz val="10"/>
        <rFont val="Arial"/>
        <family val="2"/>
      </rPr>
      <t>Metas PEPFAR:</t>
    </r>
    <r>
      <rPr>
        <sz val="10"/>
        <rFont val="Arial"/>
        <family val="2"/>
      </rPr>
      <t xml:space="preserve">  988
</t>
    </r>
    <r>
      <rPr>
        <b/>
        <u/>
        <sz val="10"/>
        <rFont val="Arial"/>
        <family val="2"/>
      </rPr>
      <t>Número total de pruebas realizadas FM (PLAN + MINSAL</t>
    </r>
    <r>
      <rPr>
        <b/>
        <sz val="10"/>
        <rFont val="Arial"/>
        <family val="2"/>
      </rPr>
      <t>)= 8164</t>
    </r>
    <r>
      <rPr>
        <sz val="10"/>
        <rFont val="Arial"/>
        <family val="2"/>
      </rPr>
      <t xml:space="preserve"> pruebas realizadas a esta población (datos preliminares)
</t>
    </r>
    <r>
      <rPr>
        <b/>
        <u/>
        <sz val="10"/>
        <rFont val="Arial"/>
        <family val="2"/>
      </rPr>
      <t xml:space="preserve">Pruebas realizadas por Unidades Móviles de PLAN: </t>
    </r>
    <r>
      <rPr>
        <sz val="10"/>
        <rFont val="Arial"/>
        <family val="2"/>
      </rPr>
      <t xml:space="preserve"> 4845
</t>
    </r>
    <r>
      <rPr>
        <b/>
        <u/>
        <sz val="10"/>
        <rFont val="Arial"/>
        <family val="2"/>
      </rPr>
      <t>Pruebas realizadas a través de referencia efectivas a UCSF y actividades extramurales:</t>
    </r>
    <r>
      <rPr>
        <b/>
        <sz val="10"/>
        <rFont val="Arial"/>
        <family val="2"/>
      </rPr>
      <t xml:space="preserve"> 3319</t>
    </r>
    <r>
      <rPr>
        <sz val="10"/>
        <rFont val="Arial"/>
        <family val="2"/>
      </rPr>
      <t xml:space="preserve">
</t>
    </r>
    <r>
      <rPr>
        <b/>
        <sz val="10"/>
        <rFont val="Arial"/>
        <family val="2"/>
      </rPr>
      <t xml:space="preserve">
</t>
    </r>
    <r>
      <rPr>
        <b/>
        <u/>
        <sz val="10"/>
        <color indexed="8"/>
        <rFont val="Arial"/>
        <family val="2"/>
      </rPr>
      <t>Logro FM:</t>
    </r>
    <r>
      <rPr>
        <sz val="10"/>
        <color indexed="8"/>
        <rFont val="Arial"/>
        <family val="2"/>
      </rPr>
      <t xml:space="preserve"> 8164</t>
    </r>
    <r>
      <rPr>
        <b/>
        <sz val="10"/>
        <color indexed="8"/>
        <rFont val="Arial"/>
        <family val="2"/>
      </rPr>
      <t xml:space="preserve">/19761= 41.31% </t>
    </r>
    <r>
      <rPr>
        <sz val="10"/>
        <color indexed="8"/>
        <rFont val="Arial"/>
        <family val="2"/>
      </rPr>
      <t xml:space="preserve">de post consejerías registradas, pendiente de recibir producción de PEPFAR.
</t>
    </r>
    <r>
      <rPr>
        <b/>
        <u/>
        <sz val="10"/>
        <color indexed="8"/>
        <rFont val="Arial"/>
        <family val="2"/>
      </rPr>
      <t>Fuente</t>
    </r>
    <r>
      <rPr>
        <sz val="10"/>
        <color indexed="8"/>
        <rFont val="Arial"/>
        <family val="2"/>
      </rPr>
      <t xml:space="preserve">: SUMEVE
Actualmente no se puede desagragar el número de pruebas, ni post consejerías realizadas a través de la modalidad de referencias efectivas, por lo que se han girado instrucciones a todos los establecimientos de salud y organizaciones socias en el llenado del FVIH 01 para posteriormente poder realizar la desagregación.
</t>
    </r>
  </si>
  <si>
    <r>
      <t>Meta FM Nacionales( PEPFAR + GOES):</t>
    </r>
    <r>
      <rPr>
        <u/>
        <sz val="10"/>
        <rFont val="Arial"/>
        <family val="2"/>
      </rPr>
      <t xml:space="preserve"> </t>
    </r>
    <r>
      <rPr>
        <sz val="10"/>
        <rFont val="Arial"/>
        <family val="2"/>
      </rPr>
      <t xml:space="preserve">8275 personas TS que se han realizado la prueba de VIH y que conocen sus resultados </t>
    </r>
    <r>
      <rPr>
        <b/>
        <u/>
        <sz val="10"/>
        <rFont val="Arial"/>
        <family val="2"/>
      </rPr>
      <t xml:space="preserve">
Meta FM: </t>
    </r>
    <r>
      <rPr>
        <sz val="10"/>
        <rFont val="Arial"/>
        <family val="2"/>
      </rPr>
      <t xml:space="preserve">7227 TS a los cuales se les debe hacer la prueba de VIH y deben conocer sus resultados. </t>
    </r>
    <r>
      <rPr>
        <b/>
        <u/>
        <sz val="10"/>
        <rFont val="Arial"/>
        <family val="2"/>
      </rPr>
      <t xml:space="preserve">
Metas MINSAL (FM +GOES):</t>
    </r>
    <r>
      <rPr>
        <b/>
        <sz val="10"/>
        <rFont val="Arial"/>
        <family val="2"/>
      </rPr>
      <t xml:space="preserve">  </t>
    </r>
    <r>
      <rPr>
        <sz val="10"/>
        <rFont val="Arial"/>
        <family val="2"/>
      </rPr>
      <t>3718</t>
    </r>
    <r>
      <rPr>
        <b/>
        <u/>
        <sz val="10"/>
        <rFont val="Arial"/>
        <family val="2"/>
      </rPr>
      <t xml:space="preserve">
Metas PLAN:</t>
    </r>
    <r>
      <rPr>
        <sz val="10"/>
        <rFont val="Arial"/>
        <family val="2"/>
      </rPr>
      <t xml:space="preserve"> 4336</t>
    </r>
    <r>
      <rPr>
        <b/>
        <u/>
        <sz val="10"/>
        <rFont val="Arial"/>
        <family val="2"/>
      </rPr>
      <t xml:space="preserve">
Metas PEPFAR: </t>
    </r>
    <r>
      <rPr>
        <sz val="10"/>
        <rFont val="Arial"/>
        <family val="2"/>
      </rPr>
      <t xml:space="preserve"> 220</t>
    </r>
    <r>
      <rPr>
        <b/>
        <u/>
        <sz val="10"/>
        <rFont val="Arial"/>
        <family val="2"/>
      </rPr>
      <t xml:space="preserve">
Número total de pruebas realizadas FM (PLAN + MINSAL)= </t>
    </r>
    <r>
      <rPr>
        <sz val="10"/>
        <rFont val="Arial"/>
        <family val="2"/>
      </rPr>
      <t xml:space="preserve"> 3217 pruebas realizadas a esta población  (datos preliminares)</t>
    </r>
    <r>
      <rPr>
        <b/>
        <u/>
        <sz val="10"/>
        <rFont val="Arial"/>
        <family val="2"/>
      </rPr>
      <t xml:space="preserve">
Pruebas realizadas por Unidades Móviles de PLAN:</t>
    </r>
    <r>
      <rPr>
        <sz val="10"/>
        <rFont val="Arial"/>
        <family val="2"/>
      </rPr>
      <t xml:space="preserve">  2151</t>
    </r>
    <r>
      <rPr>
        <b/>
        <u/>
        <sz val="10"/>
        <rFont val="Arial"/>
        <family val="2"/>
      </rPr>
      <t xml:space="preserve">
Pruebas realizadas a través de referencia efectivas a UCSF y actividades extramurales:</t>
    </r>
    <r>
      <rPr>
        <sz val="10"/>
        <rFont val="Arial"/>
        <family val="2"/>
      </rPr>
      <t xml:space="preserve"> 1066</t>
    </r>
    <r>
      <rPr>
        <b/>
        <u/>
        <sz val="10"/>
        <rFont val="Arial"/>
        <family val="2"/>
      </rPr>
      <t xml:space="preserve">
Logro FM: </t>
    </r>
    <r>
      <rPr>
        <b/>
        <sz val="10"/>
        <rFont val="Arial"/>
        <family val="2"/>
      </rPr>
      <t xml:space="preserve">3217/8275= 39% </t>
    </r>
    <r>
      <rPr>
        <sz val="10"/>
        <rFont val="Arial"/>
        <family val="2"/>
      </rPr>
      <t xml:space="preserve">de post consejerías registradas, pendiente de recibir producción de PEPFAR.
</t>
    </r>
    <r>
      <rPr>
        <b/>
        <u/>
        <sz val="10"/>
        <rFont val="Arial"/>
        <family val="2"/>
      </rPr>
      <t xml:space="preserve">Fuente: </t>
    </r>
    <r>
      <rPr>
        <sz val="10"/>
        <rFont val="Arial"/>
        <family val="2"/>
      </rPr>
      <t>SUMEVE</t>
    </r>
    <r>
      <rPr>
        <b/>
        <u/>
        <sz val="10"/>
        <rFont val="Arial"/>
        <family val="2"/>
      </rPr>
      <t xml:space="preserve">
</t>
    </r>
    <r>
      <rPr>
        <sz val="10"/>
        <rFont val="Arial"/>
        <family val="2"/>
      </rPr>
      <t>Actualmente no se puede desagragar el número de pruebas, ni post consejerías realizadas a través de la modalidad de referencias efectivas, por lo que se han girado instrucciones a todos los establecimientos de salud y organizaciones socias en el llenado del FVIH 01 para posteriormente poder realizar la desagregación.</t>
    </r>
  </si>
  <si>
    <r>
      <t>Meta Nacionales (FM + PEPFAR + GOES):</t>
    </r>
    <r>
      <rPr>
        <u/>
        <sz val="10"/>
        <rFont val="Arial"/>
        <family val="2"/>
      </rPr>
      <t xml:space="preserve"> </t>
    </r>
    <r>
      <rPr>
        <sz val="10"/>
        <rFont val="Arial"/>
        <family val="2"/>
      </rPr>
      <t xml:space="preserve"> 1207 Mujeres Trans que se han realizado la prueba de VIH y que conocen sus resultados </t>
    </r>
    <r>
      <rPr>
        <b/>
        <u/>
        <sz val="10"/>
        <rFont val="Arial"/>
        <family val="2"/>
      </rPr>
      <t xml:space="preserve">
Meta FM:  </t>
    </r>
    <r>
      <rPr>
        <sz val="10"/>
        <rFont val="Arial"/>
        <family val="2"/>
      </rPr>
      <t xml:space="preserve">  1094 Mujeres Trans a los cuales se les debe hacer la prueba de VIH y deben conocer sus resultados. </t>
    </r>
    <r>
      <rPr>
        <b/>
        <u/>
        <sz val="10"/>
        <rFont val="Arial"/>
        <family val="2"/>
      </rPr>
      <t xml:space="preserve">
Metas MINSAL ( FM +GOES):</t>
    </r>
    <r>
      <rPr>
        <b/>
        <sz val="10"/>
        <rFont val="Arial"/>
        <family val="2"/>
      </rPr>
      <t xml:space="preserve">  515</t>
    </r>
    <r>
      <rPr>
        <b/>
        <u/>
        <sz val="10"/>
        <rFont val="Arial"/>
        <family val="2"/>
      </rPr>
      <t xml:space="preserve">
Metas PLAN:</t>
    </r>
    <r>
      <rPr>
        <sz val="10"/>
        <rFont val="Arial"/>
        <family val="2"/>
      </rPr>
      <t xml:space="preserve"> 656</t>
    </r>
    <r>
      <rPr>
        <b/>
        <u/>
        <sz val="10"/>
        <rFont val="Arial"/>
        <family val="2"/>
      </rPr>
      <t xml:space="preserve">
Metas PEPFAR: </t>
    </r>
    <r>
      <rPr>
        <sz val="10"/>
        <rFont val="Arial"/>
        <family val="2"/>
      </rPr>
      <t xml:space="preserve"> 36</t>
    </r>
    <r>
      <rPr>
        <b/>
        <u/>
        <sz val="10"/>
        <rFont val="Arial"/>
        <family val="2"/>
      </rPr>
      <t xml:space="preserve">
Número total de pruebas realizadas FM (PLAN + MINSAL)= </t>
    </r>
    <r>
      <rPr>
        <sz val="10"/>
        <rFont val="Arial"/>
        <family val="2"/>
      </rPr>
      <t xml:space="preserve"> 384 pruebas realizadas a esta población  (datos preliminares)</t>
    </r>
    <r>
      <rPr>
        <b/>
        <u/>
        <sz val="10"/>
        <rFont val="Arial"/>
        <family val="2"/>
      </rPr>
      <t xml:space="preserve">
Pruebas realizadas por Unidades Móviles de PLAN:</t>
    </r>
    <r>
      <rPr>
        <sz val="10"/>
        <rFont val="Arial"/>
        <family val="2"/>
      </rPr>
      <t xml:space="preserve">  279</t>
    </r>
    <r>
      <rPr>
        <b/>
        <u/>
        <sz val="10"/>
        <rFont val="Arial"/>
        <family val="2"/>
      </rPr>
      <t xml:space="preserve">
Pruebas realizadas a través de referencia efectivas a UCSF y actividades extramurales:</t>
    </r>
    <r>
      <rPr>
        <sz val="10"/>
        <rFont val="Arial"/>
        <family val="2"/>
      </rPr>
      <t xml:space="preserve"> 105</t>
    </r>
    <r>
      <rPr>
        <b/>
        <u/>
        <sz val="10"/>
        <rFont val="Arial"/>
        <family val="2"/>
      </rPr>
      <t xml:space="preserve">
Logro FM: </t>
    </r>
    <r>
      <rPr>
        <b/>
        <sz val="10"/>
        <rFont val="Arial"/>
        <family val="2"/>
      </rPr>
      <t xml:space="preserve">384/1207= 32% </t>
    </r>
    <r>
      <rPr>
        <sz val="10"/>
        <rFont val="Arial"/>
        <family val="2"/>
      </rPr>
      <t>de post consejerías registradas, pendiente de recibir producción de PEPFAR.
Fuente: SUMEVE</t>
    </r>
    <r>
      <rPr>
        <b/>
        <u/>
        <sz val="10"/>
        <rFont val="Arial"/>
        <family val="2"/>
      </rPr>
      <t xml:space="preserve">
</t>
    </r>
    <r>
      <rPr>
        <sz val="10"/>
        <rFont val="Arial"/>
        <family val="2"/>
      </rPr>
      <t>Actualmente no se puede desagragar el número de pruebas, ni post consejerías realizadas a través de la modalidad de referencias efectivas, por lo que se han girado instrucciones a todos los establecimientos de salud y organizaciones socias en el llenado del FVIH 01 para posteriormente poder realizar la desagregación.</t>
    </r>
  </si>
  <si>
    <r>
      <t>Meta Nacionales (FM + PEPFAR + GOES):</t>
    </r>
    <r>
      <rPr>
        <u/>
        <sz val="10"/>
        <rFont val="Arial"/>
        <family val="2"/>
      </rPr>
      <t xml:space="preserve"> </t>
    </r>
    <r>
      <rPr>
        <sz val="10"/>
        <rFont val="Arial"/>
        <family val="2"/>
      </rPr>
      <t xml:space="preserve">   10644  cubiertas con paquetes de prevención  </t>
    </r>
    <r>
      <rPr>
        <b/>
        <u/>
        <sz val="10"/>
        <rFont val="Arial"/>
        <family val="2"/>
      </rPr>
      <t xml:space="preserve">
Meta FM:  </t>
    </r>
    <r>
      <rPr>
        <sz val="10"/>
        <rFont val="Arial"/>
        <family val="2"/>
      </rPr>
      <t xml:space="preserve">    8515 cubiertas con paquetes de prevención. </t>
    </r>
    <r>
      <rPr>
        <b/>
        <u/>
        <sz val="10"/>
        <rFont val="Arial"/>
        <family val="2"/>
      </rPr>
      <t xml:space="preserve">
Metas MINSAL ( FM +GOES):</t>
    </r>
    <r>
      <rPr>
        <b/>
        <sz val="10"/>
        <rFont val="Arial"/>
        <family val="2"/>
      </rPr>
      <t xml:space="preserve">  2129 paquetes de prevención</t>
    </r>
    <r>
      <rPr>
        <b/>
        <u/>
        <sz val="10"/>
        <rFont val="Arial"/>
        <family val="2"/>
      </rPr>
      <t xml:space="preserve">
Metas PLAN:</t>
    </r>
    <r>
      <rPr>
        <sz val="10"/>
        <rFont val="Arial"/>
        <family val="2"/>
      </rPr>
      <t xml:space="preserve"> 7834</t>
    </r>
    <r>
      <rPr>
        <b/>
        <u/>
        <sz val="10"/>
        <rFont val="Arial"/>
        <family val="2"/>
      </rPr>
      <t xml:space="preserve">
Metas PEPFAR: </t>
    </r>
    <r>
      <rPr>
        <sz val="10"/>
        <rFont val="Arial"/>
        <family val="2"/>
      </rPr>
      <t xml:space="preserve">  319</t>
    </r>
    <r>
      <rPr>
        <b/>
        <u/>
        <sz val="10"/>
        <rFont val="Arial"/>
        <family val="2"/>
      </rPr>
      <t xml:space="preserve">
Número total de paquetes de prevención FM (PLAN + MINSAL):</t>
    </r>
    <r>
      <rPr>
        <sz val="10"/>
        <rFont val="Arial"/>
        <family val="2"/>
      </rPr>
      <t xml:space="preserve">  (datos preliminares)</t>
    </r>
    <r>
      <rPr>
        <b/>
        <u/>
        <sz val="10"/>
        <rFont val="Arial"/>
        <family val="2"/>
      </rPr>
      <t xml:space="preserve">
Paquetes de prevención entregados por Unidades Móviles de PLAN:</t>
    </r>
    <r>
      <rPr>
        <sz val="10"/>
        <rFont val="Arial"/>
        <family val="2"/>
      </rPr>
      <t xml:space="preserve">  3831</t>
    </r>
    <r>
      <rPr>
        <b/>
        <u/>
        <sz val="10"/>
        <rFont val="Arial"/>
        <family val="2"/>
      </rPr>
      <t xml:space="preserve">
Logro FM:</t>
    </r>
    <r>
      <rPr>
        <sz val="10"/>
        <rFont val="Arial"/>
        <family val="2"/>
      </rPr>
      <t xml:space="preserve"> </t>
    </r>
    <r>
      <rPr>
        <b/>
        <sz val="10"/>
        <rFont val="Arial"/>
        <family val="2"/>
      </rPr>
      <t xml:space="preserve">= 3831/10644= 36% </t>
    </r>
    <r>
      <rPr>
        <sz val="10"/>
        <rFont val="Arial"/>
        <family val="2"/>
      </rPr>
      <t xml:space="preserve">de paquetes de prevención registradas, pendiente de recibir producción de PEPFAR.
</t>
    </r>
    <r>
      <rPr>
        <b/>
        <u/>
        <sz val="10"/>
        <rFont val="Arial"/>
        <family val="2"/>
      </rPr>
      <t>Fuente:</t>
    </r>
    <r>
      <rPr>
        <sz val="10"/>
        <rFont val="Arial"/>
        <family val="2"/>
      </rPr>
      <t xml:space="preserve"> SIGPRO</t>
    </r>
    <r>
      <rPr>
        <b/>
        <u/>
        <sz val="10"/>
        <rFont val="Arial"/>
        <family val="2"/>
      </rPr>
      <t xml:space="preserve">
</t>
    </r>
    <r>
      <rPr>
        <sz val="10"/>
        <rFont val="Arial"/>
        <family val="2"/>
      </rPr>
      <t>Actualmente no se reportan datos MINSAL en vista que aun no se ha logrado concretizar la adquisición de condones y lubricantes debido a retrasos administrativos</t>
    </r>
  </si>
  <si>
    <r>
      <t>Meta Nacionales (FM + PEPFAR + GOES):</t>
    </r>
    <r>
      <rPr>
        <u/>
        <sz val="10"/>
        <rFont val="Arial"/>
        <family val="2"/>
      </rPr>
      <t xml:space="preserve"> </t>
    </r>
    <r>
      <rPr>
        <sz val="10"/>
        <rFont val="Arial"/>
        <family val="2"/>
      </rPr>
      <t xml:space="preserve">   1709 mujeres transgénero cubiertas con paquetes de prevención  </t>
    </r>
    <r>
      <rPr>
        <b/>
        <u/>
        <sz val="10"/>
        <rFont val="Arial"/>
        <family val="2"/>
      </rPr>
      <t xml:space="preserve">
Meta FM:  </t>
    </r>
    <r>
      <rPr>
        <sz val="10"/>
        <rFont val="Arial"/>
        <family val="2"/>
      </rPr>
      <t xml:space="preserve">   1453 Mujeres Transgeneros cubiertas con paquetes de prevención. </t>
    </r>
    <r>
      <rPr>
        <b/>
        <u/>
        <sz val="10"/>
        <rFont val="Arial"/>
        <family val="2"/>
      </rPr>
      <t xml:space="preserve">
Metas MINSAL ( FM +GOES):</t>
    </r>
    <r>
      <rPr>
        <b/>
        <sz val="10"/>
        <rFont val="Arial"/>
        <family val="2"/>
      </rPr>
      <t xml:space="preserve">  321 paquetes de prevención</t>
    </r>
    <r>
      <rPr>
        <b/>
        <u/>
        <sz val="10"/>
        <rFont val="Arial"/>
        <family val="2"/>
      </rPr>
      <t xml:space="preserve">
Metas PLAN:</t>
    </r>
    <r>
      <rPr>
        <sz val="10"/>
        <rFont val="Arial"/>
        <family val="2"/>
      </rPr>
      <t xml:space="preserve"> 1336</t>
    </r>
    <r>
      <rPr>
        <b/>
        <u/>
        <sz val="10"/>
        <rFont val="Arial"/>
        <family val="2"/>
      </rPr>
      <t xml:space="preserve">
Metas PEPFAR: </t>
    </r>
    <r>
      <rPr>
        <sz val="10"/>
        <rFont val="Arial"/>
        <family val="2"/>
      </rPr>
      <t xml:space="preserve">  51</t>
    </r>
    <r>
      <rPr>
        <b/>
        <u/>
        <sz val="10"/>
        <rFont val="Arial"/>
        <family val="2"/>
      </rPr>
      <t xml:space="preserve">
Número total de paquetes de prevención FM (PLAN + MINSAL)= </t>
    </r>
    <r>
      <rPr>
        <sz val="10"/>
        <rFont val="Arial"/>
        <family val="2"/>
      </rPr>
      <t xml:space="preserve"> 689 (datos preliminares)</t>
    </r>
    <r>
      <rPr>
        <b/>
        <u/>
        <sz val="10"/>
        <rFont val="Arial"/>
        <family val="2"/>
      </rPr>
      <t xml:space="preserve">
Paquetes de prevención entregados por Unidades Móviles de PLAN:</t>
    </r>
    <r>
      <rPr>
        <sz val="10"/>
        <rFont val="Arial"/>
        <family val="2"/>
      </rPr>
      <t xml:space="preserve">  689 </t>
    </r>
    <r>
      <rPr>
        <b/>
        <u/>
        <sz val="10"/>
        <rFont val="Arial"/>
        <family val="2"/>
      </rPr>
      <t xml:space="preserve">
Logro FM:</t>
    </r>
    <r>
      <rPr>
        <sz val="10"/>
        <rFont val="Arial"/>
        <family val="2"/>
      </rPr>
      <t xml:space="preserve"> </t>
    </r>
    <r>
      <rPr>
        <b/>
        <sz val="10"/>
        <rFont val="Arial"/>
        <family val="2"/>
      </rPr>
      <t xml:space="preserve">= 689/1709= 40.3% </t>
    </r>
    <r>
      <rPr>
        <sz val="10"/>
        <rFont val="Arial"/>
        <family val="2"/>
      </rPr>
      <t xml:space="preserve">de paquetes de prevención registradas, pendiente de recibir producción de PEPFAR.
</t>
    </r>
    <r>
      <rPr>
        <b/>
        <u/>
        <sz val="10"/>
        <rFont val="Arial"/>
        <family val="2"/>
      </rPr>
      <t>Fuente</t>
    </r>
    <r>
      <rPr>
        <sz val="10"/>
        <rFont val="Arial"/>
        <family val="2"/>
      </rPr>
      <t>: SIGPRO</t>
    </r>
    <r>
      <rPr>
        <b/>
        <u/>
        <sz val="10"/>
        <rFont val="Arial"/>
        <family val="2"/>
      </rPr>
      <t xml:space="preserve">
</t>
    </r>
    <r>
      <rPr>
        <sz val="10"/>
        <rFont val="Arial"/>
        <family val="2"/>
      </rPr>
      <t>Actualmente no se reportan datos MINSAL en vista que aun no se ha logrado concretizar la adquisición de condones y lubricantes debido a retrasos administrativos</t>
    </r>
  </si>
  <si>
    <r>
      <t>Meta Nacionales (FM + PEPFAR + GOES):</t>
    </r>
    <r>
      <rPr>
        <u/>
        <sz val="10"/>
        <rFont val="Arial"/>
        <family val="2"/>
      </rPr>
      <t xml:space="preserve"> </t>
    </r>
    <r>
      <rPr>
        <sz val="10"/>
        <rFont val="Arial"/>
        <family val="2"/>
      </rPr>
      <t xml:space="preserve">   27070 HSH cubiertos con paquetes de prevención  </t>
    </r>
    <r>
      <rPr>
        <b/>
        <u/>
        <sz val="10"/>
        <rFont val="Arial"/>
        <family val="2"/>
      </rPr>
      <t xml:space="preserve">
Meta FM:  </t>
    </r>
    <r>
      <rPr>
        <sz val="10"/>
        <rFont val="Arial"/>
        <family val="2"/>
      </rPr>
      <t xml:space="preserve">  23010  HSH cubiertos con paquetes de prevención. </t>
    </r>
    <r>
      <rPr>
        <b/>
        <u/>
        <sz val="10"/>
        <rFont val="Arial"/>
        <family val="2"/>
      </rPr>
      <t xml:space="preserve">
Metas MINSAL ( FM +GOES):</t>
    </r>
    <r>
      <rPr>
        <b/>
        <sz val="10"/>
        <rFont val="Arial"/>
        <family val="2"/>
      </rPr>
      <t xml:space="preserve">  </t>
    </r>
    <r>
      <rPr>
        <sz val="10"/>
        <rFont val="Arial"/>
        <family val="2"/>
      </rPr>
      <t>2653</t>
    </r>
    <r>
      <rPr>
        <b/>
        <u/>
        <sz val="10"/>
        <rFont val="Arial"/>
        <family val="2"/>
      </rPr>
      <t xml:space="preserve">
Metas PLAN:</t>
    </r>
    <r>
      <rPr>
        <sz val="10"/>
        <rFont val="Arial"/>
        <family val="2"/>
      </rPr>
      <t xml:space="preserve"> 21169</t>
    </r>
    <r>
      <rPr>
        <b/>
        <u/>
        <sz val="10"/>
        <rFont val="Arial"/>
        <family val="2"/>
      </rPr>
      <t xml:space="preserve">
Metas PEPFAR: </t>
    </r>
    <r>
      <rPr>
        <sz val="10"/>
        <rFont val="Arial"/>
        <family val="2"/>
      </rPr>
      <t xml:space="preserve">  3248</t>
    </r>
    <r>
      <rPr>
        <b/>
        <u/>
        <sz val="10"/>
        <rFont val="Arial"/>
        <family val="2"/>
      </rPr>
      <t xml:space="preserve">
Número total de paquetes de prevención FM (PLAN + MINSAL)= </t>
    </r>
    <r>
      <rPr>
        <sz val="10"/>
        <rFont val="Arial"/>
        <family val="2"/>
      </rPr>
      <t xml:space="preserve"> 9510 paquetes de prevención  (datos preliminares)</t>
    </r>
    <r>
      <rPr>
        <b/>
        <u/>
        <sz val="10"/>
        <rFont val="Arial"/>
        <family val="2"/>
      </rPr>
      <t xml:space="preserve">
Paquetes de prevención entregados por Unidades Móviles de PLAN:</t>
    </r>
    <r>
      <rPr>
        <sz val="10"/>
        <rFont val="Arial"/>
        <family val="2"/>
      </rPr>
      <t xml:space="preserve">  9510</t>
    </r>
    <r>
      <rPr>
        <b/>
        <u/>
        <sz val="10"/>
        <rFont val="Arial"/>
        <family val="2"/>
      </rPr>
      <t xml:space="preserve">
Logro FM:</t>
    </r>
    <r>
      <rPr>
        <sz val="10"/>
        <rFont val="Arial"/>
        <family val="2"/>
      </rPr>
      <t xml:space="preserve"> 9510</t>
    </r>
    <r>
      <rPr>
        <b/>
        <sz val="10"/>
        <rFont val="Arial"/>
        <family val="2"/>
      </rPr>
      <t>/</t>
    </r>
    <r>
      <rPr>
        <sz val="10"/>
        <rFont val="Arial"/>
        <family val="2"/>
      </rPr>
      <t>27070</t>
    </r>
    <r>
      <rPr>
        <b/>
        <sz val="10"/>
        <rFont val="Arial"/>
        <family val="2"/>
      </rPr>
      <t xml:space="preserve">= 35% </t>
    </r>
    <r>
      <rPr>
        <sz val="10"/>
        <rFont val="Arial"/>
        <family val="2"/>
      </rPr>
      <t xml:space="preserve">de paquetes de prevención registradas, pendiente de recibir producción de PEPFAR.
</t>
    </r>
    <r>
      <rPr>
        <b/>
        <u/>
        <sz val="10"/>
        <rFont val="Arial"/>
        <family val="2"/>
      </rPr>
      <t>Fuente</t>
    </r>
    <r>
      <rPr>
        <sz val="10"/>
        <rFont val="Arial"/>
        <family val="2"/>
      </rPr>
      <t>: SIGPRO</t>
    </r>
    <r>
      <rPr>
        <b/>
        <u/>
        <sz val="10"/>
        <rFont val="Arial"/>
        <family val="2"/>
      </rPr>
      <t xml:space="preserve">
</t>
    </r>
    <r>
      <rPr>
        <sz val="10"/>
        <rFont val="Arial"/>
        <family val="2"/>
      </rPr>
      <t>Actualmente no se reportan datos MINSAL en vista que aun no se ha logrado concretizar la adquisición de condones y lubricantes debido a retrasos administrativos</t>
    </r>
  </si>
  <si>
    <r>
      <rPr>
        <b/>
        <u/>
        <sz val="10"/>
        <rFont val="Arial"/>
        <family val="2"/>
      </rPr>
      <t xml:space="preserve">Meta </t>
    </r>
    <r>
      <rPr>
        <sz val="10"/>
        <rFont val="Arial"/>
        <family val="2"/>
      </rPr>
      <t xml:space="preserve">: </t>
    </r>
    <r>
      <rPr>
        <sz val="10"/>
        <color theme="1"/>
        <rFont val="Arial"/>
        <family val="2"/>
      </rPr>
      <t>13,650 proyectada la cual</t>
    </r>
    <r>
      <rPr>
        <sz val="10"/>
        <rFont val="Arial"/>
        <family val="2"/>
      </rPr>
      <t xml:space="preserve"> se calculo en base a la cantidad de Personas viviendo con VIH estimadas para el año 2019. 
</t>
    </r>
    <r>
      <rPr>
        <b/>
        <u/>
        <sz val="10"/>
        <rFont val="Arial"/>
        <family val="2"/>
      </rPr>
      <t>Alcance:</t>
    </r>
    <r>
      <rPr>
        <sz val="10"/>
        <rFont val="Arial"/>
        <family val="2"/>
      </rPr>
      <t xml:space="preserve"> 10,117 se encuentran recibiendo TAR, debido a que son las que cumplen con los criterios  para inicio de la TAR ( CD4 menor e igual a 500). He de recordar que en el País no existe lista de espera. Durante este semestre se tuvo dificultad para la adquisición de algunos ARV entre ellos la atripla por lo que ciertos hospitales estuvieron desabastecidos, la medidad a tomar fue de brindar dosis separadas mientras se solventaba la situación de adquisición.  (datos preliminares).
</t>
    </r>
    <r>
      <rPr>
        <b/>
        <u/>
        <sz val="10"/>
        <rFont val="Arial"/>
        <family val="2"/>
      </rPr>
      <t>Logro:</t>
    </r>
    <r>
      <rPr>
        <sz val="10"/>
        <rFont val="Arial"/>
        <family val="2"/>
      </rPr>
      <t xml:space="preserve"> 74%
</t>
    </r>
    <r>
      <rPr>
        <b/>
        <u/>
        <sz val="10"/>
        <rFont val="Arial"/>
        <family val="2"/>
      </rPr>
      <t>Fuente:</t>
    </r>
    <r>
      <rPr>
        <sz val="10"/>
        <rFont val="Arial"/>
        <family val="2"/>
      </rPr>
      <t xml:space="preserve"> SUMEVE</t>
    </r>
  </si>
  <si>
    <r>
      <rPr>
        <b/>
        <u/>
        <sz val="10"/>
        <color theme="1"/>
        <rFont val="Arial"/>
        <family val="2"/>
      </rPr>
      <t>Meta</t>
    </r>
    <r>
      <rPr>
        <sz val="10"/>
        <color theme="1"/>
        <rFont val="Arial"/>
        <family val="2"/>
      </rPr>
      <t xml:space="preserve">: 3.7% 
</t>
    </r>
    <r>
      <rPr>
        <b/>
        <u/>
        <sz val="10"/>
        <color theme="1"/>
        <rFont val="Arial"/>
        <family val="2"/>
      </rPr>
      <t>Numerador</t>
    </r>
    <r>
      <rPr>
        <sz val="10"/>
        <color theme="1"/>
        <rFont val="Arial"/>
        <family val="2"/>
      </rPr>
      <t xml:space="preserve">: 11
</t>
    </r>
    <r>
      <rPr>
        <b/>
        <u/>
        <sz val="10"/>
        <color theme="1"/>
        <rFont val="Arial"/>
        <family val="2"/>
      </rPr>
      <t>Denominador</t>
    </r>
    <r>
      <rPr>
        <sz val="10"/>
        <color theme="1"/>
        <rFont val="Arial"/>
        <family val="2"/>
      </rPr>
      <t xml:space="preserve">: 320
</t>
    </r>
    <r>
      <rPr>
        <b/>
        <u/>
        <sz val="10"/>
        <color theme="1"/>
        <rFont val="Arial"/>
        <family val="2"/>
      </rPr>
      <t>Logro</t>
    </r>
    <r>
      <rPr>
        <sz val="10"/>
        <color theme="1"/>
        <rFont val="Arial"/>
        <family val="2"/>
      </rPr>
      <t xml:space="preserve">: 3.4% (datos preliminares)
</t>
    </r>
    <r>
      <rPr>
        <b/>
        <u/>
        <sz val="10"/>
        <color theme="1"/>
        <rFont val="Arial"/>
        <family val="2"/>
      </rPr>
      <t>Fuente</t>
    </r>
    <r>
      <rPr>
        <sz val="10"/>
        <color theme="1"/>
        <rFont val="Arial"/>
        <family val="2"/>
      </rPr>
      <t>: SIAP/VICITS 
La prevalencia registrada en el SIAP/VICITS correspondiente a la atenciones de las TS, reporta una ligera disminución de la misma a la fecha.</t>
    </r>
  </si>
  <si>
    <r>
      <rPr>
        <b/>
        <u/>
        <sz val="10"/>
        <color theme="1"/>
        <rFont val="Arial"/>
        <family val="2"/>
      </rPr>
      <t>Meta</t>
    </r>
    <r>
      <rPr>
        <sz val="10"/>
        <color theme="1"/>
        <rFont val="Arial"/>
        <family val="2"/>
      </rPr>
      <t xml:space="preserve">: 6.9% 
</t>
    </r>
    <r>
      <rPr>
        <b/>
        <u/>
        <sz val="10"/>
        <color theme="1"/>
        <rFont val="Arial"/>
        <family val="2"/>
      </rPr>
      <t>Numerador:</t>
    </r>
    <r>
      <rPr>
        <sz val="10"/>
        <color theme="1"/>
        <rFont val="Arial"/>
        <family val="2"/>
      </rPr>
      <t xml:space="preserve"> 6 
</t>
    </r>
    <r>
      <rPr>
        <b/>
        <u/>
        <sz val="10"/>
        <color theme="1"/>
        <rFont val="Arial"/>
        <family val="2"/>
      </rPr>
      <t>Denominador</t>
    </r>
    <r>
      <rPr>
        <sz val="10"/>
        <color theme="1"/>
        <rFont val="Arial"/>
        <family val="2"/>
      </rPr>
      <t xml:space="preserve">: 184
</t>
    </r>
    <r>
      <rPr>
        <b/>
        <u/>
        <sz val="10"/>
        <color theme="1"/>
        <rFont val="Arial"/>
        <family val="2"/>
      </rPr>
      <t>Logro</t>
    </r>
    <r>
      <rPr>
        <sz val="10"/>
        <color theme="1"/>
        <rFont val="Arial"/>
        <family val="2"/>
      </rPr>
      <t xml:space="preserve">: 3.3% (datos preliminares)
</t>
    </r>
    <r>
      <rPr>
        <b/>
        <u/>
        <sz val="10"/>
        <color theme="1"/>
        <rFont val="Arial"/>
        <family val="2"/>
      </rPr>
      <t>Fuente:</t>
    </r>
    <r>
      <rPr>
        <sz val="10"/>
        <color theme="1"/>
        <rFont val="Arial"/>
        <family val="2"/>
      </rPr>
      <t xml:space="preserve"> SIAP/VICITS 
La prevalencia registrada en el SIAP/VICITS correspondiente a la atenciones de las mujeres trans, reporta una disminución de la prevalencia a la fecha.</t>
    </r>
  </si>
  <si>
    <r>
      <rPr>
        <b/>
        <u/>
        <sz val="10"/>
        <color theme="1"/>
        <rFont val="Arial"/>
        <family val="2"/>
      </rPr>
      <t>Meta</t>
    </r>
    <r>
      <rPr>
        <sz val="10"/>
        <color theme="1"/>
        <rFont val="Arial"/>
        <family val="2"/>
      </rPr>
      <t xml:space="preserve">: 63%
</t>
    </r>
    <r>
      <rPr>
        <b/>
        <u/>
        <sz val="10"/>
        <color theme="1"/>
        <rFont val="Arial"/>
        <family val="2"/>
      </rPr>
      <t>Numerador</t>
    </r>
    <r>
      <rPr>
        <sz val="10"/>
        <color theme="1"/>
        <rFont val="Arial"/>
        <family val="2"/>
      </rPr>
      <t xml:space="preserve">: 440
</t>
    </r>
    <r>
      <rPr>
        <b/>
        <u/>
        <sz val="10"/>
        <color theme="1"/>
        <rFont val="Arial"/>
        <family val="2"/>
      </rPr>
      <t>Denominador</t>
    </r>
    <r>
      <rPr>
        <sz val="10"/>
        <color theme="1"/>
        <rFont val="Arial"/>
        <family val="2"/>
      </rPr>
      <t xml:space="preserve">: 832
</t>
    </r>
    <r>
      <rPr>
        <b/>
        <u/>
        <sz val="10"/>
        <color theme="1"/>
        <rFont val="Arial"/>
        <family val="2"/>
      </rPr>
      <t>Logro:</t>
    </r>
    <r>
      <rPr>
        <sz val="10"/>
        <color theme="1"/>
        <rFont val="Arial"/>
        <family val="2"/>
      </rPr>
      <t xml:space="preserve"> 53% (datos preliminares)
</t>
    </r>
    <r>
      <rPr>
        <b/>
        <u/>
        <sz val="10"/>
        <color theme="1"/>
        <rFont val="Arial"/>
        <family val="2"/>
      </rPr>
      <t>Fuente</t>
    </r>
    <r>
      <rPr>
        <sz val="10"/>
        <color theme="1"/>
        <rFont val="Arial"/>
        <family val="2"/>
      </rPr>
      <t xml:space="preserve">: SIAP/VICITS 
De los 832 usuarios HSH, 440 declararon haber utilizado un condón en su última relación sexo anal, por lo que se puede observar un bajo uso del  mismo en esta población, el cual se refleja en la alta prevalencia actualmente existente.
</t>
    </r>
  </si>
  <si>
    <t>Actualmente el 100% de los usuarios que consultan a los Hospitales con TAR y que cumplen criterios para iniciar la misma se encuentran recibiendo tratamiento.
En relación a la meta del año 2019 preliminarmente un 74% de los pacientes estimados  viviendo con VIH se encuentran en TAR.</t>
  </si>
  <si>
    <t xml:space="preserve">El logro preliminar para este indicador es de un 41%
Cabe mencionar que se han tenido los siguientes retos:
1. Multiples cambios en el personal de salud
2. Retrasos en la digitación, por falta de recurso humano 
</t>
  </si>
  <si>
    <t xml:space="preserve">El logro preliminar para este indicador es de un 39%
Cabe mencionar que se han tenido los siguientes retos:
1. Multiples cambios en el personal de salud
2. Retrasos en la digitación, por falta de recurso humano 
</t>
  </si>
  <si>
    <t>El SR ha cumplido con la entrega a tiempo de los dos informes correspondientes al primer semestre del presente año</t>
  </si>
  <si>
    <r>
      <rPr>
        <b/>
        <u/>
        <sz val="10"/>
        <color theme="1"/>
        <rFont val="Arial"/>
        <family val="2"/>
      </rPr>
      <t>Meta:</t>
    </r>
    <r>
      <rPr>
        <sz val="10"/>
        <color theme="1"/>
        <rFont val="Arial"/>
        <family val="2"/>
      </rPr>
      <t xml:space="preserve"> 7.2% 
</t>
    </r>
    <r>
      <rPr>
        <b/>
        <sz val="10"/>
        <color theme="1"/>
        <rFont val="Arial"/>
        <family val="2"/>
      </rPr>
      <t>Numerador</t>
    </r>
    <r>
      <rPr>
        <sz val="10"/>
        <color theme="1"/>
        <rFont val="Arial"/>
        <family val="2"/>
      </rPr>
      <t xml:space="preserve">: 151
</t>
    </r>
    <r>
      <rPr>
        <b/>
        <sz val="10"/>
        <color theme="1"/>
        <rFont val="Arial"/>
        <family val="2"/>
      </rPr>
      <t>Denominador</t>
    </r>
    <r>
      <rPr>
        <sz val="10"/>
        <color theme="1"/>
        <rFont val="Arial"/>
        <family val="2"/>
      </rPr>
      <t xml:space="preserve">: 1139
</t>
    </r>
    <r>
      <rPr>
        <b/>
        <sz val="10"/>
        <color theme="1"/>
        <rFont val="Arial"/>
        <family val="2"/>
      </rPr>
      <t>Logro:</t>
    </r>
    <r>
      <rPr>
        <sz val="10"/>
        <color theme="1"/>
        <rFont val="Arial"/>
        <family val="2"/>
      </rPr>
      <t xml:space="preserve"> 13% (datos preliminares)
A pesar de las acciones tomadas no se ha logrado disminuir la prevalencia de VIH en esta población, pero si se ha logrado poder detectar más casos dentro de la misma, lo cual contribuye a alcanzar las metas de la cascada de atención, sin dejar de menos que es necesario reforzar las medidas de prevención en todos sus ambitos.
</t>
    </r>
  </si>
  <si>
    <t xml:space="preserve">Con presupuesto del Fondo Mundial actualmente no se adquieren ARV, 
 Casi un 50% de los usuarios VIH (+) utilizan Efavirenz + emtricitabina + tenofovir ( ATRIPLA) por lo cual este es el medicamento que se esta reportando.
Se cuenta con un nivel de existencia de 5 meses, 3 de estos cubren los meses de existencia de seguridad.
</t>
  </si>
  <si>
    <t>Meta: 6.9% 
Numerador: 6 
Denominador: 184
Logro: 3.3% (datos preliminares)
Fuente: SIAP/VICITS 
La prevalencia registrada en el SIAP/VICITS corresponde a las atenciones brindadas a las mujeres trans, reporta una disminución de la meta de prevalencia a la fecha.</t>
  </si>
  <si>
    <r>
      <rPr>
        <b/>
        <u/>
        <sz val="11"/>
        <color indexed="8"/>
        <rFont val="Arial"/>
        <family val="2"/>
      </rPr>
      <t xml:space="preserve">Meta FM Nacionales(PEPFAR + GOES): </t>
    </r>
    <r>
      <rPr>
        <sz val="11"/>
        <color indexed="8"/>
        <rFont val="Arial"/>
        <family val="2"/>
        <charset val="1"/>
      </rPr>
      <t xml:space="preserve">19761 personas HSH que se han realizado la prueba de VIH y que conocen sus resultados 
</t>
    </r>
    <r>
      <rPr>
        <b/>
        <u/>
        <sz val="11"/>
        <color indexed="8"/>
        <rFont val="Arial"/>
        <family val="2"/>
      </rPr>
      <t xml:space="preserve">Meta FM: </t>
    </r>
    <r>
      <rPr>
        <sz val="11"/>
        <color indexed="8"/>
        <rFont val="Arial"/>
        <family val="2"/>
        <charset val="1"/>
      </rPr>
      <t xml:space="preserve">17785 HSH a los cuales se les debe hacer la prueba de VIH y deben conocer sus resultados. 
</t>
    </r>
    <r>
      <rPr>
        <b/>
        <u/>
        <sz val="11"/>
        <color indexed="8"/>
        <rFont val="Arial"/>
        <family val="2"/>
      </rPr>
      <t>Metas MINSAL FM+ GOES:</t>
    </r>
    <r>
      <rPr>
        <sz val="11"/>
        <color indexed="8"/>
        <rFont val="Arial"/>
        <family val="2"/>
        <charset val="1"/>
      </rPr>
      <t xml:space="preserve"> 8102
</t>
    </r>
    <r>
      <rPr>
        <b/>
        <u/>
        <sz val="11"/>
        <color indexed="8"/>
        <rFont val="Arial"/>
        <family val="2"/>
      </rPr>
      <t>Metas PLAN:</t>
    </r>
    <r>
      <rPr>
        <sz val="11"/>
        <color indexed="8"/>
        <rFont val="Arial"/>
        <family val="2"/>
        <charset val="1"/>
      </rPr>
      <t xml:space="preserve"> 10671
</t>
    </r>
    <r>
      <rPr>
        <b/>
        <u/>
        <sz val="11"/>
        <color indexed="8"/>
        <rFont val="Arial"/>
        <family val="2"/>
      </rPr>
      <t xml:space="preserve">Metas PEPFAR: </t>
    </r>
    <r>
      <rPr>
        <sz val="11"/>
        <color indexed="8"/>
        <rFont val="Arial"/>
        <family val="2"/>
        <charset val="1"/>
      </rPr>
      <t xml:space="preserve"> 988
</t>
    </r>
    <r>
      <rPr>
        <b/>
        <u/>
        <sz val="11"/>
        <color indexed="8"/>
        <rFont val="Arial"/>
        <family val="2"/>
      </rPr>
      <t>Número total de pruebas realizadas FM (PLAN + MINSAL)</t>
    </r>
    <r>
      <rPr>
        <sz val="11"/>
        <color indexed="8"/>
        <rFont val="Arial"/>
        <family val="2"/>
        <charset val="1"/>
      </rPr>
      <t xml:space="preserve">= 8164 pruebas realizadas a esta población (datos preliminares)
</t>
    </r>
    <r>
      <rPr>
        <b/>
        <u/>
        <sz val="11"/>
        <color indexed="8"/>
        <rFont val="Arial"/>
        <family val="2"/>
      </rPr>
      <t>Pruebas realizadas por Unidades Móviles de PLAN:</t>
    </r>
    <r>
      <rPr>
        <sz val="11"/>
        <color indexed="8"/>
        <rFont val="Arial"/>
        <family val="2"/>
        <charset val="1"/>
      </rPr>
      <t xml:space="preserve">  4845
</t>
    </r>
    <r>
      <rPr>
        <b/>
        <u/>
        <sz val="11"/>
        <color indexed="8"/>
        <rFont val="Arial"/>
        <family val="2"/>
      </rPr>
      <t>Pruebas realizadas a través de referencia efectivas a UCSF y actividades extramurales:</t>
    </r>
    <r>
      <rPr>
        <sz val="11"/>
        <color indexed="8"/>
        <rFont val="Arial"/>
        <family val="2"/>
        <charset val="1"/>
      </rPr>
      <t xml:space="preserve"> 3319
</t>
    </r>
    <r>
      <rPr>
        <b/>
        <u/>
        <sz val="11"/>
        <color indexed="8"/>
        <rFont val="Arial"/>
        <family val="2"/>
      </rPr>
      <t>Pruebas realizadas por PEPFAR:</t>
    </r>
    <r>
      <rPr>
        <sz val="11"/>
        <color indexed="8"/>
        <rFont val="Arial"/>
        <family val="2"/>
        <charset val="1"/>
      </rPr>
      <t xml:space="preserve"> 1971
</t>
    </r>
    <r>
      <rPr>
        <b/>
        <u/>
        <sz val="11"/>
        <color indexed="8"/>
        <rFont val="Arial"/>
        <family val="2"/>
      </rPr>
      <t>Logro FM:</t>
    </r>
    <r>
      <rPr>
        <sz val="11"/>
        <color indexed="8"/>
        <rFont val="Arial"/>
        <family val="2"/>
        <charset val="1"/>
      </rPr>
      <t xml:space="preserve"> 8164/17785= 46% de post consejerías registradas
</t>
    </r>
    <r>
      <rPr>
        <b/>
        <u/>
        <sz val="11"/>
        <color indexed="8"/>
        <rFont val="Arial"/>
        <family val="2"/>
      </rPr>
      <t>Logro Nacional:</t>
    </r>
    <r>
      <rPr>
        <sz val="11"/>
        <color indexed="8"/>
        <rFont val="Arial"/>
        <family val="2"/>
        <charset val="1"/>
      </rPr>
      <t xml:space="preserve"> 10013/19761= 51%
</t>
    </r>
    <r>
      <rPr>
        <b/>
        <u/>
        <sz val="11"/>
        <color indexed="8"/>
        <rFont val="Arial"/>
        <family val="2"/>
      </rPr>
      <t>Fuente:</t>
    </r>
    <r>
      <rPr>
        <sz val="11"/>
        <color indexed="8"/>
        <rFont val="Arial"/>
        <family val="2"/>
        <charset val="1"/>
      </rPr>
      <t xml:space="preserve"> SUMEVE
Actualmente no se puede desagragar el número de pruebas, ni post consejerías realizadas a través de la modalidad de referencias efectivas, por lo que es dificil conocer cuantas son las pruebas realizadas a traves de la modalidad de referencia efectiva y cuantas son a través de la búsqueda del personal del MINSAL, por lo que se han girado instrucciones a todos los establecimientos de salud y organizaciones socias en el llenado del FVIH 01 para posteriormente poder realizar la desagregación.
</t>
    </r>
  </si>
  <si>
    <r>
      <rPr>
        <b/>
        <u/>
        <sz val="11"/>
        <color indexed="8"/>
        <rFont val="Arial"/>
        <family val="2"/>
      </rPr>
      <t>Meta FM Nacionales( PEPFAR + GOES):</t>
    </r>
    <r>
      <rPr>
        <sz val="11"/>
        <color indexed="8"/>
        <rFont val="Arial"/>
        <family val="2"/>
        <charset val="1"/>
      </rPr>
      <t xml:space="preserve"> 8275 personas TS que se han realizado la prueba de VIH y que conocen sus resultados 
</t>
    </r>
    <r>
      <rPr>
        <b/>
        <u/>
        <sz val="11"/>
        <color indexed="8"/>
        <rFont val="Arial"/>
        <family val="2"/>
      </rPr>
      <t>Meta FM: 7227</t>
    </r>
    <r>
      <rPr>
        <sz val="11"/>
        <color indexed="8"/>
        <rFont val="Arial"/>
        <family val="2"/>
        <charset val="1"/>
      </rPr>
      <t xml:space="preserve"> TS a los cuales se les debe hacer la prueba de VIH y deben conocer sus resultados. 
</t>
    </r>
    <r>
      <rPr>
        <b/>
        <u/>
        <sz val="11"/>
        <color indexed="8"/>
        <rFont val="Arial"/>
        <family val="2"/>
      </rPr>
      <t xml:space="preserve">Metas MINSAL (FM +GOES): </t>
    </r>
    <r>
      <rPr>
        <sz val="11"/>
        <color indexed="8"/>
        <rFont val="Arial"/>
        <family val="2"/>
        <charset val="1"/>
      </rPr>
      <t xml:space="preserve"> 3718
</t>
    </r>
    <r>
      <rPr>
        <b/>
        <u/>
        <sz val="11"/>
        <color indexed="8"/>
        <rFont val="Arial"/>
        <family val="2"/>
      </rPr>
      <t>Metas PLAN</t>
    </r>
    <r>
      <rPr>
        <sz val="11"/>
        <color indexed="8"/>
        <rFont val="Arial"/>
        <family val="2"/>
        <charset val="1"/>
      </rPr>
      <t xml:space="preserve">: 4336
</t>
    </r>
    <r>
      <rPr>
        <b/>
        <u/>
        <sz val="11"/>
        <color indexed="8"/>
        <rFont val="Arial"/>
        <family val="2"/>
      </rPr>
      <t>Metas PEPFAR:</t>
    </r>
    <r>
      <rPr>
        <sz val="11"/>
        <color indexed="8"/>
        <rFont val="Arial"/>
        <family val="2"/>
        <charset val="1"/>
      </rPr>
      <t xml:space="preserve">  220
</t>
    </r>
    <r>
      <rPr>
        <b/>
        <u/>
        <sz val="11"/>
        <color indexed="8"/>
        <rFont val="Arial"/>
        <family val="2"/>
      </rPr>
      <t>Número total de pruebas realizadas FM (PLAN + MINSAL)=</t>
    </r>
    <r>
      <rPr>
        <sz val="11"/>
        <color indexed="8"/>
        <rFont val="Arial"/>
        <family val="2"/>
        <charset val="1"/>
      </rPr>
      <t xml:space="preserve">  3217 pruebas realizadas a esta población  (datos preliminares)
</t>
    </r>
    <r>
      <rPr>
        <b/>
        <u/>
        <sz val="11"/>
        <color indexed="8"/>
        <rFont val="Arial"/>
        <family val="2"/>
      </rPr>
      <t>Pruebas realizadas por Unidades Móviles de PLAN</t>
    </r>
    <r>
      <rPr>
        <sz val="11"/>
        <color indexed="8"/>
        <rFont val="Arial"/>
        <family val="2"/>
        <charset val="1"/>
      </rPr>
      <t xml:space="preserve">:  2151
</t>
    </r>
    <r>
      <rPr>
        <b/>
        <u/>
        <sz val="11"/>
        <color indexed="8"/>
        <rFont val="Arial"/>
        <family val="2"/>
      </rPr>
      <t>Pruebas realizadas a través de referencia efectivas a UCSF y actividades extramurales:</t>
    </r>
    <r>
      <rPr>
        <sz val="11"/>
        <color indexed="8"/>
        <rFont val="Arial"/>
        <family val="2"/>
        <charset val="1"/>
      </rPr>
      <t xml:space="preserve"> 1066
</t>
    </r>
    <r>
      <rPr>
        <b/>
        <u/>
        <sz val="11"/>
        <color indexed="8"/>
        <rFont val="Arial"/>
        <family val="2"/>
      </rPr>
      <t xml:space="preserve">Logro FM: 3217/8275= </t>
    </r>
    <r>
      <rPr>
        <sz val="11"/>
        <color indexed="8"/>
        <rFont val="Arial"/>
        <family val="2"/>
        <charset val="1"/>
      </rPr>
      <t xml:space="preserve">39% de post consejerías registradas, PEPFAR no reporto pruebas realizadas a esta población durante este semestre
</t>
    </r>
    <r>
      <rPr>
        <b/>
        <u/>
        <sz val="11"/>
        <color indexed="8"/>
        <rFont val="Arial"/>
        <family val="2"/>
      </rPr>
      <t>Fuente:</t>
    </r>
    <r>
      <rPr>
        <sz val="11"/>
        <color indexed="8"/>
        <rFont val="Arial"/>
        <family val="2"/>
        <charset val="1"/>
      </rPr>
      <t xml:space="preserve"> SUMEVE
Actualmente no se puede desagragar el número de pruebas, ni post consejerías realizadas a través de la modalidad de referencias efectivas, por lo que es dificil conocer cuantas son las pruebas realizadas a traves de la modalidad de referencia efectiva y cuantas son a través de la búsqueda del personal del MINSAL, por lo que se han girado instrucciones a todos los establecimientos de salud y organizaciones socias en el llenado del FVIH 01 para posteriormente poder realizar la desagregación.</t>
    </r>
  </si>
  <si>
    <r>
      <rPr>
        <b/>
        <u/>
        <sz val="11"/>
        <color indexed="8"/>
        <rFont val="Arial"/>
        <family val="2"/>
      </rPr>
      <t xml:space="preserve">Meta Nacionales (FM + PEPFAR + GOES):  </t>
    </r>
    <r>
      <rPr>
        <sz val="11"/>
        <color indexed="8"/>
        <rFont val="Arial"/>
        <family val="2"/>
        <charset val="1"/>
      </rPr>
      <t xml:space="preserve">1207 Mujeres Trans que se han realizado la prueba de VIH y que conocen sus resultados 
</t>
    </r>
    <r>
      <rPr>
        <b/>
        <u/>
        <sz val="11"/>
        <color indexed="8"/>
        <rFont val="Arial"/>
        <family val="2"/>
      </rPr>
      <t xml:space="preserve">Meta FM:    </t>
    </r>
    <r>
      <rPr>
        <sz val="11"/>
        <color indexed="8"/>
        <rFont val="Arial"/>
        <family val="2"/>
        <charset val="1"/>
      </rPr>
      <t xml:space="preserve">1094 Mujeres Trans a los cuales se les debe hacer la prueba de VIH y deben conocer sus resultados. 
</t>
    </r>
    <r>
      <rPr>
        <b/>
        <u/>
        <sz val="11"/>
        <color indexed="8"/>
        <rFont val="Arial"/>
        <family val="2"/>
      </rPr>
      <t>Metas MINSAL ( FM +GOES):</t>
    </r>
    <r>
      <rPr>
        <sz val="11"/>
        <color indexed="8"/>
        <rFont val="Arial"/>
        <family val="2"/>
        <charset val="1"/>
      </rPr>
      <t xml:space="preserve">  515
</t>
    </r>
    <r>
      <rPr>
        <b/>
        <u/>
        <sz val="11"/>
        <color indexed="8"/>
        <rFont val="Arial"/>
        <family val="2"/>
      </rPr>
      <t>Metas PLAN</t>
    </r>
    <r>
      <rPr>
        <sz val="11"/>
        <color indexed="8"/>
        <rFont val="Arial"/>
        <family val="2"/>
        <charset val="1"/>
      </rPr>
      <t xml:space="preserve">: 656
</t>
    </r>
    <r>
      <rPr>
        <b/>
        <u/>
        <sz val="11"/>
        <color indexed="8"/>
        <rFont val="Arial"/>
        <family val="2"/>
      </rPr>
      <t>Metas PEPFAR:</t>
    </r>
    <r>
      <rPr>
        <sz val="11"/>
        <color indexed="8"/>
        <rFont val="Arial"/>
        <family val="2"/>
        <charset val="1"/>
      </rPr>
      <t xml:space="preserve">  36
</t>
    </r>
    <r>
      <rPr>
        <b/>
        <u/>
        <sz val="11"/>
        <color indexed="8"/>
        <rFont val="Arial"/>
        <family val="2"/>
      </rPr>
      <t>Número total de pruebas realizadas FM (PLAN + MINSAL)=</t>
    </r>
    <r>
      <rPr>
        <sz val="11"/>
        <color indexed="8"/>
        <rFont val="Arial"/>
        <family val="2"/>
        <charset val="1"/>
      </rPr>
      <t xml:space="preserve">  384 pruebas realizadas a esta población  (datos preliminares)
</t>
    </r>
    <r>
      <rPr>
        <b/>
        <u/>
        <sz val="11"/>
        <color indexed="8"/>
        <rFont val="Arial"/>
        <family val="2"/>
      </rPr>
      <t>Pruebas realizadas por Unidades Móviles de PLAN:</t>
    </r>
    <r>
      <rPr>
        <sz val="11"/>
        <color indexed="8"/>
        <rFont val="Arial"/>
        <family val="2"/>
        <charset val="1"/>
      </rPr>
      <t xml:space="preserve">  279
</t>
    </r>
    <r>
      <rPr>
        <b/>
        <u/>
        <sz val="11"/>
        <color indexed="8"/>
        <rFont val="Arial"/>
        <family val="2"/>
      </rPr>
      <t>Pruebas realizadas a través de referencia efectivas a UCSF y actividades extramurales:</t>
    </r>
    <r>
      <rPr>
        <sz val="11"/>
        <color indexed="8"/>
        <rFont val="Arial"/>
        <family val="2"/>
        <charset val="1"/>
      </rPr>
      <t xml:space="preserve"> 105
</t>
    </r>
    <r>
      <rPr>
        <b/>
        <u/>
        <sz val="11"/>
        <color indexed="8"/>
        <rFont val="Arial"/>
        <family val="2"/>
      </rPr>
      <t>Logro FM: 384/1094=</t>
    </r>
    <r>
      <rPr>
        <sz val="11"/>
        <color indexed="8"/>
        <rFont val="Arial"/>
        <family val="2"/>
        <charset val="1"/>
      </rPr>
      <t xml:space="preserve"> 35% de post consejerías registradas.
</t>
    </r>
    <r>
      <rPr>
        <b/>
        <u/>
        <sz val="11"/>
        <color indexed="8"/>
        <rFont val="Arial"/>
        <family val="2"/>
      </rPr>
      <t>Pruebas realizadas por PEPFAR:</t>
    </r>
    <r>
      <rPr>
        <sz val="11"/>
        <color indexed="8"/>
        <rFont val="Arial"/>
        <family val="2"/>
      </rPr>
      <t xml:space="preserve"> 102
</t>
    </r>
    <r>
      <rPr>
        <b/>
        <u/>
        <sz val="11"/>
        <color indexed="8"/>
        <rFont val="Arial"/>
        <family val="2"/>
      </rPr>
      <t>Logro Nacional:</t>
    </r>
    <r>
      <rPr>
        <sz val="11"/>
        <color indexed="8"/>
        <rFont val="Arial"/>
        <family val="2"/>
      </rPr>
      <t xml:space="preserve"> 488/1207= 40%</t>
    </r>
    <r>
      <rPr>
        <sz val="11"/>
        <color indexed="8"/>
        <rFont val="Arial"/>
        <family val="2"/>
        <charset val="1"/>
      </rPr>
      <t xml:space="preserve">
</t>
    </r>
    <r>
      <rPr>
        <b/>
        <u/>
        <sz val="11"/>
        <color indexed="8"/>
        <rFont val="Arial"/>
        <family val="2"/>
      </rPr>
      <t>Fuente:</t>
    </r>
    <r>
      <rPr>
        <sz val="11"/>
        <color indexed="8"/>
        <rFont val="Arial"/>
        <family val="2"/>
        <charset val="1"/>
      </rPr>
      <t xml:space="preserve"> SUMEVE
Actualmente no se puede desagragar el número de pruebas, ni post consejerías realizadas a través de la modalidad de referencias efectivas, por lo que es dificil conocer cuantas son las pruebas realizadas a traves de la modalidad de referencia efectiva y cuantas son a través de la búsqueda del personal del MINSAL, por lo que se han girado instrucciones a todos los establecimientos de salud y organizaciones socias en el llenado del FVIH 01 para posteriormente poder realizar la desagregación.</t>
    </r>
  </si>
  <si>
    <r>
      <t xml:space="preserve">Meta Nacionales (FM + PEPFAR + GOES):    27070 HSH cubiertos con paquetes de prevención  
Meta FM:    23010  HSH cubiertos con paquetes de prevención. 
Metas MINSAL ( FM +GOES):  2653
Metas PLAN: 21169
Metas PEPFAR:   3248
</t>
    </r>
    <r>
      <rPr>
        <b/>
        <u/>
        <sz val="11"/>
        <color indexed="8"/>
        <rFont val="Arial"/>
        <family val="2"/>
      </rPr>
      <t>Número total de paquetes de prevención FM (PLAN + MINSAL)=</t>
    </r>
    <r>
      <rPr>
        <sz val="11"/>
        <color indexed="8"/>
        <rFont val="Arial"/>
        <family val="2"/>
        <charset val="1"/>
      </rPr>
      <t xml:space="preserve">  9510 paquetes de prevención  (datos preliminares)
</t>
    </r>
    <r>
      <rPr>
        <b/>
        <u/>
        <sz val="11"/>
        <color indexed="8"/>
        <rFont val="Arial"/>
        <family val="2"/>
      </rPr>
      <t>Paquetes de prevención entregados por Unidades Móviles de PLAN:</t>
    </r>
    <r>
      <rPr>
        <sz val="11"/>
        <color indexed="8"/>
        <rFont val="Arial"/>
        <family val="2"/>
        <charset val="1"/>
      </rPr>
      <t xml:space="preserve">  9510
</t>
    </r>
    <r>
      <rPr>
        <b/>
        <u/>
        <sz val="11"/>
        <color indexed="8"/>
        <rFont val="Arial"/>
        <family val="2"/>
      </rPr>
      <t>Paquetes de prevención entregados por PEPFAR:</t>
    </r>
    <r>
      <rPr>
        <sz val="11"/>
        <color indexed="8"/>
        <rFont val="Arial"/>
        <family val="2"/>
        <charset val="1"/>
      </rPr>
      <t xml:space="preserve"> 1971
</t>
    </r>
    <r>
      <rPr>
        <b/>
        <u/>
        <sz val="11"/>
        <color indexed="8"/>
        <rFont val="Arial"/>
        <family val="2"/>
      </rPr>
      <t>Logro FM:</t>
    </r>
    <r>
      <rPr>
        <sz val="11"/>
        <color indexed="8"/>
        <rFont val="Arial"/>
        <family val="2"/>
      </rPr>
      <t xml:space="preserve"> 9510/23010=</t>
    </r>
    <r>
      <rPr>
        <b/>
        <u/>
        <sz val="11"/>
        <color indexed="8"/>
        <rFont val="Arial"/>
        <family val="2"/>
      </rPr>
      <t xml:space="preserve"> </t>
    </r>
    <r>
      <rPr>
        <sz val="11"/>
        <color indexed="8"/>
        <rFont val="Arial"/>
        <family val="2"/>
      </rPr>
      <t>41.32</t>
    </r>
    <r>
      <rPr>
        <sz val="11"/>
        <color indexed="8"/>
        <rFont val="Arial"/>
        <family val="2"/>
        <charset val="1"/>
      </rPr>
      <t xml:space="preserve">% de paquetes de prevención registradas.
</t>
    </r>
    <r>
      <rPr>
        <b/>
        <u/>
        <sz val="11"/>
        <color indexed="8"/>
        <rFont val="Arial"/>
        <family val="2"/>
      </rPr>
      <t xml:space="preserve">Logro Nacional: </t>
    </r>
    <r>
      <rPr>
        <sz val="11"/>
        <color indexed="8"/>
        <rFont val="Arial"/>
        <family val="2"/>
        <charset val="1"/>
      </rPr>
      <t xml:space="preserve">11481/27070= 42.41%
</t>
    </r>
    <r>
      <rPr>
        <b/>
        <u/>
        <sz val="11"/>
        <color indexed="8"/>
        <rFont val="Arial"/>
        <family val="2"/>
      </rPr>
      <t>Fuente:</t>
    </r>
    <r>
      <rPr>
        <sz val="11"/>
        <color indexed="8"/>
        <rFont val="Arial"/>
        <family val="2"/>
        <charset val="1"/>
      </rPr>
      <t xml:space="preserve"> SIGPRO
Actualmente no se reportan datos MINSAL en vista que aun no se ha logrado concretizar la adquisición de condones y lubricantes debido a retrasos administrativos</t>
    </r>
  </si>
  <si>
    <r>
      <rPr>
        <b/>
        <u/>
        <sz val="11"/>
        <color indexed="8"/>
        <rFont val="Arial"/>
        <family val="2"/>
      </rPr>
      <t>Meta Nacionales (FM + PEPFAR + GOES):</t>
    </r>
    <r>
      <rPr>
        <sz val="11"/>
        <color indexed="8"/>
        <rFont val="Arial"/>
        <family val="2"/>
        <charset val="1"/>
      </rPr>
      <t xml:space="preserve">    1709 mujeres transgénero cubiertas con paquetes de prevención  
</t>
    </r>
    <r>
      <rPr>
        <b/>
        <u/>
        <sz val="11"/>
        <color indexed="8"/>
        <rFont val="Arial"/>
        <family val="2"/>
      </rPr>
      <t xml:space="preserve">Meta FM:   </t>
    </r>
    <r>
      <rPr>
        <sz val="11"/>
        <color indexed="8"/>
        <rFont val="Arial"/>
        <family val="2"/>
        <charset val="1"/>
      </rPr>
      <t xml:space="preserve">  1453 Mujeres Transgeneros cubiertas con paquetes de prevención. 
</t>
    </r>
    <r>
      <rPr>
        <b/>
        <u/>
        <sz val="11"/>
        <color indexed="8"/>
        <rFont val="Arial"/>
        <family val="2"/>
      </rPr>
      <t>Metas MINSAL ( FM +GOES):</t>
    </r>
    <r>
      <rPr>
        <sz val="11"/>
        <color indexed="8"/>
        <rFont val="Arial"/>
        <family val="2"/>
        <charset val="1"/>
      </rPr>
      <t xml:space="preserve">  321 paquetes de prevención
</t>
    </r>
    <r>
      <rPr>
        <b/>
        <u/>
        <sz val="11"/>
        <color indexed="8"/>
        <rFont val="Arial"/>
        <family val="2"/>
      </rPr>
      <t xml:space="preserve">Metas PLAN: </t>
    </r>
    <r>
      <rPr>
        <sz val="11"/>
        <color indexed="8"/>
        <rFont val="Arial"/>
        <family val="2"/>
        <charset val="1"/>
      </rPr>
      <t xml:space="preserve">1336
</t>
    </r>
    <r>
      <rPr>
        <b/>
        <u/>
        <sz val="11"/>
        <color indexed="8"/>
        <rFont val="Arial"/>
        <family val="2"/>
      </rPr>
      <t xml:space="preserve">Metas PEPFAR: </t>
    </r>
    <r>
      <rPr>
        <sz val="11"/>
        <color indexed="8"/>
        <rFont val="Arial"/>
        <family val="2"/>
        <charset val="1"/>
      </rPr>
      <t xml:space="preserve">  51
</t>
    </r>
    <r>
      <rPr>
        <b/>
        <u/>
        <sz val="11"/>
        <color indexed="8"/>
        <rFont val="Arial"/>
        <family val="2"/>
      </rPr>
      <t xml:space="preserve">Número total de paquetes de prevención FM (PLAN + MINSAL)=  </t>
    </r>
    <r>
      <rPr>
        <sz val="11"/>
        <color indexed="8"/>
        <rFont val="Arial"/>
        <family val="2"/>
        <charset val="1"/>
      </rPr>
      <t xml:space="preserve">689 (datos preliminares)
</t>
    </r>
    <r>
      <rPr>
        <b/>
        <u/>
        <sz val="11"/>
        <color indexed="8"/>
        <rFont val="Arial"/>
        <family val="2"/>
      </rPr>
      <t>Paquetes de prevención entregados por Unidades Móviles de PLAN:</t>
    </r>
    <r>
      <rPr>
        <sz val="11"/>
        <color indexed="8"/>
        <rFont val="Arial"/>
        <family val="2"/>
        <charset val="1"/>
      </rPr>
      <t xml:space="preserve">  689 
</t>
    </r>
    <r>
      <rPr>
        <b/>
        <u/>
        <sz val="11"/>
        <color indexed="8"/>
        <rFont val="Arial"/>
        <family val="2"/>
      </rPr>
      <t>Paquetes de prevención entregados por PEPFAR:</t>
    </r>
    <r>
      <rPr>
        <sz val="11"/>
        <color indexed="8"/>
        <rFont val="Arial"/>
        <family val="2"/>
        <charset val="1"/>
      </rPr>
      <t xml:space="preserve"> 102
</t>
    </r>
    <r>
      <rPr>
        <b/>
        <u/>
        <sz val="11"/>
        <color indexed="8"/>
        <rFont val="Arial"/>
        <family val="2"/>
      </rPr>
      <t xml:space="preserve">Logro FM: </t>
    </r>
    <r>
      <rPr>
        <sz val="11"/>
        <color indexed="8"/>
        <rFont val="Arial"/>
        <family val="2"/>
        <charset val="1"/>
      </rPr>
      <t xml:space="preserve">= 689/1453= 47.41% de paquetes de prevención registradas.
</t>
    </r>
    <r>
      <rPr>
        <b/>
        <u/>
        <sz val="11"/>
        <color indexed="8"/>
        <rFont val="Arial"/>
        <family val="2"/>
      </rPr>
      <t>Logro Nacional:</t>
    </r>
    <r>
      <rPr>
        <sz val="11"/>
        <color indexed="8"/>
        <rFont val="Arial"/>
        <family val="2"/>
        <charset val="1"/>
      </rPr>
      <t xml:space="preserve"> 791/1709= 46.3%
</t>
    </r>
    <r>
      <rPr>
        <b/>
        <u/>
        <sz val="11"/>
        <color indexed="8"/>
        <rFont val="Arial"/>
        <family val="2"/>
      </rPr>
      <t>Fuente:</t>
    </r>
    <r>
      <rPr>
        <sz val="11"/>
        <color indexed="8"/>
        <rFont val="Arial"/>
        <family val="2"/>
        <charset val="1"/>
      </rPr>
      <t xml:space="preserve"> SIGPRO
Actualmente no se reportan datos MINSAL en vista que aun no se ha logrado concretizar la adquisición de condones y lubricantes debido a retrasos administrativos</t>
    </r>
  </si>
  <si>
    <r>
      <rPr>
        <b/>
        <u/>
        <sz val="11"/>
        <color indexed="8"/>
        <rFont val="Arial"/>
        <family val="2"/>
      </rPr>
      <t xml:space="preserve">Meta Nacionales (FM + PEPFAR + GOES): </t>
    </r>
    <r>
      <rPr>
        <sz val="11"/>
        <color indexed="8"/>
        <rFont val="Arial"/>
        <family val="2"/>
        <charset val="1"/>
      </rPr>
      <t xml:space="preserve">   10644  TS cubiertas con paquetes de prevención  
</t>
    </r>
    <r>
      <rPr>
        <b/>
        <u/>
        <sz val="11"/>
        <color indexed="8"/>
        <rFont val="Arial"/>
        <family val="2"/>
      </rPr>
      <t xml:space="preserve">Meta FM:  </t>
    </r>
    <r>
      <rPr>
        <sz val="11"/>
        <color indexed="8"/>
        <rFont val="Arial"/>
        <family val="2"/>
        <charset val="1"/>
      </rPr>
      <t xml:space="preserve">    8515 TS cubiertas con paquetes de prevención. 
</t>
    </r>
    <r>
      <rPr>
        <b/>
        <u/>
        <sz val="11"/>
        <color indexed="8"/>
        <rFont val="Arial"/>
        <family val="2"/>
      </rPr>
      <t xml:space="preserve">Metas MINSAL ( FM +GOES): </t>
    </r>
    <r>
      <rPr>
        <sz val="11"/>
        <color indexed="8"/>
        <rFont val="Arial"/>
        <family val="2"/>
        <charset val="1"/>
      </rPr>
      <t xml:space="preserve"> 2129 paquetes de prevención
</t>
    </r>
    <r>
      <rPr>
        <b/>
        <u/>
        <sz val="11"/>
        <color indexed="8"/>
        <rFont val="Arial"/>
        <family val="2"/>
      </rPr>
      <t>Metas PLAN:</t>
    </r>
    <r>
      <rPr>
        <sz val="11"/>
        <color indexed="8"/>
        <rFont val="Arial"/>
        <family val="2"/>
        <charset val="1"/>
      </rPr>
      <t xml:space="preserve"> 7834
</t>
    </r>
    <r>
      <rPr>
        <b/>
        <sz val="11"/>
        <color indexed="8"/>
        <rFont val="Arial"/>
        <family val="2"/>
      </rPr>
      <t>Metas PEPFAR:</t>
    </r>
    <r>
      <rPr>
        <sz val="11"/>
        <color indexed="8"/>
        <rFont val="Arial"/>
        <family val="2"/>
        <charset val="1"/>
      </rPr>
      <t xml:space="preserve">   319
</t>
    </r>
    <r>
      <rPr>
        <b/>
        <u/>
        <sz val="11"/>
        <color indexed="8"/>
        <rFont val="Arial"/>
        <family val="2"/>
      </rPr>
      <t xml:space="preserve">Número total de paquetes de prevención FM (PLAN + MINSAL): </t>
    </r>
    <r>
      <rPr>
        <sz val="11"/>
        <color indexed="8"/>
        <rFont val="Arial"/>
        <family val="2"/>
        <charset val="1"/>
      </rPr>
      <t xml:space="preserve"> 3831 (datos preliminares)
</t>
    </r>
    <r>
      <rPr>
        <b/>
        <u/>
        <sz val="11"/>
        <color indexed="8"/>
        <rFont val="Arial"/>
        <family val="2"/>
      </rPr>
      <t xml:space="preserve">Paquetes de prevención entregados por Unidades Móviles de PLAN: </t>
    </r>
    <r>
      <rPr>
        <sz val="11"/>
        <color indexed="8"/>
        <rFont val="Arial"/>
        <family val="2"/>
        <charset val="1"/>
      </rPr>
      <t xml:space="preserve"> 3831
</t>
    </r>
    <r>
      <rPr>
        <b/>
        <u/>
        <sz val="11"/>
        <color indexed="8"/>
        <rFont val="Arial"/>
        <family val="2"/>
      </rPr>
      <t>Logro FM =</t>
    </r>
    <r>
      <rPr>
        <sz val="11"/>
        <color indexed="8"/>
        <rFont val="Arial"/>
        <family val="2"/>
        <charset val="1"/>
      </rPr>
      <t xml:space="preserve"> 3831/10644= 36% de paquetes de prevención registrados, PEPFAR no reporto producción
</t>
    </r>
    <r>
      <rPr>
        <b/>
        <u/>
        <sz val="11"/>
        <color indexed="8"/>
        <rFont val="Arial"/>
        <family val="2"/>
      </rPr>
      <t xml:space="preserve">Fuente: </t>
    </r>
    <r>
      <rPr>
        <sz val="11"/>
        <color indexed="8"/>
        <rFont val="Arial"/>
        <family val="2"/>
        <charset val="1"/>
      </rPr>
      <t>SIGPRO
Actualmente no se reportan datos MINSAL en vista que aun no se ha logrado concretizar la adquisición de condones y lubricantes debido a retrasos administrativos</t>
    </r>
  </si>
  <si>
    <r>
      <rPr>
        <b/>
        <u/>
        <sz val="11"/>
        <rFont val="Arial"/>
        <family val="2"/>
      </rPr>
      <t xml:space="preserve">Meta Nacional:  </t>
    </r>
    <r>
      <rPr>
        <sz val="11"/>
        <rFont val="Arial"/>
        <family val="2"/>
      </rPr>
      <t xml:space="preserve">  32500 PPL  que se han realizado la prueba de VIH y que conocen sus resultados  
</t>
    </r>
    <r>
      <rPr>
        <b/>
        <u/>
        <sz val="11"/>
        <rFont val="Arial"/>
        <family val="2"/>
      </rPr>
      <t>Logro: =</t>
    </r>
    <r>
      <rPr>
        <sz val="11"/>
        <rFont val="Arial"/>
        <family val="2"/>
      </rPr>
      <t xml:space="preserve"> 3274/32500= 10% PPL que se han realizado la prueba de VIH y que conocen sus resultados (datos preliminares)
</t>
    </r>
    <r>
      <rPr>
        <b/>
        <u/>
        <sz val="11"/>
        <rFont val="Arial"/>
        <family val="2"/>
      </rPr>
      <t>Fuente:</t>
    </r>
    <r>
      <rPr>
        <sz val="11"/>
        <rFont val="Arial"/>
        <family val="2"/>
      </rPr>
      <t xml:space="preserve"> SUMEVE
</t>
    </r>
    <r>
      <rPr>
        <b/>
        <u/>
        <sz val="11"/>
        <rFont val="Arial"/>
        <family val="2"/>
      </rPr>
      <t>El resultado de este indicador se esta viendo afectado por dos situaciones:</t>
    </r>
    <r>
      <rPr>
        <sz val="11"/>
        <rFont val="Arial"/>
        <family val="2"/>
      </rPr>
      <t xml:space="preserve">
1. La extensión de las medidas extraordinarias tomadas por la presidencia de la República en los centros penales.
2. Retraso en la digitación: Actualmente el MINSAL no cuenta con recursos suficientes para poder digitar las pruebas de VIH y posteconsejerías brindadas a las PPL, lo que ha generado un retraso de la información de mas o menos 4 meses, se han realizado gestiones para que ONUSIDA y USAID a través del proyecto de cuidado y tratamiento apoye con 3 recursos para minimizar dicha situación.</t>
    </r>
  </si>
  <si>
    <r>
      <t xml:space="preserve">Meta: 7.2% 
Numerador: 151
Denominador: 1139
Logro: 13% (datos preliminares)
</t>
    </r>
    <r>
      <rPr>
        <b/>
        <u/>
        <sz val="11"/>
        <rFont val="Arial"/>
        <family val="2"/>
      </rPr>
      <t>Fuente:</t>
    </r>
    <r>
      <rPr>
        <sz val="11"/>
        <rFont val="Arial"/>
        <family val="2"/>
      </rPr>
      <t xml:space="preserve"> SIAP/VICITS
La prevalencia registrada en el SIAP/VICITS corresponde a las atenciones que se han brindado a la población HSH
A pesar de las acciones tomadas no se ha logrado disminuir la prevalencia de VIH en esta población, la prevalencia se mantiene y no se logra disminuir por lo que es necesario realizar un analisis de las medidas medidas de prevención que se estan ejecutando con esta población.
</t>
    </r>
  </si>
  <si>
    <r>
      <t xml:space="preserve">Meta: 3.7% 
Numerador: 11
Denominador: 320
Logro: 3.4% (datos preliminares)
</t>
    </r>
    <r>
      <rPr>
        <b/>
        <u/>
        <sz val="11"/>
        <rFont val="Arial"/>
        <family val="2"/>
      </rPr>
      <t>Fuente:</t>
    </r>
    <r>
      <rPr>
        <sz val="11"/>
        <rFont val="Arial"/>
        <family val="2"/>
      </rPr>
      <t xml:space="preserve"> SIAP/VICITS 
La prevalencia registrada en el SIAP/VICITS corresponde a las atenciones brindadas a las TS, reporta una ligera disminución de la Meta propuesta hasta la fecha.</t>
    </r>
  </si>
  <si>
    <r>
      <rPr>
        <b/>
        <u/>
        <sz val="12"/>
        <color indexed="8"/>
        <rFont val="Arial"/>
        <family val="2"/>
      </rPr>
      <t>Meta :</t>
    </r>
    <r>
      <rPr>
        <sz val="12"/>
        <color indexed="8"/>
        <rFont val="Arial"/>
        <family val="2"/>
      </rPr>
      <t xml:space="preserve"> 13,650 proyectada la cual se calculo en base a la cantidad de Personas viviendo con VIH estimadas para el año 2019. 
</t>
    </r>
    <r>
      <rPr>
        <b/>
        <u/>
        <sz val="12"/>
        <color indexed="8"/>
        <rFont val="Arial"/>
        <family val="2"/>
      </rPr>
      <t>Alcance:</t>
    </r>
    <r>
      <rPr>
        <sz val="12"/>
        <color indexed="8"/>
        <rFont val="Arial"/>
        <family val="2"/>
      </rPr>
      <t xml:space="preserve"> 10,117 se encuentran recibiendo TAR, debido a que son las que cumplen con los criterios  para inicio de la TAR ( CD4 menor e igual a 500). He de recordar que en el País no existe lista de espera. Durante este semestre se tuvo dificultad para la adquisición de algunos ARV entre ellos la atripla por lo que ciertos hospitales estuvieron desabastecidos, la medidad a tomar fue de brindar dosis separadas mientras se solventaba la situación de adquisición.  (datos preliminares).
</t>
    </r>
    <r>
      <rPr>
        <b/>
        <u/>
        <sz val="12"/>
        <color indexed="8"/>
        <rFont val="Arial"/>
        <family val="2"/>
      </rPr>
      <t>Logro</t>
    </r>
    <r>
      <rPr>
        <sz val="12"/>
        <color indexed="8"/>
        <rFont val="Arial"/>
        <family val="2"/>
      </rPr>
      <t xml:space="preserve">: 74%
</t>
    </r>
    <r>
      <rPr>
        <b/>
        <u/>
        <sz val="12"/>
        <color indexed="8"/>
        <rFont val="Arial"/>
        <family val="2"/>
      </rPr>
      <t>Fuente:</t>
    </r>
    <r>
      <rPr>
        <sz val="12"/>
        <color indexed="8"/>
        <rFont val="Arial"/>
        <family val="2"/>
      </rPr>
      <t xml:space="preserve"> SUMEVE
</t>
    </r>
  </si>
  <si>
    <t>HSH</t>
  </si>
  <si>
    <t>TS</t>
  </si>
  <si>
    <t>MT</t>
  </si>
  <si>
    <t xml:space="preserve">Meta </t>
  </si>
  <si>
    <t xml:space="preserve">Logro </t>
  </si>
  <si>
    <t xml:space="preserve">Porcentaje </t>
  </si>
  <si>
    <t xml:space="preserve">Paquetes prevención </t>
  </si>
  <si>
    <t>Prueba y conoce los resultados</t>
  </si>
  <si>
    <t>Porcentaje de hombres que tienen relaciones sexuales con hombres cubiertos por programas de prevención del VIH (paquetes definidos de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</si>
</sst>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44" formatCode="_-&quot;$&quot;* #,##0.00_-;\-&quot;$&quot;* #,##0.00_-;_-&quot;$&quot;* &quot;-&quot;??_-;_-@_-"/>
    <numFmt numFmtId="43" formatCode="_-* #,##0.00_-;\-* #,##0.00_-;_-* &quot;-&quot;??_-;_-@_-"/>
    <numFmt numFmtId="164" formatCode="_([$€]* #,##0.00_);_([$€]* \(#,##0.00\);_([$€]* \-??_);_(@_)"/>
    <numFmt numFmtId="165" formatCode="_(* #,##0.00_);_(* \(#,##0.00\);_(* \-??_);_(@_)"/>
    <numFmt numFmtId="166" formatCode="_(\Q* #,##0.00_);_(\Q* \(#,##0.00\);_(\Q* \-??_);_(@_)"/>
    <numFmt numFmtId="167" formatCode="d&quot; de &quot;mmm&quot; de &quot;yy"/>
    <numFmt numFmtId="168" formatCode="\Q#,##0_);[Red]&quot;(Q&quot;#,##0\)"/>
    <numFmt numFmtId="169" formatCode="_(* #,##0_);_(* \(#,##0\);_(* \-??_);_(@_)"/>
    <numFmt numFmtId="170" formatCode="\$#,##0"/>
    <numFmt numFmtId="171" formatCode="\$#,##0.00"/>
    <numFmt numFmtId="172" formatCode="#.##0"/>
    <numFmt numFmtId="173" formatCode="[$$-409]#,##0"/>
    <numFmt numFmtId="174" formatCode="_(\$* #,##0.00_);_(\$* \(#,##0.00\);_(\$* \-??_);_(@_)"/>
    <numFmt numFmtId="175" formatCode="#.##000"/>
    <numFmt numFmtId="176" formatCode="000%"/>
    <numFmt numFmtId="177" formatCode="_-\$* #,##0.00_-;&quot;-$&quot;* #,##0.00_-;_-\$* \-??_-;_-@_-"/>
    <numFmt numFmtId="178" formatCode="_-[$$-240A]* #,##0.00_-;\-[$$-240A]* #,##0.00_-;_-[$$-240A]* \-?????_-;_-@_-"/>
    <numFmt numFmtId="179" formatCode="_-[$$-240A]* #,##0.00_-;\-[$$-240A]* #,##0.00_-;_-[$$-240A]* \-??_-;_-@_-"/>
    <numFmt numFmtId="180" formatCode="\$#,##0.000"/>
    <numFmt numFmtId="181" formatCode="0.0"/>
    <numFmt numFmtId="182" formatCode="#"/>
    <numFmt numFmtId="183" formatCode="#,#00.0%"/>
    <numFmt numFmtId="184" formatCode="#,##0.0%"/>
    <numFmt numFmtId="185" formatCode="#,#00%"/>
    <numFmt numFmtId="186" formatCode="#.00"/>
    <numFmt numFmtId="187" formatCode="#.0"/>
    <numFmt numFmtId="188" formatCode="dd\/mm\/yyyy"/>
    <numFmt numFmtId="189" formatCode="[$$-409]#,##0_);\([$$-409]#,##0\)"/>
    <numFmt numFmtId="190" formatCode="d/mmm/yyyy;@"/>
    <numFmt numFmtId="191" formatCode="dd\/mm\/yy\ hh:mm"/>
    <numFmt numFmtId="192" formatCode="000"/>
    <numFmt numFmtId="193" formatCode="#,###.0%"/>
    <numFmt numFmtId="194" formatCode=";;;"/>
    <numFmt numFmtId="195" formatCode=";;;&quot;Financial Variance in %&quot;"/>
    <numFmt numFmtId="196" formatCode="#.##"/>
    <numFmt numFmtId="197" formatCode="#.#"/>
    <numFmt numFmtId="198" formatCode="0.0%"/>
    <numFmt numFmtId="199" formatCode="#,##0.00\ ;\-#,##0.00\ ;&quot; -&quot;#\ ;@\ "/>
  </numFmts>
  <fonts count="117">
    <font>
      <sz val="11"/>
      <color indexed="8"/>
      <name val="Calibri"/>
      <family val="2"/>
    </font>
    <font>
      <sz val="11"/>
      <color theme="1"/>
      <name val="Calibri"/>
      <family val="2"/>
      <scheme val="minor"/>
    </font>
    <font>
      <sz val="10"/>
      <name val="Arial"/>
      <family val="2"/>
    </font>
    <font>
      <sz val="22"/>
      <color indexed="9"/>
      <name val="Calibri"/>
      <family val="2"/>
    </font>
    <font>
      <sz val="28"/>
      <color indexed="9"/>
      <name val="Calibri"/>
      <family val="2"/>
    </font>
    <font>
      <b/>
      <sz val="14"/>
      <color indexed="8"/>
      <name val="Calibri"/>
      <family val="2"/>
    </font>
    <font>
      <b/>
      <sz val="16"/>
      <color indexed="8"/>
      <name val="Calibri"/>
      <family val="2"/>
    </font>
    <font>
      <sz val="10"/>
      <color indexed="9"/>
      <name val="Arial"/>
      <family val="2"/>
    </font>
    <font>
      <b/>
      <i/>
      <sz val="11"/>
      <color indexed="8"/>
      <name val="Calibri"/>
      <family val="2"/>
    </font>
    <font>
      <sz val="10"/>
      <color indexed="8"/>
      <name val="Arial"/>
      <family val="2"/>
    </font>
    <font>
      <sz val="11"/>
      <color indexed="8"/>
      <name val="Arial"/>
      <family val="2"/>
    </font>
    <font>
      <b/>
      <sz val="18"/>
      <color indexed="8"/>
      <name val="Calibri"/>
      <family val="2"/>
    </font>
    <font>
      <sz val="16"/>
      <color indexed="8"/>
      <name val="Calibri"/>
      <family val="2"/>
    </font>
    <font>
      <b/>
      <sz val="12"/>
      <color indexed="8"/>
      <name val="Arial"/>
      <family val="2"/>
    </font>
    <font>
      <b/>
      <sz val="11"/>
      <color indexed="8"/>
      <name val="Arial"/>
      <family val="2"/>
    </font>
    <font>
      <b/>
      <i/>
      <sz val="11"/>
      <color indexed="8"/>
      <name val="Arial"/>
      <family val="2"/>
    </font>
    <font>
      <sz val="11"/>
      <color indexed="53"/>
      <name val="Calibri"/>
      <family val="2"/>
    </font>
    <font>
      <i/>
      <sz val="11"/>
      <color indexed="8"/>
      <name val="Arial"/>
      <family val="2"/>
    </font>
    <font>
      <sz val="11"/>
      <name val="Arial"/>
      <family val="2"/>
    </font>
    <font>
      <b/>
      <sz val="14"/>
      <color indexed="61"/>
      <name val="Calibri"/>
      <family val="2"/>
    </font>
    <font>
      <b/>
      <sz val="11"/>
      <color indexed="8"/>
      <name val="Calibri"/>
      <family val="2"/>
    </font>
    <font>
      <b/>
      <sz val="12"/>
      <color indexed="8"/>
      <name val="Calibri"/>
      <family val="2"/>
    </font>
    <font>
      <b/>
      <sz val="12"/>
      <name val="Arial"/>
      <family val="2"/>
    </font>
    <font>
      <sz val="10"/>
      <color indexed="8"/>
      <name val="Calibri"/>
      <family val="2"/>
    </font>
    <font>
      <sz val="14"/>
      <color indexed="9"/>
      <name val="Calibri"/>
      <family val="2"/>
    </font>
    <font>
      <sz val="16"/>
      <color indexed="9"/>
      <name val="Calibri"/>
      <family val="2"/>
    </font>
    <font>
      <i/>
      <sz val="11"/>
      <color indexed="8"/>
      <name val="Calibri"/>
      <family val="2"/>
    </font>
    <font>
      <sz val="11"/>
      <color indexed="9"/>
      <name val="Calibri"/>
      <family val="2"/>
    </font>
    <font>
      <i/>
      <sz val="9"/>
      <color indexed="8"/>
      <name val="Calibri"/>
      <family val="2"/>
    </font>
    <font>
      <b/>
      <sz val="14"/>
      <color indexed="60"/>
      <name val="Calibri"/>
      <family val="2"/>
    </font>
    <font>
      <b/>
      <sz val="11"/>
      <color indexed="60"/>
      <name val="Calibri"/>
      <family val="2"/>
    </font>
    <font>
      <sz val="11"/>
      <color indexed="12"/>
      <name val="Calibri"/>
      <family val="2"/>
    </font>
    <font>
      <b/>
      <sz val="10"/>
      <color indexed="8"/>
      <name val="Calibri"/>
      <family val="2"/>
    </font>
    <font>
      <sz val="11"/>
      <name val="Calibri"/>
      <family val="2"/>
    </font>
    <font>
      <b/>
      <sz val="11"/>
      <color indexed="16"/>
      <name val="Calibri"/>
      <family val="2"/>
    </font>
    <font>
      <sz val="11"/>
      <color indexed="60"/>
      <name val="Calibri"/>
      <family val="2"/>
    </font>
    <font>
      <sz val="11"/>
      <color indexed="16"/>
      <name val="Calibri"/>
      <family val="2"/>
    </font>
    <font>
      <b/>
      <sz val="10"/>
      <color indexed="16"/>
      <name val="Calibri"/>
      <family val="2"/>
    </font>
    <font>
      <sz val="10"/>
      <color indexed="60"/>
      <name val="Calibri"/>
      <family val="2"/>
    </font>
    <font>
      <b/>
      <sz val="10"/>
      <color indexed="60"/>
      <name val="Calibri"/>
      <family val="2"/>
    </font>
    <font>
      <sz val="11"/>
      <color indexed="10"/>
      <name val="Calibri"/>
      <family val="2"/>
    </font>
    <font>
      <b/>
      <sz val="14"/>
      <color indexed="40"/>
      <name val="Calibri"/>
      <family val="2"/>
    </font>
    <font>
      <b/>
      <sz val="14"/>
      <color indexed="44"/>
      <name val="Calibri"/>
      <family val="2"/>
    </font>
    <font>
      <sz val="11"/>
      <color indexed="40"/>
      <name val="Calibri"/>
      <family val="2"/>
    </font>
    <font>
      <b/>
      <sz val="14"/>
      <name val="Calibri"/>
      <family val="2"/>
    </font>
    <font>
      <i/>
      <sz val="11"/>
      <name val="Calibri"/>
      <family val="2"/>
    </font>
    <font>
      <b/>
      <sz val="14"/>
      <color indexed="52"/>
      <name val="Calibri"/>
      <family val="2"/>
    </font>
    <font>
      <b/>
      <sz val="14"/>
      <color indexed="51"/>
      <name val="Calibri"/>
      <family val="2"/>
    </font>
    <font>
      <b/>
      <sz val="10"/>
      <color indexed="53"/>
      <name val="Calibri"/>
      <family val="2"/>
    </font>
    <font>
      <b/>
      <sz val="11"/>
      <color indexed="52"/>
      <name val="Calibri"/>
      <family val="2"/>
    </font>
    <font>
      <b/>
      <sz val="10"/>
      <name val="Arial"/>
      <family val="2"/>
    </font>
    <font>
      <sz val="14"/>
      <name val="Arial"/>
      <family val="2"/>
    </font>
    <font>
      <b/>
      <sz val="10"/>
      <color indexed="16"/>
      <name val="Arial"/>
      <family val="2"/>
    </font>
    <font>
      <vertAlign val="superscript"/>
      <sz val="14"/>
      <name val="Arial"/>
      <family val="2"/>
    </font>
    <font>
      <b/>
      <u/>
      <sz val="10"/>
      <name val="Arial"/>
      <family val="2"/>
    </font>
    <font>
      <b/>
      <u/>
      <sz val="10"/>
      <color indexed="8"/>
      <name val="Arial"/>
      <family val="2"/>
    </font>
    <font>
      <b/>
      <sz val="10"/>
      <color indexed="8"/>
      <name val="Arial"/>
      <family val="2"/>
    </font>
    <font>
      <sz val="48"/>
      <color indexed="8"/>
      <name val="Calibri"/>
      <family val="2"/>
    </font>
    <font>
      <b/>
      <sz val="8"/>
      <color indexed="32"/>
      <name val="Tahoma"/>
      <family val="2"/>
    </font>
    <font>
      <sz val="28"/>
      <name val="Calibri"/>
      <family val="2"/>
    </font>
    <font>
      <sz val="12"/>
      <color indexed="8"/>
      <name val="Calibri"/>
      <family val="2"/>
    </font>
    <font>
      <b/>
      <sz val="11"/>
      <name val="Calibri"/>
      <family val="2"/>
    </font>
    <font>
      <sz val="11"/>
      <color indexed="9"/>
      <name val="Arial"/>
      <family val="2"/>
    </font>
    <font>
      <sz val="14"/>
      <color indexed="8"/>
      <name val="Calibri"/>
      <family val="2"/>
    </font>
    <font>
      <sz val="12"/>
      <color indexed="9"/>
      <name val="Calibri"/>
      <family val="2"/>
    </font>
    <font>
      <b/>
      <sz val="11"/>
      <color indexed="61"/>
      <name val="Calibri"/>
      <family val="2"/>
    </font>
    <font>
      <sz val="11"/>
      <color indexed="59"/>
      <name val="Calibri"/>
      <family val="2"/>
    </font>
    <font>
      <b/>
      <i/>
      <sz val="14"/>
      <color indexed="12"/>
      <name val="Calibri"/>
      <family val="2"/>
    </font>
    <font>
      <b/>
      <sz val="9"/>
      <color indexed="8"/>
      <name val="Calibri"/>
      <family val="2"/>
    </font>
    <font>
      <sz val="8"/>
      <color indexed="8"/>
      <name val="Calibri"/>
      <family val="2"/>
    </font>
    <font>
      <sz val="8"/>
      <name val="Calibri"/>
      <family val="2"/>
    </font>
    <font>
      <b/>
      <sz val="8"/>
      <color indexed="8"/>
      <name val="Calibri"/>
      <family val="2"/>
    </font>
    <font>
      <sz val="9"/>
      <color indexed="16"/>
      <name val="Calibri"/>
      <family val="2"/>
    </font>
    <font>
      <sz val="7"/>
      <color indexed="16"/>
      <name val="Calibri"/>
      <family val="2"/>
    </font>
    <font>
      <i/>
      <sz val="8"/>
      <color indexed="8"/>
      <name val="Calibri"/>
      <family val="2"/>
    </font>
    <font>
      <sz val="11"/>
      <color indexed="29"/>
      <name val="Calibri"/>
      <family val="2"/>
    </font>
    <font>
      <sz val="9"/>
      <color indexed="8"/>
      <name val="Verdana"/>
      <family val="2"/>
    </font>
    <font>
      <b/>
      <sz val="10"/>
      <color indexed="63"/>
      <name val="Verdana"/>
      <family val="2"/>
    </font>
    <font>
      <b/>
      <sz val="10"/>
      <name val="Verdana"/>
      <family val="2"/>
    </font>
    <font>
      <sz val="8"/>
      <color indexed="8"/>
      <name val="Verdana"/>
      <family val="2"/>
    </font>
    <font>
      <b/>
      <sz val="12"/>
      <color indexed="56"/>
      <name val="Tahoma"/>
      <family val="2"/>
    </font>
    <font>
      <b/>
      <sz val="8"/>
      <name val="Tahoma"/>
      <family val="2"/>
    </font>
    <font>
      <b/>
      <sz val="8"/>
      <color indexed="9"/>
      <name val="Tahoma"/>
      <family val="2"/>
    </font>
    <font>
      <sz val="8"/>
      <name val="Webdings"/>
      <family val="1"/>
      <charset val="2"/>
    </font>
    <font>
      <sz val="7"/>
      <color indexed="43"/>
      <name val="Verdana"/>
      <family val="2"/>
    </font>
    <font>
      <sz val="14"/>
      <name val="Calibri"/>
      <family val="2"/>
    </font>
    <font>
      <sz val="9"/>
      <color indexed="8"/>
      <name val="Tahoma"/>
      <family val="2"/>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b/>
      <sz val="8"/>
      <name val="Arial"/>
      <family val="2"/>
    </font>
    <font>
      <b/>
      <sz val="8"/>
      <color indexed="56"/>
      <name val="Tahoma"/>
      <family val="2"/>
    </font>
    <font>
      <b/>
      <sz val="8"/>
      <color indexed="9"/>
      <name val="Calibri"/>
      <family val="2"/>
    </font>
    <font>
      <sz val="8"/>
      <color indexed="9"/>
      <name val="Arial"/>
      <family val="2"/>
    </font>
    <font>
      <sz val="8"/>
      <color indexed="9"/>
      <name val="Tahoma"/>
      <family val="2"/>
    </font>
    <font>
      <b/>
      <sz val="8"/>
      <color indexed="9"/>
      <name val="Verdana"/>
      <family val="2"/>
    </font>
    <font>
      <sz val="11"/>
      <color indexed="16"/>
      <name val="Arial Black"/>
      <family val="2"/>
    </font>
    <font>
      <b/>
      <sz val="14"/>
      <color indexed="16"/>
      <name val="Calibri"/>
      <family val="2"/>
    </font>
    <font>
      <sz val="9"/>
      <color indexed="16"/>
      <name val="Verdana"/>
      <family val="2"/>
    </font>
    <font>
      <b/>
      <sz val="10"/>
      <color indexed="16"/>
      <name val="Verdana"/>
      <family val="2"/>
    </font>
    <font>
      <b/>
      <sz val="14"/>
      <color indexed="9"/>
      <name val="Calibri"/>
      <family val="2"/>
    </font>
    <font>
      <sz val="10"/>
      <color indexed="59"/>
      <name val="Calibri"/>
      <family val="2"/>
    </font>
    <font>
      <sz val="11"/>
      <color indexed="8"/>
      <name val="Calibri"/>
      <family val="2"/>
    </font>
    <font>
      <sz val="11"/>
      <color rgb="FFFF0000"/>
      <name val="Calibri"/>
      <family val="2"/>
    </font>
    <font>
      <sz val="10"/>
      <name val="Arial"/>
      <family val="2"/>
      <charset val="1"/>
    </font>
    <font>
      <u/>
      <sz val="10"/>
      <name val="Arial"/>
      <family val="2"/>
    </font>
    <font>
      <b/>
      <sz val="10"/>
      <color theme="1"/>
      <name val="Arial"/>
      <family val="2"/>
    </font>
    <font>
      <sz val="10"/>
      <color theme="1"/>
      <name val="Arial"/>
      <family val="2"/>
    </font>
    <font>
      <b/>
      <u/>
      <sz val="10"/>
      <color theme="1"/>
      <name val="Arial"/>
      <family val="2"/>
    </font>
    <font>
      <sz val="11"/>
      <color indexed="8"/>
      <name val="Arial"/>
      <family val="2"/>
      <charset val="1"/>
    </font>
    <font>
      <b/>
      <u/>
      <sz val="11"/>
      <color indexed="8"/>
      <name val="Arial"/>
      <family val="2"/>
    </font>
    <font>
      <b/>
      <u/>
      <sz val="11"/>
      <name val="Arial"/>
      <family val="2"/>
    </font>
    <font>
      <sz val="12"/>
      <color indexed="8"/>
      <name val="Arial"/>
      <family val="2"/>
    </font>
    <font>
      <b/>
      <u/>
      <sz val="12"/>
      <color indexed="8"/>
      <name val="Arial"/>
      <family val="2"/>
    </font>
    <font>
      <sz val="24"/>
      <color indexed="8"/>
      <name val="Calibri"/>
      <family val="2"/>
    </font>
  </fonts>
  <fills count="18">
    <fill>
      <patternFill patternType="none"/>
    </fill>
    <fill>
      <patternFill patternType="gray125"/>
    </fill>
    <fill>
      <patternFill patternType="solid">
        <fgColor indexed="18"/>
        <bgColor indexed="56"/>
      </patternFill>
    </fill>
    <fill>
      <patternFill patternType="solid">
        <fgColor indexed="62"/>
        <bgColor indexed="56"/>
      </patternFill>
    </fill>
    <fill>
      <patternFill patternType="solid">
        <fgColor indexed="47"/>
        <bgColor indexed="41"/>
      </patternFill>
    </fill>
    <fill>
      <patternFill patternType="solid">
        <fgColor indexed="44"/>
        <bgColor indexed="24"/>
      </patternFill>
    </fill>
    <fill>
      <patternFill patternType="solid">
        <fgColor indexed="43"/>
        <bgColor indexed="41"/>
      </patternFill>
    </fill>
    <fill>
      <patternFill patternType="solid">
        <fgColor indexed="9"/>
        <bgColor indexed="26"/>
      </patternFill>
    </fill>
    <fill>
      <patternFill patternType="solid">
        <fgColor indexed="57"/>
        <bgColor indexed="38"/>
      </patternFill>
    </fill>
    <fill>
      <patternFill patternType="solid">
        <fgColor indexed="22"/>
        <bgColor indexed="31"/>
      </patternFill>
    </fill>
    <fill>
      <patternFill patternType="solid">
        <fgColor indexed="61"/>
        <bgColor indexed="29"/>
      </patternFill>
    </fill>
    <fill>
      <patternFill patternType="solid">
        <fgColor indexed="41"/>
        <bgColor indexed="43"/>
      </patternFill>
    </fill>
    <fill>
      <patternFill patternType="solid">
        <fgColor indexed="26"/>
        <bgColor indexed="9"/>
      </patternFill>
    </fill>
    <fill>
      <patternFill patternType="solid">
        <fgColor indexed="25"/>
        <bgColor indexed="60"/>
      </patternFill>
    </fill>
    <fill>
      <patternFill patternType="solid">
        <fgColor indexed="13"/>
        <bgColor indexed="34"/>
      </patternFill>
    </fill>
    <fill>
      <patternFill patternType="solid">
        <fgColor indexed="11"/>
        <bgColor indexed="49"/>
      </patternFill>
    </fill>
    <fill>
      <patternFill patternType="solid">
        <fgColor indexed="42"/>
        <bgColor indexed="27"/>
      </patternFill>
    </fill>
    <fill>
      <patternFill patternType="solid">
        <fgColor theme="5" tint="0.39997558519241921"/>
        <bgColor indexed="41"/>
      </patternFill>
    </fill>
  </fills>
  <borders count="176">
    <border>
      <left/>
      <right/>
      <top/>
      <bottom/>
      <diagonal/>
    </border>
    <border>
      <left/>
      <right/>
      <top/>
      <bottom style="medium">
        <color indexed="30"/>
      </bottom>
      <diagonal/>
    </border>
    <border>
      <left style="thin">
        <color indexed="32"/>
      </left>
      <right style="thin">
        <color indexed="32"/>
      </right>
      <top style="thin">
        <color indexed="32"/>
      </top>
      <bottom style="thin">
        <color indexed="32"/>
      </bottom>
      <diagonal/>
    </border>
    <border>
      <left/>
      <right/>
      <top style="thin">
        <color indexed="32"/>
      </top>
      <bottom/>
      <diagonal/>
    </border>
    <border>
      <left style="thin">
        <color indexed="32"/>
      </left>
      <right style="thin">
        <color indexed="32"/>
      </right>
      <top style="thin">
        <color indexed="32"/>
      </top>
      <bottom/>
      <diagonal/>
    </border>
    <border>
      <left style="thin">
        <color indexed="32"/>
      </left>
      <right style="thin">
        <color indexed="32"/>
      </right>
      <top/>
      <bottom style="thin">
        <color indexed="32"/>
      </bottom>
      <diagonal/>
    </border>
    <border>
      <left style="thin">
        <color indexed="32"/>
      </left>
      <right/>
      <top style="thin">
        <color indexed="32"/>
      </top>
      <bottom style="thin">
        <color indexed="32"/>
      </bottom>
      <diagonal/>
    </border>
    <border>
      <left/>
      <right/>
      <top style="thin">
        <color indexed="32"/>
      </top>
      <bottom style="thin">
        <color indexed="32"/>
      </bottom>
      <diagonal/>
    </border>
    <border>
      <left/>
      <right style="thin">
        <color indexed="32"/>
      </right>
      <top style="thin">
        <color indexed="32"/>
      </top>
      <bottom style="thin">
        <color indexed="32"/>
      </bottom>
      <diagonal/>
    </border>
    <border>
      <left style="thin">
        <color indexed="32"/>
      </left>
      <right style="thin">
        <color indexed="32"/>
      </right>
      <top/>
      <bottom/>
      <diagonal/>
    </border>
    <border>
      <left style="thin">
        <color indexed="32"/>
      </left>
      <right/>
      <top/>
      <bottom/>
      <diagonal/>
    </border>
    <border>
      <left/>
      <right style="thin">
        <color indexed="32"/>
      </right>
      <top/>
      <bottom/>
      <diagonal/>
    </border>
    <border>
      <left/>
      <right/>
      <top/>
      <bottom style="medium">
        <color indexed="60"/>
      </bottom>
      <diagonal/>
    </border>
    <border>
      <left style="medium">
        <color indexed="60"/>
      </left>
      <right style="medium">
        <color indexed="60"/>
      </right>
      <top style="medium">
        <color indexed="60"/>
      </top>
      <bottom style="medium">
        <color indexed="60"/>
      </bottom>
      <diagonal/>
    </border>
    <border>
      <left/>
      <right/>
      <top style="medium">
        <color indexed="60"/>
      </top>
      <bottom/>
      <diagonal/>
    </border>
    <border>
      <left style="medium">
        <color indexed="16"/>
      </left>
      <right style="medium">
        <color indexed="16"/>
      </right>
      <top style="medium">
        <color indexed="16"/>
      </top>
      <bottom style="thin">
        <color indexed="16"/>
      </bottom>
      <diagonal/>
    </border>
    <border>
      <left style="medium">
        <color indexed="16"/>
      </left>
      <right style="thin">
        <color indexed="16"/>
      </right>
      <top style="thin">
        <color indexed="16"/>
      </top>
      <bottom style="thin">
        <color indexed="16"/>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medium">
        <color indexed="16"/>
      </left>
      <right style="thin">
        <color indexed="16"/>
      </right>
      <top/>
      <bottom style="thin">
        <color indexed="16"/>
      </bottom>
      <diagonal/>
    </border>
    <border>
      <left style="thin">
        <color indexed="16"/>
      </left>
      <right style="thin">
        <color indexed="16"/>
      </right>
      <top style="thin">
        <color indexed="16"/>
      </top>
      <bottom/>
      <diagonal/>
    </border>
    <border>
      <left style="medium">
        <color indexed="16"/>
      </left>
      <right style="medium">
        <color indexed="16"/>
      </right>
      <top style="thin">
        <color indexed="16"/>
      </top>
      <bottom style="medium">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thin">
        <color indexed="32"/>
      </left>
      <right style="thin">
        <color indexed="32"/>
      </right>
      <top style="thin">
        <color indexed="32"/>
      </top>
      <bottom style="medium">
        <color indexed="16"/>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thin">
        <color indexed="60"/>
      </left>
      <right style="thin">
        <color indexed="60"/>
      </right>
      <top style="thin">
        <color indexed="60"/>
      </top>
      <bottom style="medium">
        <color indexed="60"/>
      </bottom>
      <diagonal/>
    </border>
    <border>
      <left style="medium">
        <color indexed="32"/>
      </left>
      <right style="medium">
        <color indexed="32"/>
      </right>
      <top style="medium">
        <color indexed="32"/>
      </top>
      <bottom style="medium">
        <color indexed="32"/>
      </bottom>
      <diagonal/>
    </border>
    <border>
      <left style="medium">
        <color indexed="60"/>
      </left>
      <right/>
      <top style="medium">
        <color indexed="60"/>
      </top>
      <bottom style="thin">
        <color indexed="32"/>
      </bottom>
      <diagonal/>
    </border>
    <border>
      <left style="thin">
        <color indexed="60"/>
      </left>
      <right style="thin">
        <color indexed="60"/>
      </right>
      <top style="medium">
        <color indexed="60"/>
      </top>
      <bottom style="thin">
        <color indexed="32"/>
      </bottom>
      <diagonal/>
    </border>
    <border>
      <left/>
      <right style="medium">
        <color indexed="60"/>
      </right>
      <top style="medium">
        <color indexed="60"/>
      </top>
      <bottom/>
      <diagonal/>
    </border>
    <border>
      <left style="medium">
        <color indexed="60"/>
      </left>
      <right style="thin">
        <color indexed="32"/>
      </right>
      <top style="thin">
        <color indexed="32"/>
      </top>
      <bottom style="thin">
        <color indexed="32"/>
      </bottom>
      <diagonal/>
    </border>
    <border>
      <left style="medium">
        <color indexed="60"/>
      </left>
      <right style="thin">
        <color indexed="32"/>
      </right>
      <top style="thin">
        <color indexed="32"/>
      </top>
      <bottom style="medium">
        <color indexed="60"/>
      </bottom>
      <diagonal/>
    </border>
    <border>
      <left style="thin">
        <color indexed="32"/>
      </left>
      <right style="thin">
        <color indexed="32"/>
      </right>
      <top style="thin">
        <color indexed="32"/>
      </top>
      <bottom style="medium">
        <color indexed="60"/>
      </bottom>
      <diagonal/>
    </border>
    <border>
      <left style="medium">
        <color indexed="16"/>
      </left>
      <right style="medium">
        <color indexed="16"/>
      </right>
      <top style="medium">
        <color indexed="16"/>
      </top>
      <bottom style="thin">
        <color indexed="32"/>
      </bottom>
      <diagonal/>
    </border>
    <border>
      <left style="medium">
        <color indexed="16"/>
      </left>
      <right style="thin">
        <color indexed="32"/>
      </right>
      <top style="thin">
        <color indexed="32"/>
      </top>
      <bottom style="thin">
        <color indexed="32"/>
      </bottom>
      <diagonal/>
    </border>
    <border>
      <left style="thin">
        <color indexed="32"/>
      </left>
      <right style="medium">
        <color indexed="16"/>
      </right>
      <top style="thin">
        <color indexed="32"/>
      </top>
      <bottom style="thin">
        <color indexed="32"/>
      </bottom>
      <diagonal/>
    </border>
    <border>
      <left style="medium">
        <color indexed="32"/>
      </left>
      <right style="thin">
        <color indexed="32"/>
      </right>
      <top style="thin">
        <color indexed="32"/>
      </top>
      <bottom style="thin">
        <color indexed="32"/>
      </bottom>
      <diagonal/>
    </border>
    <border>
      <left style="medium">
        <color indexed="16"/>
      </left>
      <right style="thin">
        <color indexed="32"/>
      </right>
      <top style="thin">
        <color indexed="32"/>
      </top>
      <bottom style="medium">
        <color indexed="16"/>
      </bottom>
      <diagonal/>
    </border>
    <border>
      <left style="thin">
        <color indexed="32"/>
      </left>
      <right style="medium">
        <color indexed="16"/>
      </right>
      <top style="thin">
        <color indexed="32"/>
      </top>
      <bottom style="medium">
        <color indexed="16"/>
      </bottom>
      <diagonal/>
    </border>
    <border>
      <left/>
      <right/>
      <top/>
      <bottom style="medium">
        <color indexed="12"/>
      </bottom>
      <diagonal/>
    </border>
    <border>
      <left style="medium">
        <color indexed="12"/>
      </left>
      <right/>
      <top style="medium">
        <color indexed="12"/>
      </top>
      <bottom style="medium">
        <color indexed="12"/>
      </bottom>
      <diagonal/>
    </border>
    <border>
      <left style="medium">
        <color indexed="12"/>
      </left>
      <right/>
      <top/>
      <bottom/>
      <diagonal/>
    </border>
    <border>
      <left style="medium">
        <color indexed="48"/>
      </left>
      <right style="thin">
        <color indexed="32"/>
      </right>
      <top style="medium">
        <color indexed="48"/>
      </top>
      <bottom style="thin">
        <color indexed="32"/>
      </bottom>
      <diagonal/>
    </border>
    <border>
      <left style="thin">
        <color indexed="32"/>
      </left>
      <right style="thin">
        <color indexed="32"/>
      </right>
      <top style="medium">
        <color indexed="48"/>
      </top>
      <bottom style="thin">
        <color indexed="32"/>
      </bottom>
      <diagonal/>
    </border>
    <border>
      <left style="thin">
        <color indexed="32"/>
      </left>
      <right style="medium">
        <color indexed="48"/>
      </right>
      <top style="medium">
        <color indexed="48"/>
      </top>
      <bottom style="thin">
        <color indexed="32"/>
      </bottom>
      <diagonal/>
    </border>
    <border>
      <left style="medium">
        <color indexed="48"/>
      </left>
      <right style="thin">
        <color indexed="32"/>
      </right>
      <top style="thin">
        <color indexed="32"/>
      </top>
      <bottom style="thin">
        <color indexed="32"/>
      </bottom>
      <diagonal/>
    </border>
    <border>
      <left style="thin">
        <color indexed="32"/>
      </left>
      <right style="medium">
        <color indexed="48"/>
      </right>
      <top style="thin">
        <color indexed="32"/>
      </top>
      <bottom style="thin">
        <color indexed="32"/>
      </bottom>
      <diagonal/>
    </border>
    <border>
      <left style="medium">
        <color indexed="48"/>
      </left>
      <right style="thin">
        <color indexed="32"/>
      </right>
      <top style="thin">
        <color indexed="32"/>
      </top>
      <bottom style="medium">
        <color indexed="48"/>
      </bottom>
      <diagonal/>
    </border>
    <border>
      <left style="thin">
        <color indexed="32"/>
      </left>
      <right style="thin">
        <color indexed="32"/>
      </right>
      <top style="thin">
        <color indexed="32"/>
      </top>
      <bottom style="medium">
        <color indexed="48"/>
      </bottom>
      <diagonal/>
    </border>
    <border>
      <left style="thin">
        <color indexed="32"/>
      </left>
      <right style="medium">
        <color indexed="48"/>
      </right>
      <top style="thin">
        <color indexed="32"/>
      </top>
      <bottom style="medium">
        <color indexed="48"/>
      </bottom>
      <diagonal/>
    </border>
    <border>
      <left style="medium">
        <color indexed="48"/>
      </left>
      <right/>
      <top style="medium">
        <color indexed="48"/>
      </top>
      <bottom/>
      <diagonal/>
    </border>
    <border>
      <left style="medium">
        <color indexed="32"/>
      </left>
      <right style="thin">
        <color indexed="32"/>
      </right>
      <top style="medium">
        <color indexed="32"/>
      </top>
      <bottom style="thin">
        <color indexed="32"/>
      </bottom>
      <diagonal/>
    </border>
    <border>
      <left style="thin">
        <color indexed="16"/>
      </left>
      <right style="thin">
        <color indexed="16"/>
      </right>
      <top style="medium">
        <color indexed="32"/>
      </top>
      <bottom style="thin">
        <color indexed="32"/>
      </bottom>
      <diagonal/>
    </border>
    <border>
      <left style="thin">
        <color indexed="16"/>
      </left>
      <right style="medium">
        <color indexed="16"/>
      </right>
      <top style="medium">
        <color indexed="32"/>
      </top>
      <bottom style="thin">
        <color indexed="32"/>
      </bottom>
      <diagonal/>
    </border>
    <border>
      <left style="medium">
        <color indexed="32"/>
      </left>
      <right/>
      <top/>
      <bottom style="thin">
        <color indexed="32"/>
      </bottom>
      <diagonal/>
    </border>
    <border>
      <left style="medium">
        <color indexed="32"/>
      </left>
      <right style="thin">
        <color indexed="32"/>
      </right>
      <top/>
      <bottom style="thin">
        <color indexed="32"/>
      </bottom>
      <diagonal/>
    </border>
    <border>
      <left style="thin">
        <color indexed="32"/>
      </left>
      <right style="thin">
        <color indexed="32"/>
      </right>
      <top style="medium">
        <color indexed="32"/>
      </top>
      <bottom style="thin">
        <color indexed="32"/>
      </bottom>
      <diagonal/>
    </border>
    <border>
      <left style="thin">
        <color indexed="32"/>
      </left>
      <right style="medium">
        <color indexed="32"/>
      </right>
      <top style="medium">
        <color indexed="32"/>
      </top>
      <bottom style="thin">
        <color indexed="32"/>
      </bottom>
      <diagonal/>
    </border>
    <border>
      <left style="thin">
        <color indexed="58"/>
      </left>
      <right style="thin">
        <color indexed="58"/>
      </right>
      <top style="thin">
        <color indexed="58"/>
      </top>
      <bottom style="thin">
        <color indexed="58"/>
      </bottom>
      <diagonal/>
    </border>
    <border>
      <left/>
      <right/>
      <top/>
      <bottom style="medium">
        <color indexed="51"/>
      </bottom>
      <diagonal/>
    </border>
    <border>
      <left style="medium">
        <color indexed="51"/>
      </left>
      <right style="medium">
        <color indexed="51"/>
      </right>
      <top style="medium">
        <color indexed="51"/>
      </top>
      <bottom style="medium">
        <color indexed="51"/>
      </bottom>
      <diagonal/>
    </border>
    <border>
      <left style="medium">
        <color indexed="51"/>
      </left>
      <right style="medium">
        <color indexed="51"/>
      </right>
      <top style="medium">
        <color indexed="51"/>
      </top>
      <bottom style="thin">
        <color indexed="32"/>
      </bottom>
      <diagonal/>
    </border>
    <border>
      <left/>
      <right style="thin">
        <color indexed="32"/>
      </right>
      <top style="medium">
        <color indexed="51"/>
      </top>
      <bottom style="thin">
        <color indexed="32"/>
      </bottom>
      <diagonal/>
    </border>
    <border>
      <left style="thin">
        <color indexed="32"/>
      </left>
      <right style="thin">
        <color indexed="32"/>
      </right>
      <top style="medium">
        <color indexed="51"/>
      </top>
      <bottom style="thin">
        <color indexed="32"/>
      </bottom>
      <diagonal/>
    </border>
    <border>
      <left style="thin">
        <color indexed="16"/>
      </left>
      <right style="thin">
        <color indexed="16"/>
      </right>
      <top style="medium">
        <color indexed="51"/>
      </top>
      <bottom style="thin">
        <color indexed="32"/>
      </bottom>
      <diagonal/>
    </border>
    <border>
      <left style="thin">
        <color indexed="16"/>
      </left>
      <right style="medium">
        <color indexed="51"/>
      </right>
      <top style="medium">
        <color indexed="51"/>
      </top>
      <bottom style="thin">
        <color indexed="32"/>
      </bottom>
      <diagonal/>
    </border>
    <border>
      <left style="medium">
        <color indexed="51"/>
      </left>
      <right/>
      <top/>
      <bottom style="thin">
        <color indexed="32"/>
      </bottom>
      <diagonal/>
    </border>
    <border>
      <left/>
      <right/>
      <top/>
      <bottom style="thin">
        <color indexed="32"/>
      </bottom>
      <diagonal/>
    </border>
    <border>
      <left style="medium">
        <color indexed="51"/>
      </left>
      <right style="medium">
        <color indexed="51"/>
      </right>
      <top/>
      <bottom style="thin">
        <color indexed="32"/>
      </bottom>
      <diagonal/>
    </border>
    <border>
      <left/>
      <right style="thin">
        <color indexed="32"/>
      </right>
      <top/>
      <bottom style="thin">
        <color indexed="32"/>
      </bottom>
      <diagonal/>
    </border>
    <border>
      <left/>
      <right style="medium">
        <color indexed="51"/>
      </right>
      <top/>
      <bottom style="thin">
        <color indexed="32"/>
      </bottom>
      <diagonal/>
    </border>
    <border>
      <left/>
      <right style="medium">
        <color indexed="51"/>
      </right>
      <top/>
      <bottom/>
      <diagonal/>
    </border>
    <border>
      <left style="medium">
        <color indexed="51"/>
      </left>
      <right style="medium">
        <color indexed="51"/>
      </right>
      <top style="thin">
        <color indexed="32"/>
      </top>
      <bottom style="thin">
        <color indexed="32"/>
      </bottom>
      <diagonal/>
    </border>
    <border>
      <left style="medium">
        <color indexed="51"/>
      </left>
      <right style="thin">
        <color indexed="32"/>
      </right>
      <top style="thin">
        <color indexed="32"/>
      </top>
      <bottom style="thin">
        <color indexed="32"/>
      </bottom>
      <diagonal/>
    </border>
    <border>
      <left style="thin">
        <color indexed="28"/>
      </left>
      <right style="thin">
        <color indexed="28"/>
      </right>
      <top style="thin">
        <color indexed="28"/>
      </top>
      <bottom style="thin">
        <color indexed="28"/>
      </bottom>
      <diagonal/>
    </border>
    <border>
      <left style="thin">
        <color indexed="32"/>
      </left>
      <right style="medium">
        <color indexed="51"/>
      </right>
      <top style="thin">
        <color indexed="32"/>
      </top>
      <bottom style="thin">
        <color indexed="32"/>
      </bottom>
      <diagonal/>
    </border>
    <border>
      <left style="medium">
        <color indexed="51"/>
      </left>
      <right style="medium">
        <color indexed="51"/>
      </right>
      <top style="thin">
        <color indexed="32"/>
      </top>
      <bottom style="medium">
        <color indexed="51"/>
      </bottom>
      <diagonal/>
    </border>
    <border>
      <left style="medium">
        <color indexed="51"/>
      </left>
      <right style="thin">
        <color indexed="32"/>
      </right>
      <top style="thin">
        <color indexed="32"/>
      </top>
      <bottom/>
      <diagonal/>
    </border>
    <border>
      <left style="thin">
        <color indexed="32"/>
      </left>
      <right style="thin">
        <color indexed="32"/>
      </right>
      <top style="thin">
        <color indexed="32"/>
      </top>
      <bottom style="medium">
        <color indexed="51"/>
      </bottom>
      <diagonal/>
    </border>
    <border>
      <left style="thin">
        <color indexed="32"/>
      </left>
      <right style="medium">
        <color indexed="51"/>
      </right>
      <top style="thin">
        <color indexed="32"/>
      </top>
      <bottom style="medium">
        <color indexed="51"/>
      </bottom>
      <diagonal/>
    </border>
    <border>
      <left style="thin">
        <color indexed="28"/>
      </left>
      <right style="thin">
        <color indexed="28"/>
      </right>
      <top style="thin">
        <color indexed="28"/>
      </top>
      <bottom style="medium">
        <color indexed="51"/>
      </bottom>
      <diagonal/>
    </border>
    <border>
      <left/>
      <right/>
      <top style="thin">
        <color indexed="30"/>
      </top>
      <bottom style="thin">
        <color indexed="30"/>
      </bottom>
      <diagonal/>
    </border>
    <border>
      <left style="medium">
        <color indexed="32"/>
      </left>
      <right style="medium">
        <color indexed="32"/>
      </right>
      <top style="medium">
        <color indexed="32"/>
      </top>
      <bottom style="thin">
        <color indexed="32"/>
      </bottom>
      <diagonal/>
    </border>
    <border>
      <left style="medium">
        <color indexed="32"/>
      </left>
      <right style="medium">
        <color indexed="32"/>
      </right>
      <top style="thin">
        <color indexed="32"/>
      </top>
      <bottom style="thin">
        <color indexed="32"/>
      </bottom>
      <diagonal/>
    </border>
    <border>
      <left style="thin">
        <color indexed="32"/>
      </left>
      <right style="medium">
        <color indexed="32"/>
      </right>
      <top style="thin">
        <color indexed="32"/>
      </top>
      <bottom style="thin">
        <color indexed="32"/>
      </bottom>
      <diagonal/>
    </border>
    <border>
      <left style="medium">
        <color indexed="32"/>
      </left>
      <right style="medium">
        <color indexed="32"/>
      </right>
      <top style="thin">
        <color indexed="32"/>
      </top>
      <bottom style="medium">
        <color indexed="32"/>
      </bottom>
      <diagonal/>
    </border>
    <border>
      <left style="medium">
        <color indexed="32"/>
      </left>
      <right style="thin">
        <color indexed="32"/>
      </right>
      <top style="thin">
        <color indexed="32"/>
      </top>
      <bottom style="medium">
        <color indexed="32"/>
      </bottom>
      <diagonal/>
    </border>
    <border>
      <left style="thin">
        <color indexed="32"/>
      </left>
      <right style="medium">
        <color indexed="32"/>
      </right>
      <top style="thin">
        <color indexed="32"/>
      </top>
      <bottom style="medium">
        <color indexed="32"/>
      </bottom>
      <diagonal/>
    </border>
    <border>
      <left style="thin">
        <color indexed="32"/>
      </left>
      <right style="thin">
        <color indexed="32"/>
      </right>
      <top style="thin">
        <color indexed="32"/>
      </top>
      <bottom style="medium">
        <color indexed="32"/>
      </bottom>
      <diagonal/>
    </border>
    <border>
      <left style="thin">
        <color indexed="32"/>
      </left>
      <right/>
      <top style="medium">
        <color indexed="32"/>
      </top>
      <bottom style="thin">
        <color indexed="32"/>
      </bottom>
      <diagonal/>
    </border>
    <border>
      <left/>
      <right style="medium">
        <color indexed="32"/>
      </right>
      <top style="medium">
        <color indexed="32"/>
      </top>
      <bottom style="thin">
        <color indexed="32"/>
      </bottom>
      <diagonal/>
    </border>
    <border>
      <left/>
      <right style="medium">
        <color indexed="32"/>
      </right>
      <top style="thin">
        <color indexed="32"/>
      </top>
      <bottom style="thin">
        <color indexed="32"/>
      </bottom>
      <diagonal/>
    </border>
    <border>
      <left style="thin">
        <color indexed="28"/>
      </left>
      <right/>
      <top style="thin">
        <color indexed="28"/>
      </top>
      <bottom style="thin">
        <color indexed="28"/>
      </bottom>
      <diagonal/>
    </border>
    <border>
      <left style="thin">
        <color indexed="32"/>
      </left>
      <right/>
      <top/>
      <bottom style="thin">
        <color indexed="32"/>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medium">
        <color indexed="60"/>
      </left>
      <right style="dotted">
        <color indexed="32"/>
      </right>
      <top style="medium">
        <color indexed="60"/>
      </top>
      <bottom style="hair">
        <color indexed="32"/>
      </bottom>
      <diagonal/>
    </border>
    <border>
      <left style="dotted">
        <color indexed="32"/>
      </left>
      <right style="dotted">
        <color indexed="32"/>
      </right>
      <top style="medium">
        <color indexed="52"/>
      </top>
      <bottom style="hair">
        <color indexed="32"/>
      </bottom>
      <diagonal/>
    </border>
    <border>
      <left/>
      <right style="medium">
        <color indexed="60"/>
      </right>
      <top style="hair">
        <color indexed="23"/>
      </top>
      <bottom style="hair">
        <color indexed="23"/>
      </bottom>
      <diagonal/>
    </border>
    <border>
      <left style="medium">
        <color indexed="60"/>
      </left>
      <right style="medium">
        <color indexed="60"/>
      </right>
      <top/>
      <bottom style="hair">
        <color indexed="32"/>
      </bottom>
      <diagonal/>
    </border>
    <border>
      <left style="medium">
        <color indexed="60"/>
      </left>
      <right style="dotted">
        <color indexed="32"/>
      </right>
      <top style="hair">
        <color indexed="32"/>
      </top>
      <bottom style="hair">
        <color indexed="32"/>
      </bottom>
      <diagonal/>
    </border>
    <border>
      <left style="dotted">
        <color indexed="32"/>
      </left>
      <right style="dotted">
        <color indexed="32"/>
      </right>
      <top style="hair">
        <color indexed="32"/>
      </top>
      <bottom style="hair">
        <color indexed="32"/>
      </bottom>
      <diagonal/>
    </border>
    <border>
      <left style="medium">
        <color indexed="60"/>
      </left>
      <right style="medium">
        <color indexed="60"/>
      </right>
      <top style="hair">
        <color indexed="32"/>
      </top>
      <bottom style="hair">
        <color indexed="32"/>
      </bottom>
      <diagonal/>
    </border>
    <border>
      <left style="medium">
        <color indexed="60"/>
      </left>
      <right style="dotted">
        <color indexed="32"/>
      </right>
      <top style="hair">
        <color indexed="32"/>
      </top>
      <bottom style="medium">
        <color indexed="60"/>
      </bottom>
      <diagonal/>
    </border>
    <border>
      <left style="dotted">
        <color indexed="32"/>
      </left>
      <right style="dotted">
        <color indexed="32"/>
      </right>
      <top style="hair">
        <color indexed="32"/>
      </top>
      <bottom style="medium">
        <color indexed="52"/>
      </bottom>
      <diagonal/>
    </border>
    <border>
      <left/>
      <right style="medium">
        <color indexed="60"/>
      </right>
      <top style="hair">
        <color indexed="23"/>
      </top>
      <bottom style="medium">
        <color indexed="60"/>
      </bottom>
      <diagonal/>
    </border>
    <border>
      <left style="medium">
        <color indexed="60"/>
      </left>
      <right style="medium">
        <color indexed="60"/>
      </right>
      <top/>
      <bottom style="medium">
        <color indexed="60"/>
      </bottom>
      <diagonal/>
    </border>
    <border>
      <left/>
      <right style="medium">
        <color indexed="52"/>
      </right>
      <top/>
      <bottom style="medium">
        <color indexed="52"/>
      </bottom>
      <diagonal/>
    </border>
    <border>
      <left style="medium">
        <color indexed="18"/>
      </left>
      <right style="medium">
        <color indexed="18"/>
      </right>
      <top style="medium">
        <color indexed="18"/>
      </top>
      <bottom/>
      <diagonal/>
    </border>
    <border>
      <left style="medium">
        <color indexed="18"/>
      </left>
      <right/>
      <top style="medium">
        <color indexed="18"/>
      </top>
      <bottom style="medium">
        <color indexed="18"/>
      </bottom>
      <diagonal/>
    </border>
    <border>
      <left style="medium">
        <color indexed="62"/>
      </left>
      <right/>
      <top style="medium">
        <color indexed="62"/>
      </top>
      <bottom style="hair">
        <color indexed="32"/>
      </bottom>
      <diagonal/>
    </border>
    <border>
      <left style="dotted">
        <color indexed="62"/>
      </left>
      <right style="dotted">
        <color indexed="32"/>
      </right>
      <top style="medium">
        <color indexed="62"/>
      </top>
      <bottom style="hair">
        <color indexed="32"/>
      </bottom>
      <diagonal/>
    </border>
    <border>
      <left/>
      <right style="medium">
        <color indexed="62"/>
      </right>
      <top style="medium">
        <color indexed="62"/>
      </top>
      <bottom style="hair">
        <color indexed="23"/>
      </bottom>
      <diagonal/>
    </border>
    <border>
      <left style="medium">
        <color indexed="18"/>
      </left>
      <right style="medium">
        <color indexed="18"/>
      </right>
      <top style="medium">
        <color indexed="18"/>
      </top>
      <bottom style="hair">
        <color indexed="18"/>
      </bottom>
      <diagonal/>
    </border>
    <border>
      <left style="medium">
        <color indexed="62"/>
      </left>
      <right/>
      <top style="hair">
        <color indexed="32"/>
      </top>
      <bottom style="hair">
        <color indexed="32"/>
      </bottom>
      <diagonal/>
    </border>
    <border>
      <left style="dotted">
        <color indexed="62"/>
      </left>
      <right style="dotted">
        <color indexed="32"/>
      </right>
      <top style="hair">
        <color indexed="32"/>
      </top>
      <bottom style="hair">
        <color indexed="32"/>
      </bottom>
      <diagonal/>
    </border>
    <border>
      <left/>
      <right style="medium">
        <color indexed="62"/>
      </right>
      <top style="hair">
        <color indexed="23"/>
      </top>
      <bottom style="hair">
        <color indexed="23"/>
      </bottom>
      <diagonal/>
    </border>
    <border>
      <left style="medium">
        <color indexed="18"/>
      </left>
      <right style="medium">
        <color indexed="18"/>
      </right>
      <top style="hair">
        <color indexed="18"/>
      </top>
      <bottom style="hair">
        <color indexed="18"/>
      </bottom>
      <diagonal/>
    </border>
    <border>
      <left style="medium">
        <color indexed="62"/>
      </left>
      <right/>
      <top style="hair">
        <color indexed="32"/>
      </top>
      <bottom style="medium">
        <color indexed="62"/>
      </bottom>
      <diagonal/>
    </border>
    <border>
      <left style="dotted">
        <color indexed="62"/>
      </left>
      <right style="dotted">
        <color indexed="32"/>
      </right>
      <top style="hair">
        <color indexed="32"/>
      </top>
      <bottom style="medium">
        <color indexed="62"/>
      </bottom>
      <diagonal/>
    </border>
    <border>
      <left/>
      <right style="medium">
        <color indexed="62"/>
      </right>
      <top style="hair">
        <color indexed="23"/>
      </top>
      <bottom style="medium">
        <color indexed="62"/>
      </bottom>
      <diagonal/>
    </border>
    <border>
      <left style="medium">
        <color indexed="18"/>
      </left>
      <right style="medium">
        <color indexed="18"/>
      </right>
      <top style="hair">
        <color indexed="18"/>
      </top>
      <bottom style="medium">
        <color indexed="18"/>
      </bottom>
      <diagonal/>
    </border>
    <border>
      <left/>
      <right style="medium">
        <color indexed="52"/>
      </right>
      <top/>
      <bottom/>
      <diagonal/>
    </border>
    <border>
      <left style="medium">
        <color indexed="51"/>
      </left>
      <right style="hair">
        <color indexed="32"/>
      </right>
      <top style="medium">
        <color indexed="51"/>
      </top>
      <bottom style="hair">
        <color indexed="32"/>
      </bottom>
      <diagonal/>
    </border>
    <border>
      <left style="hair">
        <color indexed="32"/>
      </left>
      <right style="hair">
        <color indexed="32"/>
      </right>
      <top style="medium">
        <color indexed="51"/>
      </top>
      <bottom style="hair">
        <color indexed="32"/>
      </bottom>
      <diagonal/>
    </border>
    <border>
      <left style="hair">
        <color indexed="32"/>
      </left>
      <right style="medium">
        <color indexed="51"/>
      </right>
      <top style="medium">
        <color indexed="51"/>
      </top>
      <bottom style="hair">
        <color indexed="32"/>
      </bottom>
      <diagonal/>
    </border>
    <border>
      <left style="medium">
        <color indexed="51"/>
      </left>
      <right style="medium">
        <color indexed="51"/>
      </right>
      <top style="medium">
        <color indexed="51"/>
      </top>
      <bottom style="hair">
        <color indexed="51"/>
      </bottom>
      <diagonal/>
    </border>
    <border>
      <left style="medium">
        <color indexed="51"/>
      </left>
      <right style="hair">
        <color indexed="32"/>
      </right>
      <top style="hair">
        <color indexed="32"/>
      </top>
      <bottom style="hair">
        <color indexed="32"/>
      </bottom>
      <diagonal/>
    </border>
    <border>
      <left style="hair">
        <color indexed="32"/>
      </left>
      <right style="hair">
        <color indexed="32"/>
      </right>
      <top/>
      <bottom style="hair">
        <color indexed="32"/>
      </bottom>
      <diagonal/>
    </border>
    <border>
      <left style="hair">
        <color indexed="32"/>
      </left>
      <right style="medium">
        <color indexed="51"/>
      </right>
      <top style="hair">
        <color indexed="32"/>
      </top>
      <bottom style="hair">
        <color indexed="32"/>
      </bottom>
      <diagonal/>
    </border>
    <border>
      <left style="medium">
        <color indexed="51"/>
      </left>
      <right style="medium">
        <color indexed="51"/>
      </right>
      <top style="hair">
        <color indexed="51"/>
      </top>
      <bottom style="hair">
        <color indexed="51"/>
      </bottom>
      <diagonal/>
    </border>
    <border>
      <left style="medium">
        <color indexed="51"/>
      </left>
      <right/>
      <top/>
      <bottom style="hair">
        <color indexed="32"/>
      </bottom>
      <diagonal/>
    </border>
    <border>
      <left style="hair">
        <color indexed="32"/>
      </left>
      <right style="hair">
        <color indexed="32"/>
      </right>
      <top/>
      <bottom/>
      <diagonal/>
    </border>
    <border>
      <left style="hair">
        <color indexed="32"/>
      </left>
      <right style="hair">
        <color indexed="32"/>
      </right>
      <top style="hair">
        <color indexed="32"/>
      </top>
      <bottom style="medium">
        <color indexed="51"/>
      </bottom>
      <diagonal/>
    </border>
    <border>
      <left style="medium">
        <color indexed="51"/>
      </left>
      <right style="medium">
        <color indexed="51"/>
      </right>
      <top style="hair">
        <color indexed="51"/>
      </top>
      <bottom style="medium">
        <color indexed="51"/>
      </bottom>
      <diagonal/>
    </border>
    <border>
      <left style="medium">
        <color indexed="57"/>
      </left>
      <right style="medium">
        <color indexed="57"/>
      </right>
      <top style="medium">
        <color indexed="57"/>
      </top>
      <bottom style="medium">
        <color indexed="57"/>
      </bottom>
      <diagonal/>
    </border>
    <border>
      <left style="medium">
        <color indexed="57"/>
      </left>
      <right style="hair">
        <color indexed="57"/>
      </right>
      <top style="medium">
        <color indexed="57"/>
      </top>
      <bottom style="medium">
        <color indexed="57"/>
      </bottom>
      <diagonal/>
    </border>
    <border>
      <left style="hair">
        <color indexed="57"/>
      </left>
      <right style="hair">
        <color indexed="57"/>
      </right>
      <top style="medium">
        <color indexed="57"/>
      </top>
      <bottom style="medium">
        <color indexed="57"/>
      </bottom>
      <diagonal/>
    </border>
    <border>
      <left style="hair">
        <color indexed="57"/>
      </left>
      <right style="medium">
        <color indexed="57"/>
      </right>
      <top style="medium">
        <color indexed="57"/>
      </top>
      <bottom style="medium">
        <color indexed="57"/>
      </bottom>
      <diagonal/>
    </border>
    <border>
      <left/>
      <right style="medium">
        <color indexed="32"/>
      </right>
      <top style="hair">
        <color indexed="32"/>
      </top>
      <bottom style="hair">
        <color indexed="32"/>
      </bottom>
      <diagonal/>
    </border>
    <border>
      <left style="medium">
        <color indexed="32"/>
      </left>
      <right style="hair">
        <color indexed="32"/>
      </right>
      <top style="medium">
        <color indexed="57"/>
      </top>
      <bottom style="hair">
        <color indexed="32"/>
      </bottom>
      <diagonal/>
    </border>
    <border>
      <left style="hair">
        <color indexed="32"/>
      </left>
      <right style="hair">
        <color indexed="32"/>
      </right>
      <top style="medium">
        <color indexed="57"/>
      </top>
      <bottom style="hair">
        <color indexed="32"/>
      </bottom>
      <diagonal/>
    </border>
    <border>
      <left style="hair">
        <color indexed="32"/>
      </left>
      <right style="medium">
        <color indexed="32"/>
      </right>
      <top style="medium">
        <color indexed="57"/>
      </top>
      <bottom style="hair">
        <color indexed="32"/>
      </bottom>
      <diagonal/>
    </border>
    <border>
      <left style="medium">
        <color indexed="32"/>
      </left>
      <right style="hair">
        <color indexed="32"/>
      </right>
      <top style="hair">
        <color indexed="32"/>
      </top>
      <bottom style="hair">
        <color indexed="32"/>
      </bottom>
      <diagonal/>
    </border>
    <border>
      <left style="hair">
        <color indexed="32"/>
      </left>
      <right style="hair">
        <color indexed="32"/>
      </right>
      <top style="hair">
        <color indexed="32"/>
      </top>
      <bottom style="hair">
        <color indexed="32"/>
      </bottom>
      <diagonal/>
    </border>
    <border>
      <left style="hair">
        <color indexed="32"/>
      </left>
      <right style="medium">
        <color indexed="32"/>
      </right>
      <top style="hair">
        <color indexed="32"/>
      </top>
      <bottom style="hair">
        <color indexed="32"/>
      </bottom>
      <diagonal/>
    </border>
    <border>
      <left/>
      <right style="medium">
        <color indexed="32"/>
      </right>
      <top style="hair">
        <color indexed="32"/>
      </top>
      <bottom style="medium">
        <color indexed="32"/>
      </bottom>
      <diagonal/>
    </border>
    <border>
      <left style="medium">
        <color indexed="32"/>
      </left>
      <right style="hair">
        <color indexed="32"/>
      </right>
      <top style="hair">
        <color indexed="32"/>
      </top>
      <bottom style="medium">
        <color indexed="32"/>
      </bottom>
      <diagonal/>
    </border>
    <border>
      <left style="hair">
        <color indexed="32"/>
      </left>
      <right style="hair">
        <color indexed="32"/>
      </right>
      <top style="hair">
        <color indexed="32"/>
      </top>
      <bottom style="medium">
        <color indexed="32"/>
      </bottom>
      <diagonal/>
    </border>
    <border>
      <left style="hair">
        <color indexed="32"/>
      </left>
      <right style="medium">
        <color indexed="32"/>
      </right>
      <top style="hair">
        <color indexed="32"/>
      </top>
      <bottom style="medium">
        <color indexed="32"/>
      </bottom>
      <diagonal/>
    </border>
    <border>
      <left style="medium">
        <color indexed="32"/>
      </left>
      <right style="medium">
        <color indexed="32"/>
      </right>
      <top style="medium">
        <color indexed="57"/>
      </top>
      <bottom style="hair">
        <color indexed="32"/>
      </bottom>
      <diagonal/>
    </border>
    <border>
      <left style="medium">
        <color indexed="32"/>
      </left>
      <right style="hair">
        <color indexed="32"/>
      </right>
      <top/>
      <bottom style="hair">
        <color indexed="32"/>
      </bottom>
      <diagonal/>
    </border>
    <border>
      <left style="hair">
        <color indexed="32"/>
      </left>
      <right style="medium">
        <color indexed="32"/>
      </right>
      <top/>
      <bottom style="hair">
        <color indexed="32"/>
      </bottom>
      <diagonal/>
    </border>
    <border>
      <left style="medium">
        <color indexed="32"/>
      </left>
      <right style="medium">
        <color indexed="32"/>
      </right>
      <top style="hair">
        <color indexed="32"/>
      </top>
      <bottom style="hair">
        <color indexed="32"/>
      </bottom>
      <diagonal/>
    </border>
    <border>
      <left style="medium">
        <color indexed="32"/>
      </left>
      <right style="medium">
        <color indexed="32"/>
      </right>
      <top style="hair">
        <color indexed="32"/>
      </top>
      <bottom style="medium">
        <color indexed="32"/>
      </bottom>
      <diagonal/>
    </border>
    <border>
      <left style="thin">
        <color indexed="64"/>
      </left>
      <right style="thin">
        <color indexed="64"/>
      </right>
      <top style="thin">
        <color indexed="64"/>
      </top>
      <bottom style="thin">
        <color indexed="64"/>
      </bottom>
      <diagonal/>
    </border>
    <border>
      <left style="thin">
        <color indexed="28"/>
      </left>
      <right style="thin">
        <color indexed="28"/>
      </right>
      <top style="thin">
        <color indexed="28"/>
      </top>
      <bottom/>
      <diagonal/>
    </border>
    <border>
      <left style="medium">
        <color indexed="51"/>
      </left>
      <right/>
      <top style="thin">
        <color indexed="32"/>
      </top>
      <bottom/>
      <diagonal/>
    </border>
    <border>
      <left/>
      <right style="medium">
        <color indexed="51"/>
      </right>
      <top style="thin">
        <color indexed="32"/>
      </top>
      <bottom/>
      <diagonal/>
    </border>
    <border>
      <left style="thin">
        <color indexed="32"/>
      </left>
      <right/>
      <top style="thin">
        <color indexed="28"/>
      </top>
      <bottom style="thin">
        <color indexed="28"/>
      </bottom>
      <diagonal/>
    </border>
    <border>
      <left/>
      <right/>
      <top style="thin">
        <color indexed="28"/>
      </top>
      <bottom style="thin">
        <color indexed="28"/>
      </bottom>
      <diagonal/>
    </border>
    <border>
      <left/>
      <right style="thin">
        <color indexed="28"/>
      </right>
      <top style="thin">
        <color indexed="28"/>
      </top>
      <bottom style="thin">
        <color indexed="28"/>
      </bottom>
      <diagonal/>
    </border>
    <border>
      <left style="medium">
        <color indexed="60"/>
      </left>
      <right style="thin">
        <color indexed="32"/>
      </right>
      <top style="thin">
        <color indexed="32"/>
      </top>
      <bottom/>
      <diagonal/>
    </border>
    <border>
      <left style="medium">
        <color indexed="51"/>
      </left>
      <right style="medium">
        <color indexed="51"/>
      </right>
      <top style="thin">
        <color indexed="32"/>
      </top>
      <bottom/>
      <diagonal/>
    </border>
    <border>
      <left style="thin">
        <color indexed="32"/>
      </left>
      <right/>
      <top style="thin">
        <color indexed="32"/>
      </top>
      <bottom style="thin">
        <color indexed="28"/>
      </bottom>
      <diagonal/>
    </border>
    <border>
      <left/>
      <right/>
      <top style="thin">
        <color indexed="32"/>
      </top>
      <bottom style="thin">
        <color indexed="28"/>
      </bottom>
      <diagonal/>
    </border>
    <border>
      <left/>
      <right style="thin">
        <color indexed="28"/>
      </right>
      <top style="thin">
        <color indexed="32"/>
      </top>
      <bottom style="thin">
        <color indexed="28"/>
      </bottom>
      <diagonal/>
    </border>
    <border>
      <left style="thin">
        <color indexed="32"/>
      </left>
      <right/>
      <top style="thin">
        <color indexed="28"/>
      </top>
      <bottom style="thin">
        <color indexed="32"/>
      </bottom>
      <diagonal/>
    </border>
    <border>
      <left/>
      <right/>
      <top style="thin">
        <color indexed="28"/>
      </top>
      <bottom style="thin">
        <color indexed="32"/>
      </bottom>
      <diagonal/>
    </border>
    <border>
      <left/>
      <right style="thin">
        <color indexed="28"/>
      </right>
      <top style="thin">
        <color indexed="28"/>
      </top>
      <bottom style="thin">
        <color indexed="32"/>
      </bottom>
      <diagonal/>
    </border>
  </borders>
  <cellStyleXfs count="46">
    <xf numFmtId="0" fontId="0" fillId="0" borderId="0"/>
    <xf numFmtId="165" fontId="104" fillId="0" borderId="0" applyFill="0" applyBorder="0" applyAlignment="0" applyProtection="0"/>
    <xf numFmtId="166" fontId="104" fillId="0" borderId="0" applyFill="0" applyBorder="0" applyAlignment="0" applyProtection="0"/>
    <xf numFmtId="9" fontId="104" fillId="0" borderId="0" applyFill="0" applyBorder="0" applyAlignment="0" applyProtection="0"/>
    <xf numFmtId="164" fontId="104" fillId="0" borderId="0" applyFill="0" applyBorder="0" applyAlignment="0" applyProtection="0"/>
    <xf numFmtId="165" fontId="2" fillId="0" borderId="0" applyFill="0" applyBorder="0" applyAlignment="0" applyProtection="0"/>
    <xf numFmtId="165" fontId="10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104" fillId="0" borderId="0"/>
    <xf numFmtId="165" fontId="104" fillId="0" borderId="0"/>
    <xf numFmtId="165" fontId="104" fillId="0" borderId="0"/>
    <xf numFmtId="165" fontId="104" fillId="0" borderId="0"/>
    <xf numFmtId="165" fontId="104" fillId="0" borderId="0"/>
    <xf numFmtId="165" fontId="104" fillId="0" borderId="0"/>
    <xf numFmtId="165" fontId="104" fillId="0" borderId="0"/>
    <xf numFmtId="165" fontId="104" fillId="0" borderId="0"/>
    <xf numFmtId="165" fontId="104" fillId="0" borderId="0"/>
    <xf numFmtId="0" fontId="2" fillId="0" borderId="0"/>
    <xf numFmtId="165" fontId="104" fillId="0" borderId="0" applyFill="0" applyBorder="0" applyAlignment="0" applyProtection="0"/>
    <xf numFmtId="165" fontId="104" fillId="0" borderId="0" applyFill="0" applyBorder="0" applyAlignment="0" applyProtection="0"/>
    <xf numFmtId="165" fontId="104" fillId="0" borderId="0" applyFill="0" applyBorder="0" applyAlignment="0" applyProtection="0"/>
    <xf numFmtId="165" fontId="104" fillId="0" borderId="0" applyFill="0" applyBorder="0" applyAlignment="0" applyProtection="0"/>
    <xf numFmtId="165" fontId="104" fillId="0" borderId="0" applyFill="0" applyBorder="0" applyAlignment="0" applyProtection="0"/>
    <xf numFmtId="165" fontId="104" fillId="0" borderId="0" applyFill="0" applyBorder="0" applyAlignment="0" applyProtection="0"/>
    <xf numFmtId="165" fontId="104" fillId="0" borderId="0" applyFill="0" applyBorder="0" applyAlignment="0" applyProtection="0"/>
    <xf numFmtId="0" fontId="104" fillId="0" borderId="1" applyNumberFormat="0" applyFill="0" applyAlignment="0" applyProtection="0"/>
    <xf numFmtId="0" fontId="104" fillId="0" borderId="1" applyNumberFormat="0" applyFill="0" applyAlignment="0" applyProtection="0"/>
    <xf numFmtId="0" fontId="104" fillId="0" borderId="1" applyNumberFormat="0" applyFill="0" applyAlignment="0" applyProtection="0"/>
    <xf numFmtId="0" fontId="104" fillId="0" borderId="1" applyNumberFormat="0" applyFill="0" applyAlignment="0" applyProtection="0"/>
    <xf numFmtId="0" fontId="104" fillId="0" borderId="1" applyNumberFormat="0" applyFill="0" applyAlignment="0" applyProtection="0"/>
    <xf numFmtId="0" fontId="104" fillId="0" borderId="1" applyNumberFormat="0" applyFill="0" applyAlignment="0" applyProtection="0"/>
    <xf numFmtId="0" fontId="104" fillId="0" borderId="1" applyNumberFormat="0" applyFill="0" applyAlignment="0" applyProtection="0"/>
    <xf numFmtId="0" fontId="104" fillId="0" borderId="1" applyNumberFormat="0" applyFill="0" applyAlignment="0" applyProtection="0"/>
    <xf numFmtId="0" fontId="104" fillId="0" borderId="1" applyNumberFormat="0" applyFill="0" applyAlignment="0" applyProtection="0"/>
    <xf numFmtId="0" fontId="1" fillId="0" borderId="0"/>
    <xf numFmtId="0" fontId="106" fillId="0" borderId="0"/>
    <xf numFmtId="44" fontId="106" fillId="0" borderId="0" applyFont="0" applyFill="0" applyBorder="0" applyAlignment="0" applyProtection="0"/>
    <xf numFmtId="199" fontId="2" fillId="0" borderId="0" applyBorder="0" applyProtection="0"/>
    <xf numFmtId="174" fontId="106" fillId="0" borderId="0" applyBorder="0" applyProtection="0"/>
    <xf numFmtId="0" fontId="1" fillId="0" borderId="0"/>
  </cellStyleXfs>
  <cellXfs count="639">
    <xf numFmtId="0" fontId="0" fillId="0" borderId="0" xfId="0"/>
    <xf numFmtId="165" fontId="4" fillId="0" borderId="0" xfId="15" applyFont="1" applyAlignment="1">
      <alignment vertical="center"/>
    </xf>
    <xf numFmtId="0" fontId="6" fillId="0" borderId="0" xfId="0" applyFont="1"/>
    <xf numFmtId="165" fontId="6" fillId="0" borderId="0" xfId="0" applyNumberFormat="1" applyFont="1"/>
    <xf numFmtId="165" fontId="3" fillId="0" borderId="0" xfId="14" applyFont="1" applyAlignment="1">
      <alignment horizontal="center" vertical="center"/>
    </xf>
    <xf numFmtId="165" fontId="4" fillId="0" borderId="0" xfId="14" applyFont="1" applyAlignment="1">
      <alignment vertical="center"/>
    </xf>
    <xf numFmtId="0" fontId="16" fillId="0" borderId="0" xfId="0" applyFont="1"/>
    <xf numFmtId="0" fontId="0" fillId="0" borderId="0" xfId="0" applyAlignment="1">
      <alignment horizontal="center"/>
    </xf>
    <xf numFmtId="0" fontId="19" fillId="0" borderId="0" xfId="0" applyFont="1"/>
    <xf numFmtId="0" fontId="10" fillId="6" borderId="6" xfId="0" applyFont="1" applyFill="1" applyBorder="1" applyAlignment="1">
      <alignment horizontal="justify" vertical="center" wrapText="1"/>
    </xf>
    <xf numFmtId="0" fontId="14" fillId="6" borderId="7" xfId="0" applyFont="1" applyFill="1" applyBorder="1" applyAlignment="1">
      <alignment horizontal="justify" vertical="center" wrapText="1"/>
    </xf>
    <xf numFmtId="0" fontId="14" fillId="6" borderId="8" xfId="0" applyFont="1" applyFill="1" applyBorder="1" applyAlignment="1">
      <alignment horizontal="justify" vertical="center" wrapText="1"/>
    </xf>
    <xf numFmtId="0" fontId="10" fillId="6" borderId="6" xfId="0" applyFont="1" applyFill="1" applyBorder="1" applyAlignment="1">
      <alignment horizontal="left" vertical="center" wrapText="1"/>
    </xf>
    <xf numFmtId="0" fontId="10" fillId="6" borderId="7" xfId="0" applyFont="1" applyFill="1" applyBorder="1" applyAlignment="1">
      <alignment horizontal="left" vertical="center" wrapText="1"/>
    </xf>
    <xf numFmtId="0" fontId="10" fillId="6" borderId="8" xfId="0" applyFont="1" applyFill="1" applyBorder="1" applyAlignment="1">
      <alignment horizontal="left" vertical="center" wrapText="1"/>
    </xf>
    <xf numFmtId="0" fontId="10" fillId="0" borderId="6"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10" fillId="0" borderId="8" xfId="0" applyFont="1" applyBorder="1" applyAlignment="1" applyProtection="1">
      <alignment horizontal="left" vertical="center" wrapText="1"/>
      <protection locked="0"/>
    </xf>
    <xf numFmtId="0" fontId="10" fillId="0" borderId="6" xfId="0" applyFont="1" applyBorder="1" applyAlignment="1" applyProtection="1">
      <alignment horizontal="justify" vertical="center" wrapText="1"/>
      <protection locked="0"/>
    </xf>
    <xf numFmtId="0" fontId="14" fillId="0" borderId="7" xfId="0" applyFont="1" applyBorder="1" applyAlignment="1" applyProtection="1">
      <alignment horizontal="justify" vertical="center" wrapText="1"/>
      <protection locked="0"/>
    </xf>
    <xf numFmtId="0" fontId="14" fillId="0" borderId="8" xfId="0" applyFont="1" applyBorder="1" applyAlignment="1" applyProtection="1">
      <alignment horizontal="justify" vertical="center" wrapText="1"/>
      <protection locked="0"/>
    </xf>
    <xf numFmtId="0" fontId="13" fillId="0" borderId="6" xfId="0" applyFont="1" applyBorder="1" applyAlignment="1">
      <alignment vertical="center" wrapText="1"/>
    </xf>
    <xf numFmtId="0" fontId="13" fillId="0" borderId="7" xfId="0" applyFont="1" applyBorder="1" applyAlignment="1">
      <alignment vertical="center" wrapText="1"/>
    </xf>
    <xf numFmtId="0" fontId="10" fillId="0" borderId="7" xfId="0" applyFont="1" applyBorder="1" applyAlignment="1">
      <alignment horizontal="justify" vertical="center" wrapText="1"/>
    </xf>
    <xf numFmtId="0" fontId="14" fillId="0" borderId="7" xfId="0" applyFont="1" applyBorder="1" applyAlignment="1">
      <alignment horizontal="justify" vertical="center" wrapText="1"/>
    </xf>
    <xf numFmtId="0" fontId="10" fillId="0" borderId="8" xfId="0" applyFont="1" applyBorder="1" applyAlignment="1">
      <alignment horizontal="justify" vertical="center" wrapText="1"/>
    </xf>
    <xf numFmtId="0" fontId="10" fillId="0" borderId="6" xfId="0" applyFont="1" applyBorder="1" applyAlignment="1">
      <alignment horizontal="justify" vertical="center" wrapText="1"/>
    </xf>
    <xf numFmtId="165" fontId="25" fillId="0" borderId="0" xfId="6" applyFont="1" applyAlignment="1">
      <alignment vertical="center"/>
    </xf>
    <xf numFmtId="165" fontId="26" fillId="0" borderId="0" xfId="0" applyNumberFormat="1" applyFont="1" applyAlignment="1">
      <alignment horizontal="right"/>
    </xf>
    <xf numFmtId="165" fontId="0" fillId="0" borderId="2" xfId="0" applyNumberFormat="1" applyBorder="1" applyAlignment="1" applyProtection="1">
      <alignment horizontal="center"/>
      <protection locked="0"/>
    </xf>
    <xf numFmtId="0" fontId="26" fillId="0" borderId="0" xfId="0" applyFont="1" applyAlignment="1">
      <alignment horizontal="right"/>
    </xf>
    <xf numFmtId="0" fontId="26" fillId="0" borderId="0" xfId="0" applyFont="1"/>
    <xf numFmtId="49" fontId="26" fillId="0" borderId="0" xfId="0" applyNumberFormat="1" applyFont="1" applyAlignment="1">
      <alignment horizontal="right"/>
    </xf>
    <xf numFmtId="167" fontId="0" fillId="0" borderId="0" xfId="0" applyNumberFormat="1"/>
    <xf numFmtId="167" fontId="0" fillId="0" borderId="2" xfId="32" applyNumberFormat="1" applyFont="1" applyBorder="1" applyAlignment="1" applyProtection="1">
      <alignment horizontal="center"/>
      <protection locked="0"/>
    </xf>
    <xf numFmtId="165" fontId="26" fillId="0" borderId="10" xfId="0" applyNumberFormat="1" applyFont="1" applyBorder="1" applyAlignment="1">
      <alignment horizontal="right"/>
    </xf>
    <xf numFmtId="165" fontId="26" fillId="0" borderId="0" xfId="0" applyNumberFormat="1" applyFont="1"/>
    <xf numFmtId="0" fontId="0" fillId="4" borderId="2" xfId="0" applyFill="1" applyBorder="1"/>
    <xf numFmtId="0" fontId="0" fillId="5" borderId="2" xfId="0" applyFill="1" applyBorder="1"/>
    <xf numFmtId="165" fontId="29" fillId="0" borderId="12" xfId="38" applyNumberFormat="1" applyFont="1" applyBorder="1"/>
    <xf numFmtId="165" fontId="104" fillId="0" borderId="12" xfId="38" applyNumberFormat="1" applyBorder="1" applyAlignment="1">
      <alignment vertical="center"/>
    </xf>
    <xf numFmtId="165" fontId="30" fillId="0" borderId="12" xfId="38" applyNumberFormat="1" applyFont="1" applyBorder="1" applyAlignment="1">
      <alignment horizontal="left" vertical="center"/>
    </xf>
    <xf numFmtId="165" fontId="104" fillId="4" borderId="13" xfId="38" applyNumberFormat="1" applyFill="1" applyBorder="1" applyAlignment="1">
      <alignment vertical="center"/>
    </xf>
    <xf numFmtId="165" fontId="104" fillId="0" borderId="0" xfId="38" applyNumberFormat="1" applyBorder="1" applyAlignment="1" applyProtection="1">
      <alignment vertical="center"/>
      <protection locked="0"/>
    </xf>
    <xf numFmtId="165" fontId="31" fillId="0" borderId="0" xfId="38" applyNumberFormat="1" applyFont="1" applyBorder="1" applyAlignment="1" applyProtection="1">
      <alignment vertical="center"/>
      <protection locked="0"/>
    </xf>
    <xf numFmtId="165" fontId="8" fillId="0" borderId="2" xfId="0" applyNumberFormat="1" applyFont="1" applyBorder="1" applyAlignment="1" applyProtection="1">
      <alignment horizontal="center"/>
      <protection locked="0"/>
    </xf>
    <xf numFmtId="165" fontId="104" fillId="0" borderId="0" xfId="38" applyNumberFormat="1" applyBorder="1" applyAlignment="1">
      <alignment vertical="center"/>
    </xf>
    <xf numFmtId="165" fontId="0" fillId="0" borderId="0" xfId="38" applyNumberFormat="1" applyFont="1" applyBorder="1" applyAlignment="1">
      <alignment vertical="center"/>
    </xf>
    <xf numFmtId="165" fontId="29" fillId="0" borderId="0" xfId="38" applyNumberFormat="1" applyFont="1" applyBorder="1"/>
    <xf numFmtId="0" fontId="27" fillId="7" borderId="0" xfId="0" applyFont="1" applyFill="1"/>
    <xf numFmtId="168" fontId="27" fillId="7" borderId="0" xfId="0" applyNumberFormat="1" applyFont="1" applyFill="1"/>
    <xf numFmtId="169" fontId="27" fillId="7" borderId="0" xfId="0" applyNumberFormat="1" applyFont="1" applyFill="1"/>
    <xf numFmtId="165" fontId="32" fillId="0" borderId="16" xfId="0" applyNumberFormat="1" applyFont="1" applyBorder="1" applyAlignment="1">
      <alignment horizontal="left"/>
    </xf>
    <xf numFmtId="168" fontId="32" fillId="9" borderId="17" xfId="0" applyNumberFormat="1" applyFont="1" applyFill="1" applyBorder="1" applyAlignment="1" applyProtection="1">
      <alignment horizontal="center"/>
      <protection locked="0"/>
    </xf>
    <xf numFmtId="168" fontId="32" fillId="9" borderId="18" xfId="0" applyNumberFormat="1" applyFont="1" applyFill="1" applyBorder="1" applyAlignment="1" applyProtection="1">
      <alignment horizontal="center"/>
      <protection locked="0"/>
    </xf>
    <xf numFmtId="168" fontId="32" fillId="9" borderId="19" xfId="0" applyNumberFormat="1" applyFont="1" applyFill="1" applyBorder="1" applyAlignment="1" applyProtection="1">
      <alignment horizontal="center" wrapText="1"/>
      <protection locked="0"/>
    </xf>
    <xf numFmtId="170" fontId="23" fillId="4" borderId="21" xfId="0" applyNumberFormat="1" applyFont="1" applyFill="1" applyBorder="1" applyProtection="1">
      <protection locked="0"/>
    </xf>
    <xf numFmtId="171" fontId="23" fillId="4" borderId="17" xfId="2" applyNumberFormat="1" applyFont="1" applyFill="1" applyBorder="1" applyProtection="1">
      <protection locked="0"/>
    </xf>
    <xf numFmtId="172" fontId="23" fillId="4" borderId="17" xfId="0" applyNumberFormat="1" applyFont="1" applyFill="1" applyBorder="1" applyProtection="1">
      <protection locked="0"/>
    </xf>
    <xf numFmtId="171" fontId="23" fillId="4" borderId="21" xfId="2" applyNumberFormat="1" applyFont="1" applyFill="1" applyBorder="1" applyProtection="1">
      <protection locked="0"/>
    </xf>
    <xf numFmtId="172" fontId="23" fillId="4" borderId="21" xfId="0" applyNumberFormat="1" applyFont="1" applyFill="1" applyBorder="1" applyProtection="1">
      <protection locked="0"/>
    </xf>
    <xf numFmtId="170" fontId="23" fillId="0" borderId="2" xfId="0" applyNumberFormat="1" applyFont="1" applyBorder="1"/>
    <xf numFmtId="171" fontId="23" fillId="0" borderId="2" xfId="2" applyNumberFormat="1" applyFont="1" applyBorder="1"/>
    <xf numFmtId="172" fontId="23" fillId="0" borderId="2" xfId="0" applyNumberFormat="1" applyFont="1" applyBorder="1"/>
    <xf numFmtId="173" fontId="33" fillId="7" borderId="0" xfId="0" applyNumberFormat="1" applyFont="1" applyFill="1"/>
    <xf numFmtId="170" fontId="23" fillId="0" borderId="25" xfId="0" applyNumberFormat="1" applyFont="1" applyBorder="1"/>
    <xf numFmtId="171" fontId="23" fillId="0" borderId="25" xfId="0" applyNumberFormat="1" applyFont="1" applyBorder="1"/>
    <xf numFmtId="172" fontId="23" fillId="0" borderId="25" xfId="0" applyNumberFormat="1" applyFont="1" applyBorder="1"/>
    <xf numFmtId="9" fontId="27" fillId="0" borderId="0" xfId="3" applyFont="1"/>
    <xf numFmtId="172" fontId="0" fillId="0" borderId="0" xfId="0" applyNumberFormat="1"/>
    <xf numFmtId="172" fontId="27" fillId="7" borderId="0" xfId="0" applyNumberFormat="1" applyFont="1" applyFill="1"/>
    <xf numFmtId="49" fontId="0" fillId="0" borderId="0" xfId="0" applyNumberFormat="1"/>
    <xf numFmtId="169" fontId="0" fillId="0" borderId="0" xfId="0" applyNumberFormat="1"/>
    <xf numFmtId="168" fontId="32" fillId="0" borderId="0" xfId="0" applyNumberFormat="1" applyFont="1" applyAlignment="1">
      <alignment horizontal="center"/>
    </xf>
    <xf numFmtId="165" fontId="23" fillId="0" borderId="0" xfId="0" applyNumberFormat="1" applyFont="1"/>
    <xf numFmtId="165" fontId="34" fillId="0" borderId="26" xfId="0" applyNumberFormat="1" applyFont="1" applyBorder="1" applyAlignment="1">
      <alignment vertical="center" wrapText="1"/>
    </xf>
    <xf numFmtId="0" fontId="34" fillId="0" borderId="27" xfId="0" applyFont="1" applyBorder="1" applyAlignment="1">
      <alignment horizontal="center" vertical="center" wrapText="1"/>
    </xf>
    <xf numFmtId="0" fontId="34" fillId="0" borderId="28" xfId="0" applyFont="1" applyBorder="1" applyAlignment="1">
      <alignment horizontal="center" vertical="center" wrapText="1"/>
    </xf>
    <xf numFmtId="0" fontId="35" fillId="0" borderId="0" xfId="0" applyFont="1" applyAlignment="1">
      <alignment horizontal="center" vertical="center"/>
    </xf>
    <xf numFmtId="0" fontId="36" fillId="0" borderId="0" xfId="0" applyFont="1" applyAlignment="1">
      <alignment horizontal="center"/>
    </xf>
    <xf numFmtId="174" fontId="104" fillId="4" borderId="2" xfId="2" applyNumberFormat="1" applyFill="1" applyBorder="1" applyProtection="1">
      <protection locked="0"/>
    </xf>
    <xf numFmtId="175" fontId="0" fillId="0" borderId="0" xfId="0" applyNumberFormat="1" applyProtection="1">
      <protection locked="0"/>
    </xf>
    <xf numFmtId="175" fontId="0" fillId="0" borderId="0" xfId="0" applyNumberFormat="1"/>
    <xf numFmtId="0" fontId="0" fillId="0" borderId="0" xfId="0" applyProtection="1">
      <protection locked="0"/>
    </xf>
    <xf numFmtId="0" fontId="36" fillId="0" borderId="29" xfId="0" applyFont="1" applyBorder="1" applyAlignment="1" applyProtection="1">
      <alignment wrapText="1"/>
      <protection locked="0"/>
    </xf>
    <xf numFmtId="165" fontId="0" fillId="0" borderId="30" xfId="0" applyNumberFormat="1" applyBorder="1"/>
    <xf numFmtId="172" fontId="35" fillId="0" borderId="0" xfId="0" applyNumberFormat="1" applyFont="1" applyAlignment="1">
      <alignment horizontal="right"/>
    </xf>
    <xf numFmtId="0" fontId="34" fillId="0" borderId="33" xfId="0" applyFont="1" applyBorder="1" applyAlignment="1">
      <alignment vertical="distributed" wrapText="1"/>
    </xf>
    <xf numFmtId="165" fontId="37" fillId="0" borderId="34" xfId="0" applyNumberFormat="1" applyFont="1" applyBorder="1" applyAlignment="1">
      <alignment horizontal="center" vertical="center" wrapText="1"/>
    </xf>
    <xf numFmtId="167" fontId="37" fillId="0" borderId="35" xfId="0" applyNumberFormat="1" applyFont="1" applyBorder="1" applyAlignment="1">
      <alignment horizontal="center" vertical="center" wrapText="1"/>
    </xf>
    <xf numFmtId="0" fontId="38" fillId="0" borderId="0" xfId="0" applyFont="1" applyAlignment="1">
      <alignment horizontal="center" vertical="center"/>
    </xf>
    <xf numFmtId="167" fontId="39" fillId="0" borderId="0" xfId="0" applyNumberFormat="1" applyFont="1" applyAlignment="1">
      <alignment horizontal="center" vertical="center" wrapText="1"/>
    </xf>
    <xf numFmtId="167" fontId="39" fillId="0" borderId="0" xfId="0" applyNumberFormat="1" applyFont="1" applyAlignment="1" applyProtection="1">
      <alignment horizontal="center" vertical="center" wrapText="1"/>
      <protection locked="0"/>
    </xf>
    <xf numFmtId="0" fontId="35" fillId="0" borderId="0" xfId="0" applyFont="1" applyAlignment="1">
      <alignment horizontal="center"/>
    </xf>
    <xf numFmtId="0" fontId="35" fillId="0" borderId="0" xfId="0" applyFont="1" applyProtection="1">
      <protection locked="0"/>
    </xf>
    <xf numFmtId="169" fontId="27" fillId="0" borderId="0" xfId="0" applyNumberFormat="1" applyFont="1"/>
    <xf numFmtId="169" fontId="35" fillId="0" borderId="0" xfId="1" applyNumberFormat="1" applyFont="1" applyProtection="1">
      <protection locked="0"/>
    </xf>
    <xf numFmtId="176" fontId="35" fillId="0" borderId="0" xfId="3" applyNumberFormat="1" applyFont="1" applyAlignment="1">
      <alignment horizontal="center"/>
    </xf>
    <xf numFmtId="167" fontId="35" fillId="0" borderId="0" xfId="0" applyNumberFormat="1" applyFont="1" applyAlignment="1">
      <alignment horizontal="center"/>
    </xf>
    <xf numFmtId="176" fontId="35" fillId="0" borderId="0" xfId="3" applyNumberFormat="1" applyFont="1" applyAlignment="1" applyProtection="1">
      <alignment horizontal="center"/>
      <protection locked="0"/>
    </xf>
    <xf numFmtId="165" fontId="35" fillId="0" borderId="37" xfId="0" applyNumberFormat="1" applyFont="1" applyBorder="1" applyAlignment="1">
      <alignment wrapText="1"/>
    </xf>
    <xf numFmtId="177" fontId="40" fillId="0" borderId="0" xfId="0" applyNumberFormat="1" applyFont="1"/>
    <xf numFmtId="0" fontId="35" fillId="0" borderId="0" xfId="0" applyFont="1"/>
    <xf numFmtId="174" fontId="0" fillId="0" borderId="0" xfId="0" applyNumberFormat="1"/>
    <xf numFmtId="177" fontId="0" fillId="0" borderId="0" xfId="0" applyNumberFormat="1"/>
    <xf numFmtId="178" fontId="0" fillId="0" borderId="0" xfId="0" applyNumberFormat="1"/>
    <xf numFmtId="179" fontId="0" fillId="0" borderId="0" xfId="0" applyNumberFormat="1"/>
    <xf numFmtId="167" fontId="36" fillId="0" borderId="40" xfId="0" applyNumberFormat="1" applyFont="1" applyBorder="1"/>
    <xf numFmtId="165" fontId="36" fillId="0" borderId="2" xfId="0" applyNumberFormat="1" applyFont="1" applyBorder="1" applyAlignment="1">
      <alignment horizontal="center"/>
    </xf>
    <xf numFmtId="165" fontId="36" fillId="0" borderId="41" xfId="0" applyNumberFormat="1" applyFont="1" applyBorder="1" applyAlignment="1">
      <alignment horizontal="center"/>
    </xf>
    <xf numFmtId="1" fontId="0" fillId="4" borderId="2" xfId="0" applyNumberFormat="1" applyFill="1" applyBorder="1" applyAlignment="1" applyProtection="1">
      <alignment horizontal="center"/>
      <protection locked="0"/>
    </xf>
    <xf numFmtId="1" fontId="0" fillId="4" borderId="41" xfId="0" applyNumberFormat="1" applyFill="1" applyBorder="1" applyAlignment="1" applyProtection="1">
      <alignment horizontal="center"/>
      <protection locked="0"/>
    </xf>
    <xf numFmtId="165" fontId="36" fillId="0" borderId="42" xfId="0" applyNumberFormat="1" applyFont="1" applyBorder="1"/>
    <xf numFmtId="165" fontId="36" fillId="0" borderId="43" xfId="0" applyNumberFormat="1" applyFont="1" applyBorder="1" applyAlignment="1">
      <alignment wrapText="1"/>
    </xf>
    <xf numFmtId="1" fontId="0" fillId="4" borderId="25" xfId="0" applyNumberFormat="1" applyFill="1" applyBorder="1" applyAlignment="1" applyProtection="1">
      <alignment horizontal="center"/>
      <protection locked="0"/>
    </xf>
    <xf numFmtId="1" fontId="0" fillId="4" borderId="44" xfId="0" applyNumberFormat="1" applyFill="1" applyBorder="1" applyAlignment="1" applyProtection="1">
      <alignment horizontal="center"/>
      <protection locked="0"/>
    </xf>
    <xf numFmtId="0" fontId="0" fillId="0" borderId="45" xfId="0" applyBorder="1"/>
    <xf numFmtId="165" fontId="41" fillId="0" borderId="45" xfId="38" applyNumberFormat="1" applyFont="1" applyBorder="1"/>
    <xf numFmtId="165" fontId="31" fillId="0" borderId="45" xfId="38" applyNumberFormat="1" applyFont="1" applyBorder="1" applyAlignment="1">
      <alignment vertical="center"/>
    </xf>
    <xf numFmtId="165" fontId="42" fillId="0" borderId="45" xfId="38" applyNumberFormat="1" applyFont="1" applyBorder="1" applyAlignment="1">
      <alignment vertical="center"/>
    </xf>
    <xf numFmtId="165" fontId="31" fillId="0" borderId="45" xfId="38" applyNumberFormat="1" applyFont="1" applyBorder="1" applyAlignment="1">
      <alignment horizontal="center" vertical="center"/>
    </xf>
    <xf numFmtId="165" fontId="31" fillId="5" borderId="46" xfId="38" applyNumberFormat="1" applyFont="1" applyFill="1" applyBorder="1" applyAlignment="1">
      <alignment horizontal="center" vertical="center"/>
    </xf>
    <xf numFmtId="165" fontId="31" fillId="0" borderId="47" xfId="38" applyNumberFormat="1" applyFont="1" applyBorder="1" applyAlignment="1">
      <alignment vertical="center"/>
    </xf>
    <xf numFmtId="165" fontId="31" fillId="0" borderId="0" xfId="38" applyNumberFormat="1" applyFont="1" applyBorder="1" applyAlignment="1" applyProtection="1">
      <alignment horizontal="center" vertical="center"/>
      <protection locked="0"/>
    </xf>
    <xf numFmtId="165" fontId="41" fillId="0" borderId="0" xfId="38" applyNumberFormat="1" applyFont="1" applyBorder="1"/>
    <xf numFmtId="165" fontId="31" fillId="0" borderId="0" xfId="38" applyNumberFormat="1" applyFont="1" applyBorder="1" applyAlignment="1">
      <alignment vertical="center"/>
    </xf>
    <xf numFmtId="165" fontId="43" fillId="0" borderId="0" xfId="38" applyNumberFormat="1" applyFont="1" applyBorder="1" applyAlignment="1">
      <alignment vertical="center"/>
    </xf>
    <xf numFmtId="165" fontId="44" fillId="0" borderId="0" xfId="38" applyNumberFormat="1" applyFont="1" applyBorder="1"/>
    <xf numFmtId="165" fontId="33" fillId="0" borderId="0" xfId="38" applyNumberFormat="1" applyFont="1" applyBorder="1" applyAlignment="1">
      <alignment vertical="center"/>
    </xf>
    <xf numFmtId="0" fontId="20" fillId="0" borderId="0" xfId="0" applyFont="1" applyAlignment="1">
      <alignment horizontal="center"/>
    </xf>
    <xf numFmtId="165" fontId="20" fillId="0" borderId="49" xfId="0" applyNumberFormat="1" applyFont="1" applyBorder="1" applyAlignment="1">
      <alignment horizontal="center"/>
    </xf>
    <xf numFmtId="165" fontId="20" fillId="0" borderId="49" xfId="0" applyNumberFormat="1" applyFont="1" applyBorder="1" applyAlignment="1">
      <alignment horizontal="center" wrapText="1"/>
    </xf>
    <xf numFmtId="165" fontId="20" fillId="0" borderId="50" xfId="0" applyNumberFormat="1" applyFont="1" applyBorder="1" applyAlignment="1">
      <alignment horizontal="center"/>
    </xf>
    <xf numFmtId="0" fontId="31" fillId="0" borderId="0" xfId="0" applyFont="1" applyAlignment="1">
      <alignment horizontal="center" vertical="center"/>
    </xf>
    <xf numFmtId="165" fontId="0" fillId="0" borderId="51" xfId="0" applyNumberFormat="1" applyBorder="1" applyAlignment="1">
      <alignment horizontal="left"/>
    </xf>
    <xf numFmtId="1" fontId="33" fillId="5" borderId="2" xfId="0" applyNumberFormat="1" applyFont="1" applyFill="1" applyBorder="1" applyAlignment="1" applyProtection="1">
      <alignment horizontal="center"/>
      <protection locked="0"/>
    </xf>
    <xf numFmtId="1" fontId="33" fillId="7" borderId="52" xfId="0" applyNumberFormat="1" applyFont="1" applyFill="1" applyBorder="1" applyAlignment="1">
      <alignment horizontal="center"/>
    </xf>
    <xf numFmtId="0" fontId="0" fillId="0" borderId="0" xfId="0" applyAlignment="1" applyProtection="1">
      <alignment horizontal="left" vertical="top"/>
      <protection locked="0"/>
    </xf>
    <xf numFmtId="165" fontId="0" fillId="0" borderId="53" xfId="0" applyNumberFormat="1" applyBorder="1" applyAlignment="1">
      <alignment horizontal="left"/>
    </xf>
    <xf numFmtId="1" fontId="33" fillId="5" borderId="54" xfId="0" applyNumberFormat="1" applyFont="1" applyFill="1" applyBorder="1" applyAlignment="1" applyProtection="1">
      <alignment horizontal="center"/>
      <protection locked="0"/>
    </xf>
    <xf numFmtId="1" fontId="33" fillId="7" borderId="55" xfId="0" applyNumberFormat="1" applyFont="1" applyFill="1" applyBorder="1" applyAlignment="1">
      <alignment horizontal="center"/>
    </xf>
    <xf numFmtId="0" fontId="33" fillId="0" borderId="0" xfId="0" applyFont="1"/>
    <xf numFmtId="0" fontId="0" fillId="0" borderId="56" xfId="0" applyBorder="1"/>
    <xf numFmtId="165" fontId="0" fillId="0" borderId="49" xfId="0" applyNumberFormat="1" applyBorder="1" applyAlignment="1">
      <alignment horizontal="center"/>
    </xf>
    <xf numFmtId="165" fontId="0" fillId="0" borderId="50" xfId="0" applyNumberFormat="1" applyBorder="1" applyAlignment="1">
      <alignment horizontal="center"/>
    </xf>
    <xf numFmtId="0" fontId="0" fillId="5" borderId="54" xfId="0" applyFill="1" applyBorder="1" applyAlignment="1" applyProtection="1">
      <alignment horizontal="center"/>
      <protection locked="0"/>
    </xf>
    <xf numFmtId="0" fontId="0" fillId="0" borderId="55" xfId="0" applyBorder="1" applyAlignment="1">
      <alignment horizontal="center"/>
    </xf>
    <xf numFmtId="167" fontId="0" fillId="0" borderId="0" xfId="0" applyNumberFormat="1" applyAlignment="1">
      <alignment horizontal="left"/>
    </xf>
    <xf numFmtId="165" fontId="0" fillId="0" borderId="50" xfId="0" applyNumberFormat="1" applyBorder="1" applyAlignment="1">
      <alignment horizontal="center" wrapText="1"/>
    </xf>
    <xf numFmtId="0" fontId="45" fillId="0" borderId="0" xfId="0" applyFont="1" applyAlignment="1">
      <alignment horizontal="center" wrapText="1"/>
    </xf>
    <xf numFmtId="0" fontId="0" fillId="5" borderId="55" xfId="0" applyFill="1" applyBorder="1" applyAlignment="1" applyProtection="1">
      <alignment horizontal="center"/>
      <protection locked="0"/>
    </xf>
    <xf numFmtId="167" fontId="0" fillId="0" borderId="0" xfId="0" applyNumberFormat="1" applyAlignment="1" applyProtection="1">
      <alignment horizontal="center"/>
      <protection locked="0"/>
    </xf>
    <xf numFmtId="165" fontId="32" fillId="0" borderId="49" xfId="0" applyNumberFormat="1" applyFont="1" applyBorder="1" applyAlignment="1">
      <alignment horizontal="center"/>
    </xf>
    <xf numFmtId="165" fontId="32" fillId="0" borderId="50" xfId="0" applyNumberFormat="1" applyFont="1" applyBorder="1" applyAlignment="1">
      <alignment horizontal="center"/>
    </xf>
    <xf numFmtId="1" fontId="0" fillId="5" borderId="2" xfId="0" applyNumberFormat="1" applyFill="1" applyBorder="1" applyAlignment="1" applyProtection="1">
      <alignment horizontal="center"/>
      <protection locked="0"/>
    </xf>
    <xf numFmtId="1" fontId="0" fillId="0" borderId="52" xfId="0" applyNumberFormat="1" applyBorder="1" applyAlignment="1">
      <alignment horizontal="center"/>
    </xf>
    <xf numFmtId="1" fontId="0" fillId="5" borderId="54" xfId="0" applyNumberFormat="1" applyFill="1" applyBorder="1" applyAlignment="1" applyProtection="1">
      <alignment horizontal="center"/>
      <protection locked="0"/>
    </xf>
    <xf numFmtId="0" fontId="0" fillId="0" borderId="57" xfId="0" applyBorder="1"/>
    <xf numFmtId="168" fontId="32" fillId="9" borderId="58" xfId="0" applyNumberFormat="1" applyFont="1" applyFill="1" applyBorder="1" applyAlignment="1" applyProtection="1">
      <alignment horizontal="center"/>
      <protection locked="0"/>
    </xf>
    <xf numFmtId="168" fontId="32" fillId="9" borderId="59" xfId="0" applyNumberFormat="1" applyFont="1" applyFill="1" applyBorder="1" applyAlignment="1" applyProtection="1">
      <alignment horizontal="center"/>
      <protection locked="0"/>
    </xf>
    <xf numFmtId="168" fontId="0" fillId="0" borderId="60" xfId="0" applyNumberFormat="1" applyBorder="1" applyAlignment="1">
      <alignment horizontal="left"/>
    </xf>
    <xf numFmtId="180" fontId="0" fillId="5" borderId="2" xfId="2" applyNumberFormat="1" applyFont="1" applyFill="1" applyBorder="1" applyAlignment="1" applyProtection="1">
      <alignment horizontal="right" wrapText="1"/>
      <protection locked="0"/>
    </xf>
    <xf numFmtId="172" fontId="0" fillId="5" borderId="2" xfId="0" applyNumberFormat="1" applyFill="1" applyBorder="1" applyAlignment="1" applyProtection="1">
      <alignment horizontal="right" wrapText="1"/>
      <protection locked="0"/>
    </xf>
    <xf numFmtId="168" fontId="0" fillId="0" borderId="61" xfId="0" applyNumberFormat="1" applyBorder="1" applyAlignment="1">
      <alignment horizontal="left"/>
    </xf>
    <xf numFmtId="180" fontId="0" fillId="4" borderId="2" xfId="2" applyNumberFormat="1" applyFont="1" applyFill="1" applyBorder="1" applyAlignment="1" applyProtection="1">
      <alignment horizontal="right" wrapText="1"/>
      <protection locked="0"/>
    </xf>
    <xf numFmtId="180" fontId="0" fillId="4" borderId="2" xfId="0" applyNumberFormat="1" applyFill="1" applyBorder="1" applyAlignment="1">
      <alignment horizontal="right" wrapText="1"/>
    </xf>
    <xf numFmtId="172" fontId="0" fillId="4" borderId="2" xfId="0" applyNumberFormat="1" applyFill="1" applyBorder="1" applyAlignment="1">
      <alignment horizontal="right" wrapText="1"/>
    </xf>
    <xf numFmtId="168" fontId="0" fillId="0" borderId="42" xfId="0" applyNumberFormat="1" applyBorder="1" applyAlignment="1">
      <alignment horizontal="left" wrapText="1"/>
    </xf>
    <xf numFmtId="0" fontId="0" fillId="0" borderId="0" xfId="0" applyAlignment="1">
      <alignment horizontal="center" wrapText="1"/>
    </xf>
    <xf numFmtId="165" fontId="0" fillId="0" borderId="0" xfId="1" applyFont="1"/>
    <xf numFmtId="165" fontId="0" fillId="0" borderId="0" xfId="0" applyNumberFormat="1"/>
    <xf numFmtId="168" fontId="0" fillId="0" borderId="0" xfId="0" applyNumberFormat="1"/>
    <xf numFmtId="165" fontId="0" fillId="0" borderId="57" xfId="0" applyNumberFormat="1" applyBorder="1" applyAlignment="1">
      <alignment horizontal="left"/>
    </xf>
    <xf numFmtId="165" fontId="0" fillId="0" borderId="62" xfId="0" applyNumberFormat="1" applyBorder="1" applyAlignment="1">
      <alignment horizontal="center" wrapText="1"/>
    </xf>
    <xf numFmtId="165" fontId="23" fillId="0" borderId="62" xfId="0" applyNumberFormat="1" applyFont="1" applyBorder="1" applyAlignment="1">
      <alignment horizontal="center" wrapText="1"/>
    </xf>
    <xf numFmtId="165" fontId="0" fillId="0" borderId="63" xfId="0" applyNumberFormat="1" applyBorder="1" applyAlignment="1">
      <alignment horizontal="center" wrapText="1"/>
    </xf>
    <xf numFmtId="165" fontId="0" fillId="5" borderId="64" xfId="0" applyNumberFormat="1" applyFill="1" applyBorder="1" applyAlignment="1" applyProtection="1">
      <alignment wrapText="1"/>
      <protection locked="0"/>
    </xf>
    <xf numFmtId="0" fontId="0" fillId="5" borderId="64" xfId="0" applyFill="1" applyBorder="1" applyAlignment="1" applyProtection="1">
      <alignment horizontal="center"/>
      <protection locked="0"/>
    </xf>
    <xf numFmtId="0" fontId="0" fillId="0" borderId="64" xfId="0" applyBorder="1" applyAlignment="1">
      <alignment horizontal="center"/>
    </xf>
    <xf numFmtId="1" fontId="0" fillId="0" borderId="64" xfId="0" applyNumberFormat="1" applyBorder="1" applyAlignment="1">
      <alignment horizontal="center"/>
    </xf>
    <xf numFmtId="165" fontId="0" fillId="5" borderId="64" xfId="0" applyNumberFormat="1" applyFill="1" applyBorder="1" applyProtection="1">
      <protection locked="0"/>
    </xf>
    <xf numFmtId="0" fontId="0" fillId="5" borderId="64" xfId="0" applyFill="1" applyBorder="1" applyProtection="1">
      <protection locked="0"/>
    </xf>
    <xf numFmtId="0" fontId="0" fillId="0" borderId="64" xfId="0" applyBorder="1"/>
    <xf numFmtId="172" fontId="0" fillId="5" borderId="64" xfId="0" applyNumberFormat="1" applyFill="1" applyBorder="1" applyProtection="1">
      <protection locked="0"/>
    </xf>
    <xf numFmtId="172" fontId="0" fillId="0" borderId="64" xfId="0" applyNumberFormat="1" applyBorder="1"/>
    <xf numFmtId="181" fontId="0" fillId="0" borderId="64" xfId="0" applyNumberFormat="1" applyBorder="1" applyAlignment="1">
      <alignment horizontal="center"/>
    </xf>
    <xf numFmtId="181" fontId="0" fillId="0" borderId="64" xfId="0" applyNumberFormat="1" applyBorder="1"/>
    <xf numFmtId="165" fontId="46" fillId="0" borderId="65" xfId="38" applyNumberFormat="1" applyFont="1" applyBorder="1"/>
    <xf numFmtId="165" fontId="47" fillId="0" borderId="65" xfId="38" applyNumberFormat="1" applyFont="1" applyBorder="1"/>
    <xf numFmtId="165" fontId="31" fillId="0" borderId="65" xfId="38" applyNumberFormat="1" applyFont="1" applyBorder="1" applyAlignment="1">
      <alignment vertical="center"/>
    </xf>
    <xf numFmtId="165" fontId="48" fillId="0" borderId="65" xfId="38" applyNumberFormat="1" applyFont="1" applyBorder="1" applyAlignment="1">
      <alignment vertical="center"/>
    </xf>
    <xf numFmtId="165" fontId="49" fillId="0" borderId="65" xfId="38" applyNumberFormat="1" applyFont="1" applyBorder="1" applyAlignment="1">
      <alignment vertical="center"/>
    </xf>
    <xf numFmtId="0" fontId="0" fillId="0" borderId="65" xfId="0" applyBorder="1"/>
    <xf numFmtId="165" fontId="47" fillId="0" borderId="65" xfId="38" applyNumberFormat="1" applyFont="1" applyBorder="1" applyAlignment="1">
      <alignment vertical="center"/>
    </xf>
    <xf numFmtId="0" fontId="0" fillId="6" borderId="66" xfId="0" applyFill="1" applyBorder="1"/>
    <xf numFmtId="165" fontId="50" fillId="0" borderId="67" xfId="0" applyNumberFormat="1" applyFont="1" applyBorder="1" applyAlignment="1">
      <alignment horizontal="center" vertical="center"/>
    </xf>
    <xf numFmtId="165" fontId="50" fillId="0" borderId="68" xfId="0" applyNumberFormat="1" applyFont="1" applyBorder="1" applyAlignment="1">
      <alignment horizontal="center" vertical="center" wrapText="1"/>
    </xf>
    <xf numFmtId="0" fontId="2" fillId="0" borderId="69" xfId="0" applyFont="1" applyBorder="1" applyAlignment="1">
      <alignment horizontal="center"/>
    </xf>
    <xf numFmtId="168" fontId="20" fillId="9" borderId="70" xfId="0" applyNumberFormat="1" applyFont="1" applyFill="1" applyBorder="1" applyAlignment="1" applyProtection="1">
      <alignment horizontal="center"/>
      <protection locked="0"/>
    </xf>
    <xf numFmtId="168" fontId="20" fillId="9" borderId="71" xfId="0" applyNumberFormat="1" applyFont="1" applyFill="1" applyBorder="1" applyAlignment="1" applyProtection="1">
      <alignment horizontal="center"/>
      <protection locked="0"/>
    </xf>
    <xf numFmtId="165" fontId="50" fillId="0" borderId="72" xfId="0" applyNumberFormat="1" applyFont="1" applyBorder="1" applyAlignment="1">
      <alignment horizontal="center" vertical="center"/>
    </xf>
    <xf numFmtId="0" fontId="50" fillId="0" borderId="73" xfId="0" applyFont="1" applyBorder="1" applyAlignment="1">
      <alignment horizontal="center" vertical="center"/>
    </xf>
    <xf numFmtId="165" fontId="50" fillId="0" borderId="74" xfId="0" applyNumberFormat="1" applyFont="1" applyBorder="1" applyAlignment="1">
      <alignment horizontal="center" vertical="center"/>
    </xf>
    <xf numFmtId="165" fontId="50" fillId="0" borderId="75" xfId="0" applyNumberFormat="1" applyFont="1" applyBorder="1" applyAlignment="1">
      <alignment horizontal="center" vertical="center" wrapText="1"/>
    </xf>
    <xf numFmtId="0" fontId="2" fillId="0" borderId="5" xfId="0" applyFont="1" applyBorder="1" applyAlignment="1">
      <alignment horizontal="center"/>
    </xf>
    <xf numFmtId="168" fontId="20" fillId="9" borderId="73" xfId="0" applyNumberFormat="1" applyFont="1" applyFill="1" applyBorder="1" applyAlignment="1" applyProtection="1">
      <alignment horizontal="center"/>
      <protection locked="0"/>
    </xf>
    <xf numFmtId="168" fontId="20" fillId="9" borderId="76" xfId="0" applyNumberFormat="1" applyFont="1" applyFill="1" applyBorder="1" applyAlignment="1" applyProtection="1">
      <alignment horizontal="center"/>
      <protection locked="0"/>
    </xf>
    <xf numFmtId="49" fontId="2" fillId="0" borderId="2" xfId="0" applyNumberFormat="1" applyFont="1" applyBorder="1" applyAlignment="1">
      <alignment horizontal="left"/>
    </xf>
    <xf numFmtId="182" fontId="51" fillId="6" borderId="2" xfId="0" applyNumberFormat="1" applyFont="1" applyFill="1" applyBorder="1" applyAlignment="1" applyProtection="1">
      <alignment horizontal="center" vertical="center"/>
      <protection locked="0"/>
    </xf>
    <xf numFmtId="0" fontId="51" fillId="11" borderId="2" xfId="0" applyFont="1" applyFill="1" applyBorder="1" applyAlignment="1" applyProtection="1">
      <alignment horizontal="center" vertical="center"/>
      <protection locked="0"/>
    </xf>
    <xf numFmtId="0" fontId="51" fillId="6" borderId="2" xfId="3" applyNumberFormat="1" applyFont="1" applyFill="1" applyBorder="1" applyAlignment="1" applyProtection="1">
      <alignment horizontal="center" vertical="center"/>
      <protection locked="0"/>
    </xf>
    <xf numFmtId="182" fontId="51" fillId="6" borderId="80" xfId="0" applyNumberFormat="1" applyFont="1" applyFill="1" applyBorder="1" applyAlignment="1" applyProtection="1">
      <alignment horizontal="center" vertical="center"/>
      <protection locked="0"/>
    </xf>
    <xf numFmtId="172" fontId="51" fillId="6" borderId="2" xfId="0" applyNumberFormat="1" applyFont="1" applyFill="1" applyBorder="1" applyAlignment="1" applyProtection="1">
      <alignment horizontal="center" vertical="center"/>
      <protection locked="0"/>
    </xf>
    <xf numFmtId="172" fontId="51" fillId="6" borderId="81" xfId="0" applyNumberFormat="1" applyFont="1" applyFill="1" applyBorder="1" applyAlignment="1" applyProtection="1">
      <alignment horizontal="center" vertical="center"/>
      <protection locked="0"/>
    </xf>
    <xf numFmtId="182" fontId="51" fillId="11" borderId="2" xfId="0" applyNumberFormat="1" applyFont="1" applyFill="1" applyBorder="1" applyAlignment="1" applyProtection="1">
      <alignment horizontal="center" vertical="center"/>
      <protection locked="0"/>
    </xf>
    <xf numFmtId="49" fontId="2" fillId="12" borderId="2" xfId="0" applyNumberFormat="1" applyFont="1" applyFill="1" applyBorder="1" applyAlignment="1">
      <alignment horizontal="left"/>
    </xf>
    <xf numFmtId="172" fontId="51" fillId="11" borderId="2" xfId="0" applyNumberFormat="1" applyFont="1" applyFill="1" applyBorder="1" applyAlignment="1" applyProtection="1">
      <alignment horizontal="center" vertical="center"/>
      <protection locked="0"/>
    </xf>
    <xf numFmtId="182" fontId="51" fillId="11" borderId="80" xfId="0" applyNumberFormat="1" applyFont="1" applyFill="1" applyBorder="1" applyAlignment="1" applyProtection="1">
      <alignment horizontal="center" vertical="center"/>
      <protection locked="0"/>
    </xf>
    <xf numFmtId="172" fontId="51" fillId="11" borderId="81" xfId="0" applyNumberFormat="1" applyFont="1" applyFill="1" applyBorder="1" applyAlignment="1" applyProtection="1">
      <alignment horizontal="center" vertical="center"/>
      <protection locked="0"/>
    </xf>
    <xf numFmtId="49" fontId="2" fillId="12" borderId="84" xfId="0" applyNumberFormat="1" applyFont="1" applyFill="1" applyBorder="1" applyAlignment="1">
      <alignment horizontal="left"/>
    </xf>
    <xf numFmtId="0" fontId="51" fillId="6" borderId="2" xfId="0" applyFont="1" applyFill="1" applyBorder="1" applyAlignment="1" applyProtection="1">
      <alignment horizontal="center" vertical="center"/>
      <protection locked="0"/>
    </xf>
    <xf numFmtId="172" fontId="51" fillId="11" borderId="84" xfId="0" applyNumberFormat="1" applyFont="1" applyFill="1" applyBorder="1" applyAlignment="1" applyProtection="1">
      <alignment horizontal="center" vertical="center"/>
      <protection locked="0"/>
    </xf>
    <xf numFmtId="172" fontId="51" fillId="11" borderId="85" xfId="0" applyNumberFormat="1" applyFont="1" applyFill="1" applyBorder="1" applyAlignment="1" applyProtection="1">
      <alignment horizontal="center" vertical="center"/>
      <protection locked="0"/>
    </xf>
    <xf numFmtId="183" fontId="51" fillId="11" borderId="2" xfId="0" applyNumberFormat="1" applyFont="1" applyFill="1" applyBorder="1" applyAlignment="1" applyProtection="1">
      <alignment horizontal="center" vertical="center"/>
      <protection locked="0"/>
    </xf>
    <xf numFmtId="172" fontId="51" fillId="11" borderId="80" xfId="0" applyNumberFormat="1" applyFont="1" applyFill="1" applyBorder="1" applyAlignment="1" applyProtection="1">
      <alignment horizontal="center" vertical="center"/>
      <protection locked="0"/>
    </xf>
    <xf numFmtId="49" fontId="51" fillId="11" borderId="2" xfId="0" applyNumberFormat="1" applyFont="1" applyFill="1" applyBorder="1" applyAlignment="1" applyProtection="1">
      <alignment horizontal="center" vertical="center"/>
      <protection locked="0"/>
    </xf>
    <xf numFmtId="184" fontId="51" fillId="11" borderId="2" xfId="0" applyNumberFormat="1" applyFont="1" applyFill="1" applyBorder="1" applyAlignment="1" applyProtection="1">
      <alignment horizontal="center" vertical="center"/>
      <protection locked="0"/>
    </xf>
    <xf numFmtId="172" fontId="51" fillId="6" borderId="80" xfId="0" applyNumberFormat="1" applyFont="1" applyFill="1" applyBorder="1" applyAlignment="1" applyProtection="1">
      <alignment horizontal="center" vertical="center"/>
      <protection locked="0"/>
    </xf>
    <xf numFmtId="49" fontId="51" fillId="6" borderId="2" xfId="0" applyNumberFormat="1" applyFont="1" applyFill="1" applyBorder="1" applyAlignment="1" applyProtection="1">
      <alignment horizontal="center" vertical="center"/>
      <protection locked="0"/>
    </xf>
    <xf numFmtId="185" fontId="51" fillId="11" borderId="2" xfId="0" applyNumberFormat="1" applyFont="1" applyFill="1" applyBorder="1" applyAlignment="1" applyProtection="1">
      <alignment horizontal="center" vertical="center"/>
      <protection locked="0"/>
    </xf>
    <xf numFmtId="1" fontId="51" fillId="6" borderId="2" xfId="0" applyNumberFormat="1" applyFont="1" applyFill="1" applyBorder="1" applyAlignment="1" applyProtection="1">
      <alignment horizontal="center" vertical="center"/>
      <protection locked="0"/>
    </xf>
    <xf numFmtId="186" fontId="51" fillId="11" borderId="80" xfId="0" applyNumberFormat="1" applyFont="1" applyFill="1" applyBorder="1" applyAlignment="1" applyProtection="1">
      <alignment horizontal="center" vertical="center"/>
      <protection locked="0"/>
    </xf>
    <xf numFmtId="187" fontId="51" fillId="11" borderId="86" xfId="0" applyNumberFormat="1" applyFont="1" applyFill="1" applyBorder="1" applyAlignment="1" applyProtection="1">
      <alignment horizontal="center" vertical="center"/>
      <protection locked="0"/>
    </xf>
    <xf numFmtId="49" fontId="51" fillId="11" borderId="84" xfId="0" applyNumberFormat="1" applyFont="1" applyFill="1" applyBorder="1" applyAlignment="1" applyProtection="1">
      <alignment horizontal="center" vertical="center"/>
      <protection locked="0"/>
    </xf>
    <xf numFmtId="165" fontId="59" fillId="0" borderId="0" xfId="6" applyFont="1" applyAlignment="1">
      <alignment vertical="center"/>
    </xf>
    <xf numFmtId="165" fontId="60" fillId="0" borderId="0" xfId="18" applyFont="1" applyAlignment="1">
      <alignment horizontal="right" vertical="center"/>
    </xf>
    <xf numFmtId="0" fontId="27" fillId="0" borderId="0" xfId="0" applyFont="1" applyAlignment="1">
      <alignment horizontal="center"/>
    </xf>
    <xf numFmtId="0" fontId="61" fillId="0" borderId="0" xfId="0" applyFont="1" applyAlignment="1">
      <alignment horizontal="left"/>
    </xf>
    <xf numFmtId="0" fontId="62" fillId="0" borderId="0" xfId="0" applyFont="1"/>
    <xf numFmtId="0" fontId="27" fillId="0" borderId="0" xfId="0" applyFont="1"/>
    <xf numFmtId="165" fontId="63" fillId="0" borderId="0" xfId="18" applyFont="1"/>
    <xf numFmtId="165" fontId="63" fillId="0" borderId="0" xfId="18" applyFont="1" applyAlignment="1">
      <alignment horizontal="center"/>
    </xf>
    <xf numFmtId="165" fontId="63" fillId="0" borderId="0" xfId="18" applyFont="1" applyAlignment="1">
      <alignment horizontal="right"/>
    </xf>
    <xf numFmtId="165" fontId="104" fillId="0" borderId="0" xfId="17"/>
    <xf numFmtId="0" fontId="27" fillId="0" borderId="0" xfId="0" applyFont="1" applyAlignment="1">
      <alignment horizontal="left" indent="1"/>
    </xf>
    <xf numFmtId="0" fontId="7" fillId="0" borderId="0" xfId="0" applyFont="1" applyAlignment="1">
      <alignment horizontal="left" indent="1"/>
    </xf>
    <xf numFmtId="165" fontId="0" fillId="0" borderId="87" xfId="32" applyNumberFormat="1" applyFont="1" applyBorder="1" applyAlignment="1">
      <alignment horizontal="right"/>
    </xf>
    <xf numFmtId="188" fontId="21" fillId="5" borderId="87" xfId="32" applyNumberFormat="1" applyFont="1" applyFill="1" applyBorder="1" applyAlignment="1">
      <alignment horizontal="center" vertical="center"/>
    </xf>
    <xf numFmtId="165" fontId="60" fillId="0" borderId="87" xfId="32" applyNumberFormat="1" applyFont="1" applyBorder="1" applyAlignment="1">
      <alignment horizontal="right"/>
    </xf>
    <xf numFmtId="165" fontId="21" fillId="5" borderId="87" xfId="32" applyNumberFormat="1" applyFont="1" applyFill="1" applyBorder="1" applyAlignment="1">
      <alignment horizontal="center" vertical="center"/>
    </xf>
    <xf numFmtId="167" fontId="21" fillId="5" borderId="87" xfId="32" applyNumberFormat="1" applyFont="1" applyFill="1" applyBorder="1" applyAlignment="1">
      <alignment horizontal="center" vertical="center"/>
    </xf>
    <xf numFmtId="165" fontId="27" fillId="0" borderId="0" xfId="17" applyFont="1"/>
    <xf numFmtId="190" fontId="21" fillId="5" borderId="87" xfId="32" applyNumberFormat="1" applyFont="1" applyFill="1" applyBorder="1" applyAlignment="1">
      <alignment horizontal="center"/>
    </xf>
    <xf numFmtId="172" fontId="21" fillId="5" borderId="87" xfId="32" applyNumberFormat="1" applyFont="1" applyFill="1" applyBorder="1" applyAlignment="1">
      <alignment horizontal="center"/>
    </xf>
    <xf numFmtId="165" fontId="21" fillId="5" borderId="87" xfId="32" applyNumberFormat="1" applyFont="1" applyFill="1" applyBorder="1" applyAlignment="1">
      <alignment horizontal="center"/>
    </xf>
    <xf numFmtId="167" fontId="21" fillId="5" borderId="87" xfId="32" applyNumberFormat="1" applyFont="1" applyFill="1" applyBorder="1" applyAlignment="1">
      <alignment horizontal="center"/>
    </xf>
    <xf numFmtId="0" fontId="65" fillId="0" borderId="0" xfId="0" applyFont="1"/>
    <xf numFmtId="0" fontId="7" fillId="0" borderId="0" xfId="17" applyNumberFormat="1" applyFont="1"/>
    <xf numFmtId="165" fontId="66" fillId="0" borderId="0" xfId="17" applyFont="1"/>
    <xf numFmtId="165" fontId="27" fillId="0" borderId="0" xfId="19" applyFont="1"/>
    <xf numFmtId="165" fontId="66" fillId="0" borderId="0" xfId="19" applyFont="1"/>
    <xf numFmtId="165" fontId="4" fillId="0" borderId="0" xfId="6" applyFont="1" applyAlignment="1">
      <alignment vertical="center"/>
    </xf>
    <xf numFmtId="165" fontId="23" fillId="0" borderId="0" xfId="0" applyNumberFormat="1" applyFont="1" applyAlignment="1">
      <alignment horizontal="right"/>
    </xf>
    <xf numFmtId="0" fontId="23" fillId="0" borderId="0" xfId="0" applyFont="1" applyAlignment="1">
      <alignment horizontal="center"/>
    </xf>
    <xf numFmtId="167" fontId="23" fillId="0" borderId="0" xfId="0" applyNumberFormat="1" applyFont="1" applyAlignment="1">
      <alignment horizontal="center"/>
    </xf>
    <xf numFmtId="169" fontId="23" fillId="0" borderId="0" xfId="1" applyNumberFormat="1" applyFont="1" applyAlignment="1">
      <alignment horizontal="left"/>
    </xf>
    <xf numFmtId="0" fontId="63" fillId="0" borderId="0" xfId="0" applyFont="1" applyAlignment="1">
      <alignment horizontal="center"/>
    </xf>
    <xf numFmtId="167" fontId="23" fillId="0" borderId="0" xfId="0" applyNumberFormat="1" applyFont="1" applyAlignment="1">
      <alignment horizontal="right"/>
    </xf>
    <xf numFmtId="167" fontId="23" fillId="0" borderId="0" xfId="0" applyNumberFormat="1" applyFont="1" applyAlignment="1">
      <alignment horizontal="left"/>
    </xf>
    <xf numFmtId="165" fontId="68" fillId="0" borderId="0" xfId="0" applyNumberFormat="1" applyFont="1"/>
    <xf numFmtId="0" fontId="69" fillId="0" borderId="0" xfId="0" applyFont="1"/>
    <xf numFmtId="0" fontId="70" fillId="6" borderId="0" xfId="0" applyFont="1" applyFill="1" applyAlignment="1" applyProtection="1">
      <alignment horizontal="left"/>
      <protection locked="0"/>
    </xf>
    <xf numFmtId="0" fontId="69" fillId="6" borderId="0" xfId="0" applyFont="1" applyFill="1" applyAlignment="1" applyProtection="1">
      <alignment horizontal="left"/>
      <protection locked="0"/>
    </xf>
    <xf numFmtId="165" fontId="71" fillId="0" borderId="0" xfId="0" applyNumberFormat="1" applyFont="1"/>
    <xf numFmtId="0" fontId="0" fillId="0" borderId="0" xfId="0" applyAlignment="1">
      <alignment horizontal="left" wrapText="1"/>
    </xf>
    <xf numFmtId="0" fontId="69" fillId="0" borderId="0" xfId="0" applyFont="1" applyAlignment="1" applyProtection="1">
      <alignment horizontal="left"/>
      <protection locked="0"/>
    </xf>
    <xf numFmtId="165" fontId="72" fillId="0" borderId="0" xfId="0" applyNumberFormat="1" applyFont="1" applyAlignment="1">
      <alignment vertical="center" wrapText="1"/>
    </xf>
    <xf numFmtId="165" fontId="72" fillId="0" borderId="57" xfId="0" applyNumberFormat="1" applyFont="1" applyBorder="1" applyAlignment="1">
      <alignment horizontal="center" wrapText="1"/>
    </xf>
    <xf numFmtId="165" fontId="72" fillId="0" borderId="63" xfId="0" applyNumberFormat="1" applyFont="1" applyBorder="1" applyAlignment="1">
      <alignment horizontal="center" wrapText="1"/>
    </xf>
    <xf numFmtId="0" fontId="72" fillId="0" borderId="0" xfId="0" applyFont="1" applyAlignment="1">
      <alignment wrapText="1"/>
    </xf>
    <xf numFmtId="0" fontId="68" fillId="0" borderId="42" xfId="0" applyFont="1" applyBorder="1" applyAlignment="1">
      <alignment horizontal="center"/>
    </xf>
    <xf numFmtId="0" fontId="32" fillId="4" borderId="90" xfId="0" applyFont="1" applyFill="1" applyBorder="1" applyAlignment="1">
      <alignment horizontal="center"/>
    </xf>
    <xf numFmtId="0" fontId="68" fillId="0" borderId="92" xfId="0" applyFont="1" applyBorder="1" applyAlignment="1">
      <alignment horizontal="center"/>
    </xf>
    <xf numFmtId="0" fontId="32" fillId="4" borderId="93" xfId="0" applyFont="1" applyFill="1" applyBorder="1" applyAlignment="1">
      <alignment horizontal="center"/>
    </xf>
    <xf numFmtId="165" fontId="4" fillId="0" borderId="0" xfId="16" applyFont="1" applyAlignment="1">
      <alignment vertical="center"/>
    </xf>
    <xf numFmtId="0" fontId="0" fillId="0" borderId="0" xfId="0" applyAlignment="1">
      <alignment horizontal="left"/>
    </xf>
    <xf numFmtId="191" fontId="0" fillId="0" borderId="0" xfId="0" applyNumberFormat="1"/>
    <xf numFmtId="192" fontId="104" fillId="0" borderId="0" xfId="32" applyNumberFormat="1" applyBorder="1" applyAlignment="1" applyProtection="1">
      <alignment horizontal="center"/>
      <protection locked="0"/>
    </xf>
    <xf numFmtId="192" fontId="0" fillId="0" borderId="0" xfId="0" applyNumberFormat="1"/>
    <xf numFmtId="167" fontId="0" fillId="0" borderId="0" xfId="0" applyNumberFormat="1" applyAlignment="1">
      <alignment horizontal="center"/>
    </xf>
    <xf numFmtId="1" fontId="33" fillId="0" borderId="0" xfId="0" applyNumberFormat="1" applyFont="1" applyAlignment="1">
      <alignment horizontal="center"/>
    </xf>
    <xf numFmtId="1" fontId="61" fillId="7" borderId="0" xfId="0" applyNumberFormat="1" applyFont="1" applyFill="1" applyAlignment="1">
      <alignment horizontal="center"/>
    </xf>
    <xf numFmtId="0" fontId="23" fillId="0" borderId="0" xfId="0" applyFont="1" applyAlignment="1">
      <alignment wrapText="1"/>
    </xf>
    <xf numFmtId="0" fontId="23" fillId="0" borderId="57" xfId="0" applyFont="1" applyBorder="1" applyAlignment="1">
      <alignment horizontal="center" wrapText="1"/>
    </xf>
    <xf numFmtId="0" fontId="23" fillId="0" borderId="95" xfId="0" applyFont="1" applyBorder="1" applyAlignment="1">
      <alignment wrapText="1"/>
    </xf>
    <xf numFmtId="0" fontId="69" fillId="0" borderId="62" xfId="0" applyFont="1" applyBorder="1" applyAlignment="1">
      <alignment horizontal="center" wrapText="1"/>
    </xf>
    <xf numFmtId="0" fontId="23" fillId="0" borderId="62" xfId="0" applyFont="1" applyBorder="1" applyAlignment="1">
      <alignment horizontal="center" wrapText="1"/>
    </xf>
    <xf numFmtId="0" fontId="69" fillId="0" borderId="96" xfId="0" applyFont="1" applyBorder="1" applyAlignment="1">
      <alignment horizontal="center" wrapText="1"/>
    </xf>
    <xf numFmtId="0" fontId="33" fillId="7" borderId="6" xfId="0" applyFont="1" applyFill="1" applyBorder="1"/>
    <xf numFmtId="181" fontId="0" fillId="7" borderId="2" xfId="0" applyNumberFormat="1" applyFill="1" applyBorder="1" applyAlignment="1">
      <alignment horizontal="center"/>
    </xf>
    <xf numFmtId="181" fontId="0" fillId="0" borderId="2" xfId="0" applyNumberFormat="1" applyBorder="1" applyAlignment="1">
      <alignment horizontal="center"/>
    </xf>
    <xf numFmtId="181" fontId="27" fillId="13" borderId="97" xfId="0" applyNumberFormat="1" applyFont="1" applyFill="1" applyBorder="1" applyAlignment="1">
      <alignment horizontal="center"/>
    </xf>
    <xf numFmtId="181" fontId="27" fillId="0" borderId="97" xfId="0" applyNumberFormat="1" applyFont="1" applyBorder="1" applyAlignment="1">
      <alignment horizontal="center"/>
    </xf>
    <xf numFmtId="167" fontId="23" fillId="0" borderId="0" xfId="0" applyNumberFormat="1" applyFont="1"/>
    <xf numFmtId="0" fontId="75" fillId="0" borderId="0" xfId="0" applyFont="1"/>
    <xf numFmtId="165" fontId="20" fillId="0" borderId="0" xfId="0" applyNumberFormat="1" applyFont="1" applyAlignment="1">
      <alignment horizontal="center"/>
    </xf>
    <xf numFmtId="165" fontId="0" fillId="0" borderId="0" xfId="0" applyNumberFormat="1" applyAlignment="1">
      <alignment horizontal="right"/>
    </xf>
    <xf numFmtId="167" fontId="32" fillId="0" borderId="0" xfId="0" applyNumberFormat="1" applyFont="1" applyAlignment="1">
      <alignment horizontal="center"/>
    </xf>
    <xf numFmtId="0" fontId="0" fillId="0" borderId="98" xfId="0" applyBorder="1"/>
    <xf numFmtId="172" fontId="27" fillId="7" borderId="100" xfId="0" applyNumberFormat="1" applyFont="1" applyFill="1" applyBorder="1" applyAlignment="1">
      <alignment horizontal="right"/>
    </xf>
    <xf numFmtId="172" fontId="27" fillId="7" borderId="100" xfId="1" applyNumberFormat="1" applyFont="1" applyFill="1" applyBorder="1"/>
    <xf numFmtId="9" fontId="27" fillId="7" borderId="100" xfId="3" applyFont="1" applyFill="1" applyBorder="1"/>
    <xf numFmtId="0" fontId="27" fillId="7" borderId="100" xfId="0" applyFont="1" applyFill="1" applyBorder="1"/>
    <xf numFmtId="165" fontId="27" fillId="0" borderId="0" xfId="0" applyNumberFormat="1" applyFont="1"/>
    <xf numFmtId="0" fontId="76" fillId="0" borderId="0" xfId="0" applyFont="1"/>
    <xf numFmtId="0" fontId="76" fillId="0" borderId="0" xfId="0" applyFont="1" applyAlignment="1">
      <alignment horizontal="right"/>
    </xf>
    <xf numFmtId="165" fontId="24" fillId="0" borderId="0" xfId="16" applyFont="1" applyAlignment="1">
      <alignment vertical="center"/>
    </xf>
    <xf numFmtId="0" fontId="77" fillId="0" borderId="0" xfId="0" applyFont="1" applyAlignment="1">
      <alignment horizontal="left" vertical="center"/>
    </xf>
    <xf numFmtId="0" fontId="77" fillId="0" borderId="0" xfId="0" applyFont="1" applyAlignment="1">
      <alignment horizontal="left"/>
    </xf>
    <xf numFmtId="194" fontId="77" fillId="0" borderId="0" xfId="0" applyNumberFormat="1" applyFont="1" applyAlignment="1">
      <alignment horizontal="left"/>
    </xf>
    <xf numFmtId="0" fontId="79" fillId="0" borderId="0" xfId="0" applyFont="1"/>
    <xf numFmtId="0" fontId="82" fillId="0" borderId="0" xfId="0" applyFont="1" applyAlignment="1">
      <alignment horizontal="right"/>
    </xf>
    <xf numFmtId="0" fontId="50" fillId="0" borderId="102" xfId="0" applyFont="1" applyBorder="1" applyAlignment="1">
      <alignment horizontal="center" vertical="center" wrapText="1"/>
    </xf>
    <xf numFmtId="0" fontId="83" fillId="0" borderId="103" xfId="0" applyFont="1" applyBorder="1" applyAlignment="1">
      <alignment horizontal="right"/>
    </xf>
    <xf numFmtId="9" fontId="84" fillId="0" borderId="0" xfId="0" applyNumberFormat="1" applyFont="1"/>
    <xf numFmtId="0" fontId="50" fillId="0" borderId="106" xfId="0" applyFont="1" applyBorder="1" applyAlignment="1">
      <alignment horizontal="center"/>
    </xf>
    <xf numFmtId="0" fontId="83" fillId="0" borderId="107" xfId="0" applyFont="1" applyBorder="1" applyAlignment="1">
      <alignment horizontal="right"/>
    </xf>
    <xf numFmtId="0" fontId="50" fillId="0" borderId="109" xfId="0" applyFont="1" applyBorder="1" applyAlignment="1">
      <alignment horizontal="center"/>
    </xf>
    <xf numFmtId="0" fontId="83" fillId="0" borderId="110" xfId="0" applyFont="1" applyBorder="1" applyAlignment="1">
      <alignment horizontal="right"/>
    </xf>
    <xf numFmtId="0" fontId="85" fillId="0" borderId="0" xfId="0" applyFont="1" applyAlignment="1">
      <alignment horizontal="center"/>
    </xf>
    <xf numFmtId="0" fontId="83" fillId="0" borderId="0" xfId="0" applyFont="1" applyAlignment="1">
      <alignment horizontal="right"/>
    </xf>
    <xf numFmtId="0" fontId="10" fillId="0" borderId="0" xfId="0" applyFont="1" applyAlignment="1">
      <alignment horizontal="center" vertical="center"/>
    </xf>
    <xf numFmtId="9" fontId="84" fillId="0" borderId="0" xfId="0" applyNumberFormat="1" applyFont="1" applyAlignment="1">
      <alignment horizontal="center"/>
    </xf>
    <xf numFmtId="195" fontId="86" fillId="7" borderId="0" xfId="0" applyNumberFormat="1" applyFont="1" applyFill="1" applyAlignment="1">
      <alignment vertical="center"/>
    </xf>
    <xf numFmtId="0" fontId="83" fillId="7" borderId="0" xfId="0" applyFont="1" applyFill="1" applyAlignment="1">
      <alignment horizontal="right"/>
    </xf>
    <xf numFmtId="0" fontId="10" fillId="7" borderId="0" xfId="0" applyFont="1" applyFill="1" applyAlignment="1">
      <alignment horizontal="center" vertical="center"/>
    </xf>
    <xf numFmtId="0" fontId="87" fillId="7" borderId="0" xfId="0" applyFont="1" applyFill="1" applyAlignment="1">
      <alignment horizontal="center" vertical="center"/>
    </xf>
    <xf numFmtId="181" fontId="86" fillId="7" borderId="0" xfId="3" applyNumberFormat="1" applyFont="1" applyFill="1" applyAlignment="1">
      <alignment horizontal="right"/>
    </xf>
    <xf numFmtId="9" fontId="88" fillId="7" borderId="0" xfId="0" applyNumberFormat="1" applyFont="1" applyFill="1"/>
    <xf numFmtId="0" fontId="89" fillId="7" borderId="0" xfId="0" applyFont="1" applyFill="1" applyAlignment="1">
      <alignment horizontal="center" vertical="center"/>
    </xf>
    <xf numFmtId="9" fontId="88" fillId="7" borderId="0" xfId="0" applyNumberFormat="1" applyFont="1" applyFill="1" applyAlignment="1">
      <alignment horizontal="left"/>
    </xf>
    <xf numFmtId="0" fontId="69" fillId="0" borderId="0" xfId="0" applyFont="1" applyAlignment="1">
      <alignment horizontal="center" vertical="center"/>
    </xf>
    <xf numFmtId="0" fontId="86" fillId="7" borderId="0" xfId="0" applyFont="1" applyFill="1" applyAlignment="1">
      <alignment horizontal="left" vertical="center"/>
    </xf>
    <xf numFmtId="172" fontId="90" fillId="0" borderId="0" xfId="0" applyNumberFormat="1" applyFont="1" applyAlignment="1">
      <alignment horizontal="right" vertical="center"/>
    </xf>
    <xf numFmtId="0" fontId="91" fillId="7" borderId="0" xfId="0" applyFont="1" applyFill="1" applyAlignment="1">
      <alignment horizontal="left" vertical="center"/>
    </xf>
    <xf numFmtId="0" fontId="50" fillId="0" borderId="116" xfId="0" applyFont="1" applyBorder="1" applyAlignment="1">
      <alignment horizontal="center"/>
    </xf>
    <xf numFmtId="0" fontId="83" fillId="0" borderId="117" xfId="0" applyFont="1" applyBorder="1" applyAlignment="1">
      <alignment horizontal="right"/>
    </xf>
    <xf numFmtId="9" fontId="88" fillId="0" borderId="0" xfId="0" applyNumberFormat="1" applyFont="1"/>
    <xf numFmtId="0" fontId="50" fillId="0" borderId="120" xfId="0" applyFont="1" applyBorder="1" applyAlignment="1">
      <alignment horizontal="center"/>
    </xf>
    <xf numFmtId="0" fontId="83" fillId="0" borderId="121" xfId="0" applyFont="1" applyBorder="1" applyAlignment="1">
      <alignment horizontal="right"/>
    </xf>
    <xf numFmtId="0" fontId="50" fillId="0" borderId="120" xfId="0" applyFont="1" applyBorder="1" applyAlignment="1">
      <alignment horizontal="center" vertical="center"/>
    </xf>
    <xf numFmtId="0" fontId="50" fillId="0" borderId="124" xfId="0" applyFont="1" applyBorder="1" applyAlignment="1">
      <alignment horizontal="center" vertical="center"/>
    </xf>
    <xf numFmtId="0" fontId="83" fillId="0" borderId="125" xfId="0" applyFont="1" applyBorder="1" applyAlignment="1">
      <alignment horizontal="right"/>
    </xf>
    <xf numFmtId="0" fontId="93" fillId="0" borderId="0" xfId="0" applyFont="1"/>
    <xf numFmtId="0" fontId="94" fillId="0" borderId="0" xfId="0" applyFont="1"/>
    <xf numFmtId="0" fontId="95" fillId="0" borderId="0" xfId="0" applyFont="1" applyAlignment="1">
      <alignment horizontal="center" vertical="center"/>
    </xf>
    <xf numFmtId="0" fontId="96" fillId="0" borderId="0" xfId="0" applyFont="1" applyAlignment="1">
      <alignment horizontal="center" vertical="center"/>
    </xf>
    <xf numFmtId="0" fontId="96" fillId="0" borderId="0" xfId="0" applyFont="1" applyAlignment="1">
      <alignment horizontal="right" vertical="center" indent="1"/>
    </xf>
    <xf numFmtId="0" fontId="97" fillId="0" borderId="0" xfId="0" applyFont="1" applyAlignment="1">
      <alignment horizontal="center"/>
    </xf>
    <xf numFmtId="0" fontId="56" fillId="0" borderId="129" xfId="0" applyFont="1" applyBorder="1" applyAlignment="1">
      <alignment horizontal="center" vertical="center"/>
    </xf>
    <xf numFmtId="0" fontId="69" fillId="0" borderId="130" xfId="0" applyFont="1" applyBorder="1" applyAlignment="1">
      <alignment vertical="center"/>
    </xf>
    <xf numFmtId="0" fontId="56" fillId="0" borderId="133" xfId="0" applyFont="1" applyBorder="1" applyAlignment="1">
      <alignment horizontal="center" vertical="center"/>
    </xf>
    <xf numFmtId="0" fontId="69" fillId="0" borderId="134" xfId="0" applyFont="1" applyBorder="1" applyAlignment="1">
      <alignment vertical="center"/>
    </xf>
    <xf numFmtId="0" fontId="56" fillId="0" borderId="137" xfId="0" applyFont="1" applyBorder="1" applyAlignment="1">
      <alignment horizontal="center" vertical="center"/>
    </xf>
    <xf numFmtId="0" fontId="69" fillId="0" borderId="138" xfId="0" applyFont="1" applyBorder="1" applyAlignment="1">
      <alignment vertical="center"/>
    </xf>
    <xf numFmtId="0" fontId="69" fillId="0" borderId="139" xfId="0" applyFont="1" applyBorder="1" applyAlignment="1">
      <alignment vertical="center"/>
    </xf>
    <xf numFmtId="0" fontId="5" fillId="0" borderId="0" xfId="0" applyFont="1" applyAlignment="1">
      <alignment horizontal="center"/>
    </xf>
    <xf numFmtId="0" fontId="78" fillId="9" borderId="101" xfId="0" applyFont="1" applyFill="1" applyBorder="1" applyAlignment="1">
      <alignment vertical="center"/>
    </xf>
    <xf numFmtId="0" fontId="20" fillId="0" borderId="0" xfId="0" applyFont="1"/>
    <xf numFmtId="0" fontId="36" fillId="0" borderId="0" xfId="0" applyFont="1"/>
    <xf numFmtId="0" fontId="52" fillId="0" borderId="0" xfId="23" applyFont="1" applyAlignment="1">
      <alignment horizontal="center" vertical="center" wrapText="1"/>
    </xf>
    <xf numFmtId="0" fontId="52" fillId="16" borderId="143" xfId="23" applyFont="1" applyFill="1" applyBorder="1" applyAlignment="1">
      <alignment horizontal="center" vertical="center" wrapText="1"/>
    </xf>
    <xf numFmtId="0" fontId="99" fillId="0" borderId="0" xfId="0" applyFont="1"/>
    <xf numFmtId="0" fontId="99" fillId="0" borderId="0" xfId="0" applyFont="1" applyAlignment="1">
      <alignment horizontal="center"/>
    </xf>
    <xf numFmtId="0" fontId="100" fillId="0" borderId="0" xfId="0" applyFont="1"/>
    <xf numFmtId="0" fontId="101" fillId="9" borderId="101" xfId="0" applyFont="1" applyFill="1" applyBorder="1" applyAlignment="1">
      <alignment vertical="center"/>
    </xf>
    <xf numFmtId="0" fontId="34" fillId="0" borderId="0" xfId="0" applyFont="1"/>
    <xf numFmtId="0" fontId="102" fillId="9" borderId="2" xfId="0" applyFont="1" applyFill="1" applyBorder="1" applyAlignment="1">
      <alignment horizontal="center"/>
    </xf>
    <xf numFmtId="0" fontId="0" fillId="0" borderId="2" xfId="0" applyBorder="1"/>
    <xf numFmtId="0" fontId="0" fillId="0" borderId="2" xfId="0" applyBorder="1" applyAlignment="1">
      <alignment horizontal="center"/>
    </xf>
    <xf numFmtId="0" fontId="66" fillId="0" borderId="2" xfId="0" applyFont="1" applyBorder="1" applyAlignment="1">
      <alignment horizontal="center"/>
    </xf>
    <xf numFmtId="0" fontId="103" fillId="0" borderId="2" xfId="0" applyFont="1" applyBorder="1" applyAlignment="1">
      <alignment horizontal="left" indent="1"/>
    </xf>
    <xf numFmtId="0" fontId="66" fillId="0" borderId="0" xfId="0" applyFont="1"/>
    <xf numFmtId="0" fontId="66" fillId="0" borderId="2" xfId="0" applyFont="1" applyBorder="1"/>
    <xf numFmtId="165" fontId="66" fillId="0" borderId="2" xfId="19" applyFont="1" applyBorder="1"/>
    <xf numFmtId="196" fontId="51" fillId="11" borderId="2" xfId="0" applyNumberFormat="1" applyFont="1" applyFill="1" applyBorder="1" applyAlignment="1" applyProtection="1">
      <alignment horizontal="center" vertical="center"/>
      <protection locked="0"/>
    </xf>
    <xf numFmtId="197" fontId="51" fillId="11" borderId="2" xfId="0" applyNumberFormat="1" applyFont="1" applyFill="1" applyBorder="1" applyAlignment="1" applyProtection="1">
      <alignment horizontal="center" vertical="center"/>
      <protection locked="0"/>
    </xf>
    <xf numFmtId="197" fontId="0" fillId="0" borderId="64" xfId="0" applyNumberFormat="1" applyBorder="1" applyAlignment="1">
      <alignment horizontal="center"/>
    </xf>
    <xf numFmtId="198" fontId="12" fillId="11" borderId="2" xfId="3" applyNumberFormat="1" applyFont="1" applyFill="1" applyBorder="1" applyAlignment="1" applyProtection="1">
      <alignment horizontal="center" vertical="center"/>
      <protection locked="0"/>
    </xf>
    <xf numFmtId="10" fontId="12" fillId="11" borderId="2" xfId="3" applyNumberFormat="1" applyFont="1" applyFill="1" applyBorder="1" applyAlignment="1" applyProtection="1">
      <alignment horizontal="center" vertical="center"/>
      <protection locked="0"/>
    </xf>
    <xf numFmtId="165" fontId="69" fillId="6" borderId="80" xfId="0" applyNumberFormat="1" applyFont="1" applyFill="1" applyBorder="1" applyAlignment="1" applyProtection="1">
      <alignment horizontal="center" vertical="center"/>
      <protection locked="0"/>
    </xf>
    <xf numFmtId="165" fontId="69" fillId="6" borderId="161" xfId="0" applyNumberFormat="1" applyFont="1" applyFill="1" applyBorder="1" applyAlignment="1" applyProtection="1">
      <alignment horizontal="center" vertical="center"/>
      <protection locked="0"/>
    </xf>
    <xf numFmtId="165" fontId="36" fillId="0" borderId="40" xfId="0" applyNumberFormat="1" applyFont="1" applyBorder="1" applyAlignment="1">
      <alignment wrapText="1"/>
    </xf>
    <xf numFmtId="165" fontId="35" fillId="0" borderId="36" xfId="0" applyNumberFormat="1" applyFont="1" applyBorder="1" applyAlignment="1">
      <alignment wrapText="1"/>
    </xf>
    <xf numFmtId="167" fontId="23" fillId="0" borderId="20" xfId="0" applyNumberFormat="1" applyFont="1" applyBorder="1" applyAlignment="1">
      <alignment horizontal="left" wrapText="1"/>
    </xf>
    <xf numFmtId="0" fontId="23" fillId="0" borderId="16" xfId="0" applyFont="1" applyBorder="1" applyAlignment="1">
      <alignment horizontal="left" wrapText="1"/>
    </xf>
    <xf numFmtId="167" fontId="23" fillId="0" borderId="23" xfId="0" applyNumberFormat="1" applyFont="1" applyBorder="1" applyAlignment="1">
      <alignment horizontal="left" wrapText="1"/>
    </xf>
    <xf numFmtId="167" fontId="23" fillId="0" borderId="24" xfId="0" applyNumberFormat="1" applyFont="1" applyBorder="1" applyAlignment="1">
      <alignment horizontal="left" wrapText="1"/>
    </xf>
    <xf numFmtId="165" fontId="34" fillId="0" borderId="29" xfId="0" applyNumberFormat="1" applyFont="1" applyBorder="1" applyAlignment="1" applyProtection="1">
      <alignment wrapText="1"/>
      <protection locked="0"/>
    </xf>
    <xf numFmtId="9" fontId="104" fillId="4" borderId="2" xfId="3" applyFill="1" applyBorder="1" applyProtection="1">
      <protection locked="0"/>
    </xf>
    <xf numFmtId="9" fontId="12" fillId="11" borderId="2" xfId="3" applyFont="1" applyFill="1" applyBorder="1" applyAlignment="1" applyProtection="1">
      <alignment horizontal="center" vertical="center"/>
      <protection locked="0"/>
    </xf>
    <xf numFmtId="10" fontId="51" fillId="6" borderId="2" xfId="3" applyNumberFormat="1" applyFont="1" applyFill="1" applyBorder="1" applyAlignment="1" applyProtection="1">
      <alignment horizontal="center" vertical="center"/>
      <protection locked="0"/>
    </xf>
    <xf numFmtId="9" fontId="51" fillId="6" borderId="2" xfId="3" applyFont="1" applyFill="1" applyBorder="1" applyAlignment="1" applyProtection="1">
      <alignment horizontal="center" vertical="center"/>
      <protection locked="0"/>
    </xf>
    <xf numFmtId="43" fontId="0" fillId="0" borderId="0" xfId="0" applyNumberFormat="1"/>
    <xf numFmtId="174" fontId="0" fillId="4" borderId="2" xfId="2" applyNumberFormat="1" applyFont="1" applyFill="1" applyBorder="1" applyProtection="1">
      <protection locked="0"/>
    </xf>
    <xf numFmtId="9" fontId="105" fillId="0" borderId="0" xfId="3" applyFont="1"/>
    <xf numFmtId="198" fontId="51" fillId="11" borderId="2" xfId="0" applyNumberFormat="1" applyFont="1" applyFill="1" applyBorder="1" applyAlignment="1" applyProtection="1">
      <alignment horizontal="center" vertical="center"/>
      <protection locked="0"/>
    </xf>
    <xf numFmtId="9" fontId="27" fillId="7" borderId="0" xfId="3" applyFont="1" applyFill="1" applyBorder="1"/>
    <xf numFmtId="167" fontId="35" fillId="0" borderId="0" xfId="0" applyNumberFormat="1" applyFont="1" applyAlignment="1">
      <alignment horizontal="center"/>
    </xf>
    <xf numFmtId="174" fontId="0" fillId="0" borderId="31" xfId="0" applyNumberFormat="1" applyBorder="1"/>
    <xf numFmtId="174" fontId="20" fillId="17" borderId="2" xfId="2" applyNumberFormat="1" applyFont="1" applyFill="1" applyBorder="1" applyProtection="1">
      <protection locked="0"/>
    </xf>
    <xf numFmtId="174" fontId="20" fillId="17" borderId="38" xfId="2" applyNumberFormat="1" applyFont="1" applyFill="1" applyBorder="1" applyProtection="1">
      <protection locked="0"/>
    </xf>
    <xf numFmtId="165" fontId="30" fillId="0" borderId="36" xfId="0" applyNumberFormat="1" applyFont="1" applyBorder="1" applyAlignment="1">
      <alignment wrapText="1"/>
    </xf>
    <xf numFmtId="174" fontId="20" fillId="4" borderId="2" xfId="2" applyNumberFormat="1" applyFont="1" applyFill="1" applyBorder="1" applyProtection="1">
      <protection locked="0"/>
    </xf>
    <xf numFmtId="165" fontId="35" fillId="0" borderId="168" xfId="0" applyNumberFormat="1" applyFont="1" applyBorder="1" applyAlignment="1">
      <alignment wrapText="1"/>
    </xf>
    <xf numFmtId="174" fontId="104" fillId="4" borderId="4" xfId="2" applyNumberFormat="1" applyFill="1" applyBorder="1" applyProtection="1">
      <protection locked="0"/>
    </xf>
    <xf numFmtId="174" fontId="20" fillId="17" borderId="4" xfId="2" applyNumberFormat="1" applyFont="1" applyFill="1" applyBorder="1" applyProtection="1">
      <protection locked="0"/>
    </xf>
    <xf numFmtId="165" fontId="30" fillId="0" borderId="37" xfId="0" applyNumberFormat="1" applyFont="1" applyBorder="1" applyAlignment="1">
      <alignment wrapText="1"/>
    </xf>
    <xf numFmtId="9" fontId="104" fillId="0" borderId="31" xfId="3" applyBorder="1"/>
    <xf numFmtId="174" fontId="104" fillId="17" borderId="38" xfId="2" applyNumberFormat="1" applyFont="1" applyFill="1" applyBorder="1" applyProtection="1">
      <protection locked="0"/>
    </xf>
    <xf numFmtId="9" fontId="104" fillId="5" borderId="2" xfId="3" applyFill="1" applyBorder="1" applyAlignment="1" applyProtection="1">
      <alignment horizontal="right" wrapText="1"/>
      <protection locked="0"/>
    </xf>
    <xf numFmtId="172" fontId="51" fillId="6" borderId="6" xfId="0" applyNumberFormat="1" applyFont="1" applyFill="1" applyBorder="1" applyAlignment="1" applyProtection="1">
      <alignment horizontal="center" vertical="center"/>
      <protection locked="0"/>
    </xf>
    <xf numFmtId="0" fontId="0" fillId="0" borderId="2" xfId="0" applyFont="1" applyBorder="1" applyAlignment="1">
      <alignment horizontal="center" vertical="center" wrapText="1"/>
    </xf>
    <xf numFmtId="9" fontId="61" fillId="15" borderId="2" xfId="3" applyFont="1" applyFill="1" applyBorder="1" applyAlignment="1">
      <alignment horizontal="center" vertical="center" wrapText="1"/>
    </xf>
    <xf numFmtId="182" fontId="0" fillId="0" borderId="2" xfId="0" applyNumberFormat="1" applyFont="1" applyBorder="1" applyAlignment="1">
      <alignment horizontal="center" vertical="center" wrapText="1"/>
    </xf>
    <xf numFmtId="198" fontId="0" fillId="0" borderId="2" xfId="0" applyNumberFormat="1" applyFont="1" applyBorder="1" applyAlignment="1">
      <alignment horizontal="center" vertical="center" wrapText="1"/>
    </xf>
    <xf numFmtId="193" fontId="0" fillId="0" borderId="2" xfId="0" applyNumberFormat="1" applyFont="1" applyBorder="1" applyAlignment="1">
      <alignment horizontal="center" vertical="center" wrapText="1"/>
    </xf>
    <xf numFmtId="9" fontId="0" fillId="0" borderId="2" xfId="0" applyNumberFormat="1" applyFont="1" applyBorder="1" applyAlignment="1">
      <alignment horizontal="center" vertical="center" wrapText="1"/>
    </xf>
    <xf numFmtId="185" fontId="0" fillId="0" borderId="2" xfId="0" applyNumberFormat="1" applyFont="1" applyBorder="1" applyAlignment="1">
      <alignment horizontal="center" vertical="center" wrapText="1"/>
    </xf>
    <xf numFmtId="165" fontId="3" fillId="2" borderId="0" xfId="15" applyFont="1" applyFill="1" applyAlignment="1">
      <alignment horizontal="center" vertical="center"/>
    </xf>
    <xf numFmtId="165" fontId="5" fillId="0" borderId="0" xfId="0" applyNumberFormat="1" applyFont="1" applyAlignment="1">
      <alignment horizontal="center"/>
    </xf>
    <xf numFmtId="165" fontId="3" fillId="3" borderId="0" xfId="14" applyFont="1" applyFill="1" applyAlignment="1">
      <alignment horizontal="center" vertical="center"/>
    </xf>
    <xf numFmtId="0" fontId="11" fillId="0" borderId="0" xfId="0" applyFont="1" applyAlignment="1">
      <alignment horizontal="center"/>
    </xf>
    <xf numFmtId="0" fontId="12" fillId="4" borderId="2" xfId="0" applyFont="1" applyFill="1" applyBorder="1" applyAlignment="1">
      <alignment horizontal="center"/>
    </xf>
    <xf numFmtId="165" fontId="13" fillId="0" borderId="2" xfId="0" applyNumberFormat="1" applyFont="1" applyBorder="1" applyAlignment="1">
      <alignment horizontal="left" vertical="center" wrapText="1"/>
    </xf>
    <xf numFmtId="0" fontId="14" fillId="0" borderId="2" xfId="0" applyFont="1" applyBorder="1" applyAlignment="1">
      <alignment horizontal="justify" vertical="center" wrapText="1"/>
    </xf>
    <xf numFmtId="0" fontId="10" fillId="0" borderId="2" xfId="0" applyFont="1" applyBorder="1" applyAlignment="1">
      <alignment horizontal="left" vertical="center" wrapText="1"/>
    </xf>
    <xf numFmtId="165" fontId="13" fillId="0" borderId="2" xfId="0" applyNumberFormat="1" applyFont="1" applyBorder="1" applyAlignment="1">
      <alignment horizontal="justify" vertical="center" wrapText="1"/>
    </xf>
    <xf numFmtId="9" fontId="14" fillId="0" borderId="2" xfId="3" applyFont="1" applyBorder="1" applyAlignment="1">
      <alignment horizontal="justify" vertical="center" wrapText="1"/>
    </xf>
    <xf numFmtId="9" fontId="10" fillId="0" borderId="2" xfId="0" applyNumberFormat="1" applyFont="1" applyBorder="1" applyAlignment="1">
      <alignment horizontal="left" vertical="center" wrapText="1"/>
    </xf>
    <xf numFmtId="0" fontId="0" fillId="0" borderId="0" xfId="0" applyAlignment="1">
      <alignment horizontal="center"/>
    </xf>
    <xf numFmtId="0" fontId="0" fillId="0" borderId="0" xfId="0" applyAlignment="1">
      <alignment horizontal="center" wrapText="1"/>
    </xf>
    <xf numFmtId="0" fontId="0" fillId="0" borderId="3" xfId="0" applyBorder="1" applyAlignment="1">
      <alignment horizontal="center"/>
    </xf>
    <xf numFmtId="0" fontId="0" fillId="0" borderId="3" xfId="0" applyBorder="1" applyAlignment="1">
      <alignment horizontal="center" wrapText="1"/>
    </xf>
    <xf numFmtId="0" fontId="10" fillId="0" borderId="2" xfId="0" applyFont="1" applyBorder="1" applyAlignment="1">
      <alignment horizontal="justify" vertical="center" wrapText="1"/>
    </xf>
    <xf numFmtId="0" fontId="12" fillId="5" borderId="2" xfId="0" applyFont="1" applyFill="1" applyBorder="1" applyAlignment="1">
      <alignment horizontal="center"/>
    </xf>
    <xf numFmtId="0" fontId="10" fillId="0" borderId="4" xfId="0" applyFont="1" applyBorder="1" applyAlignment="1">
      <alignment horizontal="justify" wrapText="1"/>
    </xf>
    <xf numFmtId="0" fontId="14" fillId="0" borderId="5" xfId="0" applyFont="1" applyBorder="1" applyAlignment="1">
      <alignment horizontal="justify" vertical="center" wrapText="1"/>
    </xf>
    <xf numFmtId="0" fontId="18" fillId="0" borderId="5" xfId="0" applyFont="1" applyBorder="1" applyAlignment="1">
      <alignment horizontal="justify" vertical="center" wrapText="1"/>
    </xf>
    <xf numFmtId="0" fontId="18" fillId="0" borderId="2" xfId="0" applyFont="1" applyBorder="1" applyAlignment="1">
      <alignment horizontal="left" vertical="center" wrapText="1"/>
    </xf>
    <xf numFmtId="0" fontId="18" fillId="0" borderId="2" xfId="0" applyFont="1" applyBorder="1" applyAlignment="1">
      <alignment horizontal="justify" vertical="center" wrapText="1"/>
    </xf>
    <xf numFmtId="0" fontId="20" fillId="6" borderId="2" xfId="0" applyFont="1" applyFill="1" applyBorder="1" applyAlignment="1">
      <alignment horizontal="center" vertical="center" wrapText="1"/>
    </xf>
    <xf numFmtId="0" fontId="21" fillId="6" borderId="2" xfId="0" applyFont="1" applyFill="1" applyBorder="1" applyAlignment="1">
      <alignment horizontal="center" vertical="center"/>
    </xf>
    <xf numFmtId="0" fontId="14" fillId="0" borderId="2" xfId="0" applyFont="1" applyBorder="1" applyAlignment="1" applyProtection="1">
      <alignment vertical="center" wrapText="1"/>
      <protection locked="0"/>
    </xf>
    <xf numFmtId="0" fontId="10" fillId="0" borderId="2" xfId="0" applyFont="1" applyBorder="1" applyAlignment="1" applyProtection="1">
      <alignment horizontal="left" vertical="center" wrapText="1"/>
      <protection locked="0"/>
    </xf>
    <xf numFmtId="0" fontId="14" fillId="6" borderId="2" xfId="0" applyFont="1" applyFill="1" applyBorder="1" applyAlignment="1">
      <alignment vertical="center" wrapText="1"/>
    </xf>
    <xf numFmtId="0" fontId="10" fillId="0" borderId="2" xfId="0" applyFont="1" applyBorder="1" applyAlignment="1" applyProtection="1">
      <alignment horizontal="justify" vertical="center" wrapText="1"/>
      <protection locked="0"/>
    </xf>
    <xf numFmtId="0" fontId="22" fillId="7" borderId="2" xfId="0" applyFont="1" applyFill="1" applyBorder="1" applyAlignment="1" applyProtection="1">
      <alignment vertical="center" wrapText="1"/>
      <protection locked="0"/>
    </xf>
    <xf numFmtId="0" fontId="14" fillId="7" borderId="2" xfId="0" applyFont="1" applyFill="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21" fillId="0" borderId="2" xfId="0" applyFont="1" applyBorder="1" applyAlignment="1">
      <alignment horizontal="center" vertical="center" wrapText="1"/>
    </xf>
    <xf numFmtId="0" fontId="0" fillId="0" borderId="2" xfId="0" applyBorder="1" applyAlignment="1">
      <alignment horizontal="center" vertical="center" wrapText="1"/>
    </xf>
    <xf numFmtId="172" fontId="54" fillId="6" borderId="82" xfId="0" applyNumberFormat="1" applyFont="1" applyFill="1" applyBorder="1" applyAlignment="1" applyProtection="1">
      <alignment horizontal="left" vertical="center" wrapText="1"/>
      <protection locked="0"/>
    </xf>
    <xf numFmtId="172" fontId="109" fillId="11" borderId="66" xfId="0" applyNumberFormat="1" applyFont="1" applyFill="1" applyBorder="1" applyAlignment="1" applyProtection="1">
      <alignment horizontal="left" vertical="center" wrapText="1"/>
      <protection locked="0"/>
    </xf>
    <xf numFmtId="165" fontId="24" fillId="3" borderId="0" xfId="6" applyFont="1" applyFill="1" applyAlignment="1">
      <alignment horizontal="center" vertical="center"/>
    </xf>
    <xf numFmtId="165" fontId="0" fillId="0" borderId="2" xfId="0" applyNumberFormat="1" applyBorder="1" applyAlignment="1" applyProtection="1">
      <alignment horizontal="center"/>
      <protection locked="0"/>
    </xf>
    <xf numFmtId="165" fontId="26" fillId="0" borderId="0" xfId="0" applyNumberFormat="1" applyFont="1" applyAlignment="1">
      <alignment horizontal="right"/>
    </xf>
    <xf numFmtId="49" fontId="0" fillId="0" borderId="2" xfId="0" applyNumberFormat="1" applyBorder="1" applyAlignment="1" applyProtection="1">
      <alignment horizontal="center"/>
      <protection locked="0"/>
    </xf>
    <xf numFmtId="39" fontId="0" fillId="0" borderId="2" xfId="2" applyNumberFormat="1" applyFont="1" applyBorder="1" applyAlignment="1" applyProtection="1">
      <alignment horizontal="center"/>
      <protection locked="0"/>
    </xf>
    <xf numFmtId="0" fontId="0" fillId="6" borderId="2" xfId="0" applyFill="1" applyBorder="1" applyAlignment="1">
      <alignment horizontal="center"/>
    </xf>
    <xf numFmtId="167" fontId="0" fillId="0" borderId="2" xfId="32" applyNumberFormat="1" applyFont="1" applyBorder="1" applyAlignment="1" applyProtection="1">
      <alignment horizontal="center"/>
      <protection locked="0"/>
    </xf>
    <xf numFmtId="165" fontId="26" fillId="0" borderId="9" xfId="0" applyNumberFormat="1" applyFont="1" applyBorder="1" applyAlignment="1">
      <alignment horizontal="right"/>
    </xf>
    <xf numFmtId="165" fontId="27" fillId="8" borderId="2" xfId="32" applyNumberFormat="1" applyFont="1" applyFill="1" applyBorder="1" applyAlignment="1" applyProtection="1">
      <alignment horizontal="center"/>
      <protection locked="0"/>
    </xf>
    <xf numFmtId="165" fontId="26" fillId="0" borderId="10" xfId="0" applyNumberFormat="1" applyFont="1" applyBorder="1" applyAlignment="1">
      <alignment horizontal="right"/>
    </xf>
    <xf numFmtId="165" fontId="28" fillId="0" borderId="9" xfId="0" applyNumberFormat="1" applyFont="1" applyBorder="1" applyAlignment="1">
      <alignment horizontal="right"/>
    </xf>
    <xf numFmtId="165" fontId="26" fillId="0" borderId="11" xfId="0" applyNumberFormat="1" applyFont="1" applyBorder="1" applyAlignment="1">
      <alignment horizontal="right"/>
    </xf>
    <xf numFmtId="168" fontId="0" fillId="9" borderId="77" xfId="0" applyNumberFormat="1" applyFill="1" applyBorder="1" applyAlignment="1">
      <alignment horizontal="center" vertical="center" textRotation="90"/>
    </xf>
    <xf numFmtId="0" fontId="51" fillId="11" borderId="78" xfId="0" applyFont="1" applyFill="1" applyBorder="1" applyAlignment="1" applyProtection="1">
      <alignment horizontal="left" vertical="center" wrapText="1"/>
      <protection locked="0"/>
    </xf>
    <xf numFmtId="165" fontId="8" fillId="0" borderId="14" xfId="0" applyNumberFormat="1" applyFont="1" applyBorder="1" applyAlignment="1">
      <alignment horizontal="right"/>
    </xf>
    <xf numFmtId="165" fontId="20" fillId="0" borderId="15" xfId="0" applyNumberFormat="1" applyFont="1" applyBorder="1" applyAlignment="1">
      <alignment horizontal="center"/>
    </xf>
    <xf numFmtId="165" fontId="0" fillId="0" borderId="51" xfId="0" applyNumberFormat="1" applyBorder="1" applyAlignment="1">
      <alignment horizontal="left"/>
    </xf>
    <xf numFmtId="165" fontId="0" fillId="0" borderId="53" xfId="0" applyNumberFormat="1" applyBorder="1" applyAlignment="1">
      <alignment horizontal="left"/>
    </xf>
    <xf numFmtId="165" fontId="0" fillId="0" borderId="64" xfId="0" applyNumberFormat="1" applyBorder="1" applyAlignment="1" applyProtection="1">
      <alignment horizontal="center" vertical="center"/>
      <protection locked="0"/>
    </xf>
    <xf numFmtId="165" fontId="50" fillId="0" borderId="67" xfId="0" applyNumberFormat="1" applyFont="1" applyBorder="1" applyAlignment="1">
      <alignment horizontal="center" vertical="center"/>
    </xf>
    <xf numFmtId="0" fontId="2" fillId="6" borderId="78" xfId="0" applyFont="1" applyFill="1" applyBorder="1" applyAlignment="1" applyProtection="1">
      <alignment horizontal="center" vertical="center" wrapText="1"/>
      <protection locked="0"/>
    </xf>
    <xf numFmtId="49" fontId="2" fillId="6" borderId="79" xfId="0" applyNumberFormat="1" applyFont="1" applyFill="1" applyBorder="1" applyAlignment="1" applyProtection="1">
      <alignment horizontal="center" vertical="center" wrapText="1"/>
      <protection locked="0"/>
    </xf>
    <xf numFmtId="9" fontId="5" fillId="0" borderId="22" xfId="3" applyFont="1" applyBorder="1" applyAlignment="1">
      <alignment horizontal="center" vertical="center"/>
    </xf>
    <xf numFmtId="0" fontId="0" fillId="10" borderId="32" xfId="0" applyFill="1" applyBorder="1" applyAlignment="1">
      <alignment horizontal="center"/>
    </xf>
    <xf numFmtId="167" fontId="35" fillId="0" borderId="0" xfId="0" applyNumberFormat="1" applyFont="1" applyAlignment="1">
      <alignment horizontal="center"/>
    </xf>
    <xf numFmtId="165" fontId="36" fillId="0" borderId="39" xfId="0" applyNumberFormat="1" applyFont="1" applyBorder="1" applyAlignment="1">
      <alignment horizontal="center" wrapText="1"/>
    </xf>
    <xf numFmtId="0" fontId="0" fillId="0" borderId="48" xfId="0" applyBorder="1" applyAlignment="1">
      <alignment horizontal="center"/>
    </xf>
    <xf numFmtId="172" fontId="2" fillId="6" borderId="78" xfId="0" applyNumberFormat="1" applyFont="1" applyFill="1" applyBorder="1" applyAlignment="1" applyProtection="1">
      <alignment horizontal="left" vertical="center" wrapText="1"/>
      <protection locked="0"/>
    </xf>
    <xf numFmtId="0" fontId="51" fillId="6" borderId="78" xfId="0" applyFont="1" applyFill="1" applyBorder="1" applyAlignment="1" applyProtection="1">
      <alignment horizontal="left" vertical="center" wrapText="1"/>
      <protection locked="0"/>
    </xf>
    <xf numFmtId="0" fontId="51" fillId="6" borderId="163" xfId="0" applyFont="1" applyFill="1" applyBorder="1" applyAlignment="1" applyProtection="1">
      <alignment horizontal="center" vertical="center" wrapText="1"/>
      <protection locked="0"/>
    </xf>
    <xf numFmtId="0" fontId="51" fillId="6" borderId="3" xfId="0" applyFont="1" applyFill="1" applyBorder="1" applyAlignment="1" applyProtection="1">
      <alignment horizontal="center" vertical="center" wrapText="1"/>
      <protection locked="0"/>
    </xf>
    <xf numFmtId="0" fontId="51" fillId="6" borderId="164" xfId="0" applyFont="1" applyFill="1" applyBorder="1" applyAlignment="1" applyProtection="1">
      <alignment horizontal="center" vertical="center" wrapText="1"/>
      <protection locked="0"/>
    </xf>
    <xf numFmtId="0" fontId="51" fillId="6" borderId="72" xfId="0" applyFont="1" applyFill="1" applyBorder="1" applyAlignment="1" applyProtection="1">
      <alignment horizontal="center" vertical="center" wrapText="1"/>
      <protection locked="0"/>
    </xf>
    <xf numFmtId="0" fontId="51" fillId="6" borderId="73" xfId="0" applyFont="1" applyFill="1" applyBorder="1" applyAlignment="1" applyProtection="1">
      <alignment horizontal="center" vertical="center" wrapText="1"/>
      <protection locked="0"/>
    </xf>
    <xf numFmtId="0" fontId="51" fillId="6" borderId="76" xfId="0" applyFont="1" applyFill="1" applyBorder="1" applyAlignment="1" applyProtection="1">
      <alignment horizontal="center" vertical="center" wrapText="1"/>
      <protection locked="0"/>
    </xf>
    <xf numFmtId="49" fontId="2" fillId="6" borderId="83" xfId="0" applyNumberFormat="1" applyFont="1" applyFill="1" applyBorder="1" applyAlignment="1" applyProtection="1">
      <alignment horizontal="center" vertical="center" wrapText="1"/>
      <protection locked="0"/>
    </xf>
    <xf numFmtId="172" fontId="108" fillId="11" borderId="82" xfId="0" applyNumberFormat="1" applyFont="1" applyFill="1" applyBorder="1" applyAlignment="1" applyProtection="1">
      <alignment horizontal="left" vertical="center" wrapText="1"/>
      <protection locked="0"/>
    </xf>
    <xf numFmtId="172" fontId="52" fillId="11" borderId="82" xfId="0" applyNumberFormat="1" applyFont="1" applyFill="1" applyBorder="1" applyAlignment="1" applyProtection="1">
      <alignment horizontal="left" vertical="center" wrapText="1"/>
      <protection locked="0"/>
    </xf>
    <xf numFmtId="0" fontId="57" fillId="0" borderId="32" xfId="0" applyFont="1" applyBorder="1" applyAlignment="1">
      <alignment horizontal="center" vertical="center" wrapText="1"/>
    </xf>
    <xf numFmtId="172" fontId="54" fillId="6" borderId="169" xfId="0" applyNumberFormat="1" applyFont="1" applyFill="1" applyBorder="1" applyAlignment="1" applyProtection="1">
      <alignment horizontal="left" vertical="center" wrapText="1"/>
      <protection locked="0"/>
    </xf>
    <xf numFmtId="172" fontId="2" fillId="11" borderId="82" xfId="0" applyNumberFormat="1" applyFont="1" applyFill="1" applyBorder="1" applyAlignment="1" applyProtection="1">
      <alignment horizontal="left" vertical="center" wrapText="1"/>
      <protection locked="0"/>
    </xf>
    <xf numFmtId="172" fontId="54" fillId="11" borderId="82" xfId="0" applyNumberFormat="1" applyFont="1" applyFill="1" applyBorder="1" applyAlignment="1" applyProtection="1">
      <alignment horizontal="left" vertical="center" wrapText="1"/>
      <protection locked="0"/>
    </xf>
    <xf numFmtId="165" fontId="3" fillId="3" borderId="0" xfId="6" applyFont="1" applyFill="1" applyAlignment="1">
      <alignment horizontal="center" vertical="center"/>
    </xf>
    <xf numFmtId="165" fontId="5" fillId="5" borderId="0" xfId="18" applyFont="1" applyFill="1" applyAlignment="1">
      <alignment horizontal="center" vertical="center" wrapText="1"/>
    </xf>
    <xf numFmtId="165" fontId="60" fillId="0" borderId="0" xfId="18" applyFont="1" applyAlignment="1">
      <alignment horizontal="right" vertical="center"/>
    </xf>
    <xf numFmtId="165" fontId="21" fillId="5" borderId="0" xfId="18" applyFont="1" applyFill="1" applyAlignment="1">
      <alignment horizontal="center" vertical="center" wrapText="1"/>
    </xf>
    <xf numFmtId="165" fontId="0" fillId="0" borderId="87" xfId="32" applyNumberFormat="1" applyFont="1" applyBorder="1" applyAlignment="1">
      <alignment horizontal="right"/>
    </xf>
    <xf numFmtId="189" fontId="21" fillId="5" borderId="87" xfId="32" applyNumberFormat="1" applyFont="1" applyFill="1" applyBorder="1" applyAlignment="1">
      <alignment horizontal="center" vertical="center"/>
    </xf>
    <xf numFmtId="165" fontId="21" fillId="5" borderId="87" xfId="32" applyNumberFormat="1" applyFont="1" applyFill="1" applyBorder="1" applyAlignment="1">
      <alignment horizontal="center"/>
    </xf>
    <xf numFmtId="167" fontId="21" fillId="5" borderId="87" xfId="32" applyNumberFormat="1" applyFont="1" applyFill="1" applyBorder="1" applyAlignment="1">
      <alignment horizontal="center"/>
    </xf>
    <xf numFmtId="165" fontId="64" fillId="2" borderId="87" xfId="32" applyNumberFormat="1" applyFont="1" applyFill="1" applyBorder="1" applyAlignment="1">
      <alignment horizontal="center"/>
    </xf>
    <xf numFmtId="165" fontId="23" fillId="0" borderId="0" xfId="0" applyNumberFormat="1" applyFont="1" applyAlignment="1">
      <alignment horizontal="left"/>
    </xf>
    <xf numFmtId="165" fontId="20" fillId="0" borderId="0" xfId="0" applyNumberFormat="1" applyFont="1" applyAlignment="1">
      <alignment horizontal="center"/>
    </xf>
    <xf numFmtId="165" fontId="23" fillId="0" borderId="0" xfId="0" applyNumberFormat="1" applyFont="1" applyAlignment="1">
      <alignment horizontal="right"/>
    </xf>
    <xf numFmtId="165" fontId="27" fillId="2" borderId="0" xfId="32" applyNumberFormat="1" applyFont="1" applyFill="1" applyBorder="1" applyAlignment="1">
      <alignment horizontal="center"/>
    </xf>
    <xf numFmtId="165" fontId="20" fillId="0" borderId="0" xfId="0" applyNumberFormat="1" applyFont="1" applyAlignment="1">
      <alignment horizontal="center" wrapText="1"/>
    </xf>
    <xf numFmtId="0" fontId="67" fillId="0" borderId="0" xfId="0" applyFont="1" applyAlignment="1">
      <alignment horizontal="center"/>
    </xf>
    <xf numFmtId="0" fontId="70" fillId="6" borderId="2" xfId="0" applyFont="1" applyFill="1" applyBorder="1" applyAlignment="1" applyProtection="1">
      <alignment horizontal="left" wrapText="1"/>
      <protection locked="0"/>
    </xf>
    <xf numFmtId="0" fontId="69" fillId="6" borderId="2" xfId="0" applyFont="1" applyFill="1" applyBorder="1" applyAlignment="1" applyProtection="1">
      <alignment horizontal="left" wrapText="1"/>
      <protection locked="0"/>
    </xf>
    <xf numFmtId="165" fontId="72" fillId="0" borderId="32" xfId="0" applyNumberFormat="1" applyFont="1" applyBorder="1" applyAlignment="1">
      <alignment horizontal="center" vertical="center" wrapText="1"/>
    </xf>
    <xf numFmtId="0" fontId="0" fillId="0" borderId="88" xfId="0" applyBorder="1" applyAlignment="1">
      <alignment horizontal="center"/>
    </xf>
    <xf numFmtId="0" fontId="73" fillId="0" borderId="89" xfId="0" applyFont="1" applyBorder="1" applyAlignment="1">
      <alignment horizontal="left" wrapText="1"/>
    </xf>
    <xf numFmtId="0" fontId="73" fillId="0" borderId="91" xfId="0" applyFont="1" applyBorder="1" applyAlignment="1">
      <alignment horizontal="left" wrapText="1"/>
    </xf>
    <xf numFmtId="165" fontId="24" fillId="3" borderId="0" xfId="16" applyFont="1" applyFill="1" applyAlignment="1">
      <alignment horizontal="center" vertical="center"/>
    </xf>
    <xf numFmtId="0" fontId="74" fillId="0" borderId="0" xfId="0" applyFont="1" applyAlignment="1">
      <alignment horizontal="left" wrapText="1"/>
    </xf>
    <xf numFmtId="0" fontId="0" fillId="6" borderId="2" xfId="0" applyFill="1" applyBorder="1" applyAlignment="1" applyProtection="1">
      <alignment horizontal="left" vertical="center" wrapText="1"/>
      <protection locked="0"/>
    </xf>
    <xf numFmtId="0" fontId="20" fillId="0" borderId="0" xfId="0" applyFont="1" applyAlignment="1">
      <alignment horizontal="center"/>
    </xf>
    <xf numFmtId="0" fontId="0" fillId="6" borderId="2" xfId="0" applyFill="1" applyBorder="1" applyAlignment="1" applyProtection="1">
      <alignment horizontal="left" wrapText="1"/>
      <protection locked="0"/>
    </xf>
    <xf numFmtId="0" fontId="0" fillId="6" borderId="94" xfId="0" applyFill="1" applyBorder="1" applyAlignment="1" applyProtection="1">
      <alignment horizontal="left" vertical="center" wrapText="1"/>
      <protection locked="0"/>
    </xf>
    <xf numFmtId="165" fontId="0" fillId="0" borderId="92" xfId="0" applyNumberFormat="1" applyBorder="1" applyAlignment="1">
      <alignment horizontal="center" vertical="center"/>
    </xf>
    <xf numFmtId="165" fontId="27" fillId="2" borderId="0" xfId="33" applyNumberFormat="1" applyFont="1" applyFill="1" applyBorder="1" applyAlignment="1">
      <alignment horizontal="center"/>
    </xf>
    <xf numFmtId="0" fontId="0" fillId="0" borderId="2" xfId="0" applyFont="1" applyBorder="1" applyAlignment="1">
      <alignment vertical="center" wrapText="1"/>
    </xf>
    <xf numFmtId="9" fontId="0" fillId="0" borderId="2" xfId="3" applyFont="1" applyBorder="1" applyAlignment="1">
      <alignment horizontal="center" vertical="center" wrapText="1"/>
    </xf>
    <xf numFmtId="165" fontId="67" fillId="0" borderId="0" xfId="0" applyNumberFormat="1" applyFont="1" applyAlignment="1">
      <alignment horizontal="center"/>
    </xf>
    <xf numFmtId="0" fontId="69" fillId="0" borderId="162" xfId="0" applyFont="1" applyBorder="1" applyAlignment="1">
      <alignment horizontal="left" vertical="center" wrapText="1"/>
    </xf>
    <xf numFmtId="0" fontId="69" fillId="0" borderId="80" xfId="0" applyFont="1" applyBorder="1" applyAlignment="1">
      <alignment horizontal="left" vertical="center" wrapText="1"/>
    </xf>
    <xf numFmtId="0" fontId="69" fillId="6" borderId="73" xfId="0" applyFont="1" applyFill="1" applyBorder="1" applyAlignment="1" applyProtection="1">
      <alignment horizontal="left" vertical="center" wrapText="1"/>
      <protection locked="0"/>
    </xf>
    <xf numFmtId="0" fontId="69" fillId="6" borderId="99" xfId="0" applyFont="1" applyFill="1" applyBorder="1" applyAlignment="1" applyProtection="1">
      <alignment horizontal="left" vertical="center" wrapText="1"/>
      <protection locked="0"/>
    </xf>
    <xf numFmtId="0" fontId="69" fillId="6" borderId="75" xfId="0" applyFont="1" applyFill="1" applyBorder="1" applyAlignment="1" applyProtection="1">
      <alignment horizontal="left" vertical="center" wrapText="1"/>
      <protection locked="0"/>
    </xf>
    <xf numFmtId="0" fontId="5" fillId="0" borderId="73" xfId="0" applyFont="1" applyBorder="1" applyAlignment="1">
      <alignment horizontal="center"/>
    </xf>
    <xf numFmtId="0" fontId="0" fillId="0" borderId="2" xfId="0" applyFont="1" applyBorder="1" applyAlignment="1">
      <alignment horizontal="center" vertical="center" wrapText="1"/>
    </xf>
    <xf numFmtId="9" fontId="20" fillId="10" borderId="2" xfId="3" applyFont="1" applyFill="1" applyBorder="1" applyAlignment="1">
      <alignment horizontal="center" vertical="center" wrapText="1"/>
    </xf>
    <xf numFmtId="9" fontId="20" fillId="14" borderId="2" xfId="3" applyFont="1" applyFill="1" applyBorder="1" applyAlignment="1">
      <alignment horizontal="center" vertical="center" wrapText="1"/>
    </xf>
    <xf numFmtId="9" fontId="111" fillId="0" borderId="80" xfId="3" applyFont="1" applyBorder="1" applyAlignment="1" applyProtection="1">
      <alignment horizontal="center" vertical="center" wrapText="1"/>
      <protection locked="0"/>
    </xf>
    <xf numFmtId="9" fontId="10" fillId="6" borderId="165" xfId="3" applyFont="1" applyFill="1" applyBorder="1" applyAlignment="1" applyProtection="1">
      <alignment vertical="center" wrapText="1"/>
      <protection locked="0"/>
    </xf>
    <xf numFmtId="9" fontId="111" fillId="6" borderId="166" xfId="3" applyFont="1" applyFill="1" applyBorder="1" applyAlignment="1" applyProtection="1">
      <alignment vertical="center" wrapText="1"/>
      <protection locked="0"/>
    </xf>
    <xf numFmtId="9" fontId="111" fillId="6" borderId="167" xfId="3" applyFont="1" applyFill="1" applyBorder="1" applyAlignment="1" applyProtection="1">
      <alignment vertical="center" wrapText="1"/>
      <protection locked="0"/>
    </xf>
    <xf numFmtId="9" fontId="10" fillId="6" borderId="80" xfId="3" applyFont="1" applyFill="1" applyBorder="1" applyAlignment="1" applyProtection="1">
      <alignment horizontal="left" vertical="center" wrapText="1"/>
      <protection locked="0"/>
    </xf>
    <xf numFmtId="9" fontId="111" fillId="6" borderId="80" xfId="3" applyFont="1" applyFill="1" applyBorder="1" applyAlignment="1" applyProtection="1">
      <alignment horizontal="left" vertical="center" wrapText="1"/>
      <protection locked="0"/>
    </xf>
    <xf numFmtId="9" fontId="10" fillId="6" borderId="165" xfId="3" applyFont="1" applyFill="1" applyBorder="1" applyAlignment="1" applyProtection="1">
      <alignment horizontal="left" vertical="top" wrapText="1"/>
      <protection locked="0"/>
    </xf>
    <xf numFmtId="9" fontId="111" fillId="6" borderId="166" xfId="3" applyFont="1" applyFill="1" applyBorder="1" applyAlignment="1" applyProtection="1">
      <alignment horizontal="left" vertical="top" wrapText="1"/>
      <protection locked="0"/>
    </xf>
    <xf numFmtId="9" fontId="111" fillId="6" borderId="167" xfId="3" applyFont="1" applyFill="1" applyBorder="1" applyAlignment="1" applyProtection="1">
      <alignment horizontal="left" vertical="top" wrapText="1"/>
      <protection locked="0"/>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9" fontId="111" fillId="6" borderId="165" xfId="3" applyFont="1" applyFill="1" applyBorder="1" applyAlignment="1" applyProtection="1">
      <alignment horizontal="left" vertical="top" wrapText="1"/>
      <protection locked="0"/>
    </xf>
    <xf numFmtId="0" fontId="9" fillId="0" borderId="104" xfId="0" applyFont="1" applyBorder="1" applyAlignment="1">
      <alignment horizontal="left" vertical="top" wrapText="1"/>
    </xf>
    <xf numFmtId="49" fontId="2" fillId="4" borderId="105" xfId="0" applyNumberFormat="1" applyFont="1" applyFill="1" applyBorder="1" applyAlignment="1" applyProtection="1">
      <alignment horizontal="center" vertical="center"/>
      <protection locked="0"/>
    </xf>
    <xf numFmtId="172" fontId="67" fillId="0" borderId="0" xfId="0" applyNumberFormat="1" applyFont="1" applyAlignment="1">
      <alignment horizontal="center"/>
    </xf>
    <xf numFmtId="172" fontId="78" fillId="9" borderId="101" xfId="0" applyNumberFormat="1" applyFont="1" applyFill="1" applyBorder="1" applyAlignment="1">
      <alignment horizontal="center" vertical="center"/>
    </xf>
    <xf numFmtId="172" fontId="80" fillId="0" borderId="0" xfId="0" applyNumberFormat="1" applyFont="1" applyAlignment="1">
      <alignment horizontal="center"/>
    </xf>
    <xf numFmtId="172" fontId="81" fillId="4" borderId="13" xfId="0" applyNumberFormat="1" applyFont="1" applyFill="1" applyBorder="1" applyAlignment="1">
      <alignment horizontal="center" vertical="center"/>
    </xf>
    <xf numFmtId="49" fontId="2" fillId="4" borderId="108" xfId="0" applyNumberFormat="1" applyFont="1" applyFill="1" applyBorder="1" applyAlignment="1" applyProtection="1">
      <alignment horizontal="center" vertical="center" wrapText="1"/>
      <protection locked="0"/>
    </xf>
    <xf numFmtId="0" fontId="9" fillId="0" borderId="111" xfId="0" applyFont="1" applyBorder="1" applyAlignment="1">
      <alignment horizontal="left" vertical="top" wrapText="1"/>
    </xf>
    <xf numFmtId="49" fontId="2" fillId="4" borderId="112" xfId="0" applyNumberFormat="1" applyFont="1" applyFill="1" applyBorder="1" applyAlignment="1" applyProtection="1">
      <alignment horizontal="center" vertical="center"/>
      <protection locked="0"/>
    </xf>
    <xf numFmtId="172" fontId="80" fillId="0" borderId="113" xfId="0" applyNumberFormat="1" applyFont="1" applyBorder="1" applyAlignment="1">
      <alignment horizontal="center"/>
    </xf>
    <xf numFmtId="172" fontId="92" fillId="5" borderId="114" xfId="0" applyNumberFormat="1" applyFont="1" applyFill="1" applyBorder="1" applyAlignment="1">
      <alignment horizontal="center" vertical="center"/>
    </xf>
    <xf numFmtId="172" fontId="92" fillId="5" borderId="115" xfId="0" applyNumberFormat="1" applyFont="1" applyFill="1" applyBorder="1" applyAlignment="1">
      <alignment horizontal="center" vertical="center"/>
    </xf>
    <xf numFmtId="0" fontId="9" fillId="0" borderId="118" xfId="0" applyFont="1" applyBorder="1" applyAlignment="1">
      <alignment horizontal="left" vertical="top" wrapText="1"/>
    </xf>
    <xf numFmtId="0" fontId="2" fillId="5" borderId="119" xfId="0" applyFont="1" applyFill="1" applyBorder="1" applyAlignment="1" applyProtection="1">
      <alignment horizontal="center" vertical="top" wrapText="1"/>
      <protection locked="0"/>
    </xf>
    <xf numFmtId="172" fontId="80" fillId="0" borderId="128" xfId="0" applyNumberFormat="1" applyFont="1" applyBorder="1" applyAlignment="1">
      <alignment horizontal="center"/>
    </xf>
    <xf numFmtId="172" fontId="81" fillId="6" borderId="66" xfId="0" applyNumberFormat="1" applyFont="1" applyFill="1" applyBorder="1" applyAlignment="1">
      <alignment horizontal="center" vertical="center"/>
    </xf>
    <xf numFmtId="0" fontId="9" fillId="0" borderId="122" xfId="0" applyFont="1" applyBorder="1" applyAlignment="1">
      <alignment horizontal="left" vertical="top" wrapText="1"/>
    </xf>
    <xf numFmtId="0" fontId="2" fillId="5" borderId="123" xfId="0" applyFont="1" applyFill="1" applyBorder="1" applyAlignment="1" applyProtection="1">
      <alignment horizontal="center" vertical="top" wrapText="1"/>
      <protection locked="0"/>
    </xf>
    <xf numFmtId="0" fontId="9" fillId="0" borderId="126" xfId="0" applyFont="1" applyBorder="1" applyAlignment="1">
      <alignment horizontal="left" vertical="top" wrapText="1"/>
    </xf>
    <xf numFmtId="0" fontId="2" fillId="5" borderId="127" xfId="0" applyFont="1" applyFill="1" applyBorder="1" applyAlignment="1" applyProtection="1">
      <alignment horizontal="center" vertical="top" wrapText="1"/>
      <protection locked="0"/>
    </xf>
    <xf numFmtId="0" fontId="9" fillId="0" borderId="131" xfId="0" applyFont="1" applyBorder="1" applyAlignment="1">
      <alignment horizontal="left" vertical="center" wrapText="1"/>
    </xf>
    <xf numFmtId="0" fontId="2" fillId="6" borderId="132" xfId="0" applyFont="1" applyFill="1" applyBorder="1" applyAlignment="1" applyProtection="1">
      <alignment horizontal="center" vertical="top" wrapText="1"/>
      <protection locked="0"/>
    </xf>
    <xf numFmtId="0" fontId="2" fillId="0" borderId="135" xfId="3" applyNumberFormat="1" applyFont="1" applyBorder="1" applyAlignment="1">
      <alignment horizontal="left" vertical="center" wrapText="1"/>
    </xf>
    <xf numFmtId="0" fontId="2" fillId="6" borderId="136" xfId="0" applyFont="1" applyFill="1" applyBorder="1" applyAlignment="1" applyProtection="1">
      <alignment horizontal="center" vertical="top" wrapText="1"/>
      <protection locked="0"/>
    </xf>
    <xf numFmtId="9" fontId="2" fillId="0" borderId="135" xfId="3" applyFont="1" applyBorder="1" applyAlignment="1">
      <alignment horizontal="left" vertical="center" wrapText="1"/>
    </xf>
    <xf numFmtId="0" fontId="2" fillId="6" borderId="140" xfId="0" applyFont="1" applyFill="1" applyBorder="1" applyAlignment="1" applyProtection="1">
      <alignment horizontal="center" vertical="top" wrapText="1"/>
      <protection locked="0"/>
    </xf>
    <xf numFmtId="165" fontId="27" fillId="2" borderId="0" xfId="34" applyNumberFormat="1" applyFont="1" applyFill="1" applyBorder="1" applyAlignment="1" applyProtection="1">
      <alignment horizontal="center"/>
      <protection locked="0"/>
    </xf>
    <xf numFmtId="0" fontId="0" fillId="6" borderId="2" xfId="0" applyFill="1" applyBorder="1" applyAlignment="1" applyProtection="1">
      <alignment horizontal="center"/>
      <protection locked="0"/>
    </xf>
    <xf numFmtId="0" fontId="52" fillId="16" borderId="141" xfId="23" applyFont="1" applyFill="1" applyBorder="1" applyAlignment="1">
      <alignment horizontal="center" vertical="center" wrapText="1"/>
    </xf>
    <xf numFmtId="0" fontId="52" fillId="16" borderId="142" xfId="23" applyFont="1" applyFill="1" applyBorder="1" applyAlignment="1">
      <alignment horizontal="center" vertical="center" wrapText="1"/>
    </xf>
    <xf numFmtId="0" fontId="52" fillId="16" borderId="144" xfId="23" applyFont="1" applyFill="1" applyBorder="1" applyAlignment="1">
      <alignment horizontal="center" vertical="center" wrapText="1"/>
    </xf>
    <xf numFmtId="0" fontId="98" fillId="16" borderId="2" xfId="0" applyFont="1" applyFill="1" applyBorder="1" applyAlignment="1">
      <alignment horizontal="center" vertical="center" textRotation="90"/>
    </xf>
    <xf numFmtId="0" fontId="36" fillId="0" borderId="145" xfId="0" applyFont="1" applyBorder="1" applyAlignment="1" applyProtection="1">
      <alignment horizontal="left" vertical="center" wrapText="1"/>
      <protection locked="0"/>
    </xf>
    <xf numFmtId="0" fontId="36" fillId="0" borderId="146" xfId="0" applyFont="1" applyBorder="1" applyAlignment="1" applyProtection="1">
      <alignment horizontal="left" wrapText="1"/>
      <protection locked="0"/>
    </xf>
    <xf numFmtId="0" fontId="36" fillId="0" borderId="147" xfId="0" applyFont="1" applyBorder="1" applyAlignment="1" applyProtection="1">
      <alignment horizontal="left" wrapText="1"/>
      <protection locked="0"/>
    </xf>
    <xf numFmtId="0" fontId="36" fillId="0" borderId="148" xfId="0" applyFont="1" applyBorder="1" applyAlignment="1" applyProtection="1">
      <alignment horizontal="left" wrapText="1"/>
      <protection locked="0"/>
    </xf>
    <xf numFmtId="0" fontId="36" fillId="0" borderId="149" xfId="0" applyFont="1" applyBorder="1" applyAlignment="1" applyProtection="1">
      <alignment horizontal="left" wrapText="1"/>
      <protection locked="0"/>
    </xf>
    <xf numFmtId="0" fontId="36" fillId="0" borderId="150" xfId="0" applyFont="1" applyBorder="1" applyAlignment="1" applyProtection="1">
      <alignment horizontal="left" wrapText="1"/>
      <protection locked="0"/>
    </xf>
    <xf numFmtId="0" fontId="36" fillId="0" borderId="151" xfId="0" applyFont="1" applyBorder="1" applyAlignment="1" applyProtection="1">
      <alignment horizontal="left"/>
      <protection locked="0"/>
    </xf>
    <xf numFmtId="0" fontId="36" fillId="0" borderId="149" xfId="0" applyFont="1" applyBorder="1" applyAlignment="1" applyProtection="1">
      <alignment horizontal="left" vertical="top" wrapText="1"/>
      <protection locked="0"/>
    </xf>
    <xf numFmtId="0" fontId="36" fillId="0" borderId="150" xfId="0" applyFont="1" applyBorder="1" applyAlignment="1" applyProtection="1">
      <alignment horizontal="left"/>
      <protection locked="0"/>
    </xf>
    <xf numFmtId="0" fontId="36" fillId="0" borderId="149" xfId="0" applyFont="1" applyBorder="1" applyAlignment="1" applyProtection="1">
      <alignment horizontal="left"/>
      <protection locked="0"/>
    </xf>
    <xf numFmtId="0" fontId="36" fillId="0" borderId="152" xfId="0" applyFont="1" applyBorder="1" applyAlignment="1" applyProtection="1">
      <alignment horizontal="left" vertical="center" wrapText="1"/>
      <protection locked="0"/>
    </xf>
    <xf numFmtId="0" fontId="36" fillId="0" borderId="153" xfId="0" applyFont="1" applyBorder="1" applyAlignment="1" applyProtection="1">
      <alignment horizontal="left"/>
      <protection locked="0"/>
    </xf>
    <xf numFmtId="0" fontId="36" fillId="0" borderId="154" xfId="0" applyFont="1" applyBorder="1" applyAlignment="1" applyProtection="1">
      <alignment horizontal="left"/>
      <protection locked="0"/>
    </xf>
    <xf numFmtId="0" fontId="36" fillId="0" borderId="155" xfId="0" applyFont="1" applyBorder="1" applyAlignment="1" applyProtection="1">
      <alignment horizontal="left"/>
      <protection locked="0"/>
    </xf>
    <xf numFmtId="0" fontId="36" fillId="0" borderId="156" xfId="0" applyFont="1" applyBorder="1" applyAlignment="1" applyProtection="1">
      <alignment horizontal="left" vertical="top" wrapText="1"/>
      <protection locked="0"/>
    </xf>
    <xf numFmtId="0" fontId="36" fillId="0" borderId="157" xfId="0" applyFont="1" applyBorder="1" applyAlignment="1" applyProtection="1">
      <alignment horizontal="left"/>
      <protection locked="0"/>
    </xf>
    <xf numFmtId="0" fontId="36" fillId="0" borderId="134" xfId="0" applyFont="1" applyBorder="1" applyAlignment="1" applyProtection="1">
      <alignment horizontal="left"/>
      <protection locked="0"/>
    </xf>
    <xf numFmtId="0" fontId="36" fillId="0" borderId="158" xfId="0" applyFont="1" applyBorder="1" applyAlignment="1" applyProtection="1">
      <alignment horizontal="left"/>
      <protection locked="0"/>
    </xf>
    <xf numFmtId="0" fontId="36" fillId="0" borderId="159" xfId="0" applyFont="1" applyBorder="1" applyAlignment="1" applyProtection="1">
      <alignment horizontal="left"/>
      <protection locked="0"/>
    </xf>
    <xf numFmtId="0" fontId="36" fillId="0" borderId="160" xfId="0" applyFont="1" applyBorder="1" applyAlignment="1" applyProtection="1">
      <alignment horizontal="left"/>
      <protection locked="0"/>
    </xf>
    <xf numFmtId="0" fontId="5" fillId="0" borderId="0" xfId="0" applyFont="1" applyAlignment="1">
      <alignment horizontal="center"/>
    </xf>
    <xf numFmtId="9" fontId="114" fillId="6" borderId="165" xfId="3" applyFont="1" applyFill="1" applyBorder="1" applyAlignment="1" applyProtection="1">
      <alignment horizontal="left" vertical="center" wrapText="1"/>
      <protection locked="0"/>
    </xf>
    <xf numFmtId="9" fontId="114" fillId="6" borderId="166" xfId="3" applyFont="1" applyFill="1" applyBorder="1" applyAlignment="1" applyProtection="1">
      <alignment horizontal="left" vertical="center" wrapText="1"/>
      <protection locked="0"/>
    </xf>
    <xf numFmtId="9" fontId="114" fillId="6" borderId="167" xfId="3" applyFont="1" applyFill="1" applyBorder="1" applyAlignment="1" applyProtection="1">
      <alignment horizontal="left" vertical="center" wrapText="1"/>
      <protection locked="0"/>
    </xf>
    <xf numFmtId="9" fontId="116" fillId="0" borderId="2" xfId="3" applyFont="1" applyBorder="1" applyAlignment="1">
      <alignment horizontal="center" vertical="center" wrapText="1"/>
    </xf>
    <xf numFmtId="0" fontId="0" fillId="0" borderId="161" xfId="0" applyBorder="1"/>
    <xf numFmtId="0" fontId="0" fillId="0" borderId="161" xfId="0" applyBorder="1" applyAlignment="1">
      <alignment horizontal="center"/>
    </xf>
    <xf numFmtId="3" fontId="0" fillId="0" borderId="161" xfId="0" applyNumberFormat="1" applyBorder="1"/>
    <xf numFmtId="2" fontId="0" fillId="0" borderId="161" xfId="0" applyNumberFormat="1" applyBorder="1"/>
    <xf numFmtId="9" fontId="18" fillId="6" borderId="165" xfId="3" applyFont="1" applyFill="1" applyBorder="1" applyAlignment="1" applyProtection="1">
      <alignment horizontal="left" vertical="center" wrapText="1"/>
      <protection locked="0"/>
    </xf>
    <xf numFmtId="9" fontId="18" fillId="6" borderId="166" xfId="3" applyFont="1" applyFill="1" applyBorder="1" applyAlignment="1" applyProtection="1">
      <alignment horizontal="left" vertical="center" wrapText="1"/>
      <protection locked="0"/>
    </xf>
    <xf numFmtId="9" fontId="18" fillId="6" borderId="167" xfId="3" applyFont="1" applyFill="1" applyBorder="1" applyAlignment="1" applyProtection="1">
      <alignment horizontal="left" vertical="center" wrapText="1"/>
      <protection locked="0"/>
    </xf>
    <xf numFmtId="9" fontId="0" fillId="0" borderId="6" xfId="3" applyFont="1" applyBorder="1" applyAlignment="1">
      <alignment horizontal="center" vertical="center" wrapText="1"/>
    </xf>
    <xf numFmtId="9" fontId="0" fillId="0" borderId="7" xfId="3" applyFont="1" applyBorder="1" applyAlignment="1">
      <alignment horizontal="center" vertical="center" wrapText="1"/>
    </xf>
    <xf numFmtId="9" fontId="0" fillId="0" borderId="8" xfId="3" applyFont="1" applyBorder="1" applyAlignment="1">
      <alignment horizontal="center" vertical="center" wrapText="1"/>
    </xf>
    <xf numFmtId="0" fontId="0" fillId="0" borderId="6" xfId="0" applyFont="1" applyBorder="1" applyAlignment="1">
      <alignment vertical="center" wrapText="1"/>
    </xf>
    <xf numFmtId="0" fontId="0" fillId="0" borderId="7" xfId="0" applyFont="1" applyBorder="1" applyAlignment="1">
      <alignment vertical="center" wrapText="1"/>
    </xf>
    <xf numFmtId="0" fontId="0" fillId="0" borderId="8" xfId="0" applyFont="1" applyBorder="1" applyAlignment="1">
      <alignment vertical="center" wrapText="1"/>
    </xf>
    <xf numFmtId="9" fontId="18" fillId="6" borderId="170" xfId="3" applyFont="1" applyFill="1" applyBorder="1" applyAlignment="1" applyProtection="1">
      <alignment horizontal="left" vertical="center" wrapText="1"/>
      <protection locked="0"/>
    </xf>
    <xf numFmtId="9" fontId="18" fillId="6" borderId="171" xfId="3" applyFont="1" applyFill="1" applyBorder="1" applyAlignment="1" applyProtection="1">
      <alignment horizontal="left" vertical="center" wrapText="1"/>
      <protection locked="0"/>
    </xf>
    <xf numFmtId="9" fontId="18" fillId="6" borderId="172" xfId="3" applyFont="1" applyFill="1" applyBorder="1" applyAlignment="1" applyProtection="1">
      <alignment horizontal="left" vertical="center" wrapText="1"/>
      <protection locked="0"/>
    </xf>
    <xf numFmtId="0" fontId="0" fillId="9" borderId="6" xfId="0" applyFont="1" applyFill="1" applyBorder="1" applyAlignment="1">
      <alignment horizontal="center" vertical="center" wrapText="1"/>
    </xf>
    <xf numFmtId="0" fontId="0" fillId="9" borderId="7" xfId="0" applyFont="1" applyFill="1" applyBorder="1" applyAlignment="1">
      <alignment horizontal="center" vertical="center" wrapText="1"/>
    </xf>
    <xf numFmtId="0" fontId="0" fillId="9" borderId="8" xfId="0" applyFont="1" applyFill="1" applyBorder="1" applyAlignment="1">
      <alignment horizontal="center" vertical="center" wrapText="1"/>
    </xf>
    <xf numFmtId="9" fontId="18" fillId="6" borderId="173" xfId="3" applyFont="1" applyFill="1" applyBorder="1" applyAlignment="1" applyProtection="1">
      <alignment horizontal="left" vertical="center" wrapText="1"/>
      <protection locked="0"/>
    </xf>
    <xf numFmtId="9" fontId="18" fillId="6" borderId="174" xfId="3" applyFont="1" applyFill="1" applyBorder="1" applyAlignment="1" applyProtection="1">
      <alignment horizontal="left" vertical="center" wrapText="1"/>
      <protection locked="0"/>
    </xf>
    <xf numFmtId="9" fontId="18" fillId="6" borderId="175" xfId="3" applyFont="1" applyFill="1" applyBorder="1" applyAlignment="1" applyProtection="1">
      <alignment horizontal="left" vertical="center" wrapText="1"/>
      <protection locked="0"/>
    </xf>
  </cellXfs>
  <cellStyles count="46">
    <cellStyle name="Euro" xfId="4" xr:uid="{00000000-0005-0000-0000-000000000000}"/>
    <cellStyle name="Millares" xfId="1" builtinId="3"/>
    <cellStyle name="Millares 2" xfId="5" xr:uid="{00000000-0005-0000-0000-000002000000}"/>
    <cellStyle name="Millares 2 2" xfId="43" xr:uid="{0D412452-A9D7-4659-9B62-6E2D1DEDC982}"/>
    <cellStyle name="Moneda" xfId="2" builtinId="4"/>
    <cellStyle name="Moneda 2" xfId="42" xr:uid="{F860EF6A-A664-4D85-AA63-2FC3DABF0E5D}"/>
    <cellStyle name="Normal" xfId="0" builtinId="0"/>
    <cellStyle name="Normal 10" xfId="45" xr:uid="{19C6FED8-BB85-4E61-9264-58CFAB3E4C33}"/>
    <cellStyle name="Normal 2" xfId="6" xr:uid="{00000000-0005-0000-0000-000005000000}"/>
    <cellStyle name="Normal 2 2" xfId="7" xr:uid="{00000000-0005-0000-0000-000006000000}"/>
    <cellStyle name="Normal 2 3" xfId="8" xr:uid="{00000000-0005-0000-0000-000007000000}"/>
    <cellStyle name="Normal 2 4" xfId="9" xr:uid="{00000000-0005-0000-0000-000008000000}"/>
    <cellStyle name="Normal 2 5" xfId="10" xr:uid="{00000000-0005-0000-0000-000009000000}"/>
    <cellStyle name="Normal 2 6" xfId="11" xr:uid="{00000000-0005-0000-0000-00000A000000}"/>
    <cellStyle name="Normal 2 7" xfId="12" xr:uid="{00000000-0005-0000-0000-00000B000000}"/>
    <cellStyle name="Normal 2 8" xfId="13" xr:uid="{00000000-0005-0000-0000-00000C000000}"/>
    <cellStyle name="Normal 2 9" xfId="41" xr:uid="{4F9F8C9F-F47A-4033-A620-A8354C0BB57D}"/>
    <cellStyle name="Normal 2_Dashboard ver 2.2 ES" xfId="14" xr:uid="{00000000-0005-0000-0000-00000D000000}"/>
    <cellStyle name="Normal 2_Ficticia HIV Dashboard_ES - Set Up and Maintenance Guide" xfId="15" xr:uid="{00000000-0005-0000-0000-00000E000000}"/>
    <cellStyle name="Normal 2_Prototipo" xfId="16" xr:uid="{00000000-0005-0000-0000-00000F000000}"/>
    <cellStyle name="Normal 3" xfId="17" xr:uid="{00000000-0005-0000-0000-000010000000}"/>
    <cellStyle name="Normal 4" xfId="18" xr:uid="{00000000-0005-0000-0000-000011000000}"/>
    <cellStyle name="Normal 5" xfId="19" xr:uid="{00000000-0005-0000-0000-000012000000}"/>
    <cellStyle name="Normal 6" xfId="20" xr:uid="{00000000-0005-0000-0000-000013000000}"/>
    <cellStyle name="Normal 7" xfId="21" xr:uid="{00000000-0005-0000-0000-000014000000}"/>
    <cellStyle name="Normal 8" xfId="22" xr:uid="{00000000-0005-0000-0000-000015000000}"/>
    <cellStyle name="Normal 9" xfId="40" xr:uid="{C25E620A-EE9C-45FA-99A1-189FC69A3BDF}"/>
    <cellStyle name="Normal_TZ_R3HIV_Phase_2_21_August_08" xfId="23" xr:uid="{00000000-0005-0000-0000-000016000000}"/>
    <cellStyle name="Porcentaje" xfId="3" builtinId="5"/>
    <cellStyle name="Porcentual 2" xfId="24" xr:uid="{00000000-0005-0000-0000-000018000000}"/>
    <cellStyle name="Porcentual 3" xfId="25" xr:uid="{00000000-0005-0000-0000-000019000000}"/>
    <cellStyle name="Porcentual 4" xfId="26" xr:uid="{00000000-0005-0000-0000-00001A000000}"/>
    <cellStyle name="Porcentual 5" xfId="27" xr:uid="{00000000-0005-0000-0000-00001B000000}"/>
    <cellStyle name="Porcentual 6" xfId="28" xr:uid="{00000000-0005-0000-0000-00001C000000}"/>
    <cellStyle name="Porcentual 7" xfId="29" xr:uid="{00000000-0005-0000-0000-00001D000000}"/>
    <cellStyle name="Porcentual 8" xfId="30" xr:uid="{00000000-0005-0000-0000-00001E000000}"/>
    <cellStyle name="TableStyleLight1" xfId="44" xr:uid="{262C8C67-96FD-4F05-891A-9A72296F2269}"/>
    <cellStyle name="Título 3 2" xfId="31" xr:uid="{00000000-0005-0000-0000-00001F000000}"/>
    <cellStyle name="Título 3 3" xfId="32" xr:uid="{00000000-0005-0000-0000-000020000000}"/>
    <cellStyle name="Título 3 3_Prototipo" xfId="33" xr:uid="{00000000-0005-0000-0000-000021000000}"/>
    <cellStyle name="Título 3 3_PrototipoRep1" xfId="34" xr:uid="{00000000-0005-0000-0000-000022000000}"/>
    <cellStyle name="Título 3 4" xfId="35" xr:uid="{00000000-0005-0000-0000-000023000000}"/>
    <cellStyle name="Título 3 5" xfId="36" xr:uid="{00000000-0005-0000-0000-000024000000}"/>
    <cellStyle name="Título 3 6" xfId="37" xr:uid="{00000000-0005-0000-0000-000025000000}"/>
    <cellStyle name="Título 3 7" xfId="38" xr:uid="{00000000-0005-0000-0000-000026000000}"/>
    <cellStyle name="Título 3 8" xfId="39" xr:uid="{00000000-0005-0000-0000-000027000000}"/>
  </cellStyles>
  <dxfs count="37">
    <dxf>
      <font>
        <b/>
        <i val="0"/>
        <condense val="0"/>
        <extend val="0"/>
        <sz val="11"/>
        <color indexed="8"/>
      </font>
      <fill>
        <patternFill patternType="solid">
          <fgColor indexed="49"/>
          <bgColor indexed="11"/>
        </patternFill>
      </fill>
    </dxf>
    <dxf>
      <font>
        <b/>
        <i val="0"/>
        <condense val="0"/>
        <extend val="0"/>
        <sz val="11"/>
        <color indexed="8"/>
      </font>
      <fill>
        <patternFill patternType="solid">
          <fgColor indexed="34"/>
          <bgColor indexed="13"/>
        </patternFill>
      </fill>
    </dxf>
    <dxf>
      <font>
        <b/>
        <i val="0"/>
        <condense val="0"/>
        <extend val="0"/>
        <sz val="11"/>
        <color indexed="9"/>
      </font>
      <fill>
        <patternFill patternType="solid">
          <fgColor indexed="29"/>
          <bgColor indexed="61"/>
        </patternFill>
      </fill>
    </dxf>
    <dxf>
      <font>
        <b val="0"/>
        <condense val="0"/>
        <extend val="0"/>
        <sz val="11"/>
        <color indexed="8"/>
      </font>
      <fill>
        <patternFill patternType="solid">
          <fgColor indexed="41"/>
          <bgColor indexed="43"/>
        </patternFill>
      </fill>
    </dxf>
    <dxf>
      <font>
        <b val="0"/>
        <condense val="0"/>
        <extend val="0"/>
        <sz val="11"/>
        <color indexed="8"/>
      </font>
      <fill>
        <patternFill patternType="solid">
          <fgColor indexed="13"/>
          <bgColor indexed="51"/>
        </patternFill>
      </fill>
    </dxf>
    <dxf>
      <font>
        <b val="0"/>
        <condense val="0"/>
        <extend val="0"/>
        <sz val="11"/>
        <color indexed="9"/>
      </font>
      <fill>
        <patternFill patternType="solid">
          <fgColor indexed="61"/>
          <bgColor indexed="29"/>
        </patternFill>
      </fill>
    </dxf>
    <dxf>
      <font>
        <b val="0"/>
        <condense val="0"/>
        <extend val="0"/>
        <sz val="11"/>
        <color indexed="8"/>
      </font>
      <fill>
        <patternFill patternType="solid">
          <fgColor indexed="41"/>
          <bgColor indexed="43"/>
        </patternFill>
      </fill>
    </dxf>
    <dxf>
      <font>
        <b val="0"/>
        <condense val="0"/>
        <extend val="0"/>
        <sz val="11"/>
        <color indexed="8"/>
      </font>
      <fill>
        <patternFill patternType="solid">
          <fgColor indexed="13"/>
          <bgColor indexed="51"/>
        </patternFill>
      </fill>
    </dxf>
    <dxf>
      <font>
        <b val="0"/>
        <condense val="0"/>
        <extend val="0"/>
        <sz val="11"/>
        <color indexed="9"/>
      </font>
      <fill>
        <patternFill patternType="solid">
          <fgColor indexed="61"/>
          <bgColor indexed="29"/>
        </patternFill>
      </fill>
    </dxf>
    <dxf>
      <font>
        <b/>
        <i val="0"/>
        <condense val="0"/>
        <extend val="0"/>
        <sz val="11"/>
        <color indexed="8"/>
      </font>
      <fill>
        <patternFill patternType="solid">
          <fgColor indexed="49"/>
          <bgColor indexed="11"/>
        </patternFill>
      </fill>
    </dxf>
    <dxf>
      <font>
        <b/>
        <i val="0"/>
        <condense val="0"/>
        <extend val="0"/>
        <sz val="11"/>
        <color indexed="8"/>
      </font>
      <fill>
        <patternFill patternType="solid">
          <fgColor indexed="34"/>
          <bgColor indexed="13"/>
        </patternFill>
      </fill>
    </dxf>
    <dxf>
      <font>
        <b/>
        <i val="0"/>
        <condense val="0"/>
        <extend val="0"/>
        <sz val="11"/>
        <color indexed="9"/>
      </font>
      <fill>
        <patternFill patternType="solid">
          <fgColor indexed="29"/>
          <bgColor indexed="61"/>
        </patternFill>
      </fill>
    </dxf>
    <dxf>
      <font>
        <b val="0"/>
        <condense val="0"/>
        <extend val="0"/>
        <sz val="11"/>
        <color indexed="8"/>
      </font>
      <fill>
        <patternFill patternType="solid">
          <fgColor indexed="41"/>
          <bgColor indexed="43"/>
        </patternFill>
      </fill>
    </dxf>
    <dxf>
      <font>
        <b val="0"/>
        <condense val="0"/>
        <extend val="0"/>
        <sz val="11"/>
        <color indexed="8"/>
      </font>
      <fill>
        <patternFill patternType="solid">
          <fgColor indexed="13"/>
          <bgColor indexed="51"/>
        </patternFill>
      </fill>
    </dxf>
    <dxf>
      <font>
        <b val="0"/>
        <condense val="0"/>
        <extend val="0"/>
        <sz val="11"/>
        <color indexed="9"/>
      </font>
      <fill>
        <patternFill patternType="solid">
          <fgColor indexed="61"/>
          <bgColor indexed="29"/>
        </patternFill>
      </fill>
    </dxf>
    <dxf>
      <font>
        <b/>
        <i val="0"/>
        <condense val="0"/>
        <extend val="0"/>
        <sz val="11"/>
        <color indexed="8"/>
      </font>
      <fill>
        <patternFill patternType="solid">
          <fgColor indexed="34"/>
          <bgColor indexed="13"/>
        </patternFill>
      </fill>
    </dxf>
    <dxf>
      <font>
        <b/>
        <i val="0"/>
        <condense val="0"/>
        <extend val="0"/>
        <sz val="11"/>
        <color indexed="8"/>
      </font>
      <fill>
        <patternFill patternType="solid">
          <fgColor indexed="49"/>
          <bgColor indexed="11"/>
        </patternFill>
      </fill>
    </dxf>
    <dxf>
      <font>
        <b/>
        <i val="0"/>
        <condense val="0"/>
        <extend val="0"/>
        <sz val="11"/>
        <color indexed="8"/>
      </font>
      <fill>
        <patternFill patternType="solid">
          <fgColor indexed="29"/>
          <bgColor indexed="61"/>
        </patternFill>
      </fill>
    </dxf>
    <dxf>
      <font>
        <b val="0"/>
        <condense val="0"/>
        <extend val="0"/>
        <sz val="11"/>
        <color indexed="8"/>
      </font>
      <fill>
        <patternFill patternType="solid">
          <fgColor indexed="41"/>
          <bgColor indexed="43"/>
        </patternFill>
      </fill>
    </dxf>
    <dxf>
      <font>
        <b val="0"/>
        <condense val="0"/>
        <extend val="0"/>
        <sz val="11"/>
        <color indexed="8"/>
      </font>
      <fill>
        <patternFill patternType="solid">
          <fgColor indexed="13"/>
          <bgColor indexed="51"/>
        </patternFill>
      </fill>
    </dxf>
    <dxf>
      <font>
        <b val="0"/>
        <condense val="0"/>
        <extend val="0"/>
        <sz val="11"/>
        <color indexed="9"/>
      </font>
      <fill>
        <patternFill patternType="solid">
          <fgColor indexed="61"/>
          <bgColor indexed="29"/>
        </patternFill>
      </fill>
    </dxf>
    <dxf>
      <font>
        <b val="0"/>
        <condense val="0"/>
        <extend val="0"/>
        <sz val="11"/>
        <color indexed="9"/>
      </font>
      <fill>
        <patternFill patternType="solid">
          <fgColor indexed="61"/>
          <bgColor indexed="29"/>
        </patternFill>
      </fill>
    </dxf>
    <dxf>
      <font>
        <b val="0"/>
        <condense val="0"/>
        <extend val="0"/>
        <sz val="11"/>
        <color indexed="8"/>
      </font>
      <fill>
        <patternFill patternType="solid">
          <fgColor indexed="34"/>
          <bgColor indexed="13"/>
        </patternFill>
      </fill>
    </dxf>
    <dxf>
      <font>
        <b val="0"/>
        <condense val="0"/>
        <extend val="0"/>
        <sz val="11"/>
        <color indexed="8"/>
      </font>
      <fill>
        <patternFill patternType="solid">
          <fgColor indexed="49"/>
          <bgColor indexed="11"/>
        </patternFill>
      </fill>
    </dxf>
    <dxf>
      <font>
        <b val="0"/>
        <condense val="0"/>
        <extend val="0"/>
        <sz val="11"/>
        <color indexed="8"/>
      </font>
      <fill>
        <patternFill patternType="solid">
          <fgColor indexed="41"/>
          <bgColor indexed="43"/>
        </patternFill>
      </fill>
    </dxf>
    <dxf>
      <font>
        <b val="0"/>
        <condense val="0"/>
        <extend val="0"/>
        <sz val="11"/>
        <color indexed="8"/>
      </font>
      <fill>
        <patternFill patternType="solid">
          <fgColor indexed="13"/>
          <bgColor indexed="51"/>
        </patternFill>
      </fill>
    </dxf>
    <dxf>
      <font>
        <b val="0"/>
        <condense val="0"/>
        <extend val="0"/>
        <sz val="11"/>
        <color indexed="9"/>
      </font>
      <fill>
        <patternFill patternType="solid">
          <fgColor indexed="61"/>
          <bgColor indexed="29"/>
        </patternFill>
      </fill>
    </dxf>
    <dxf>
      <font>
        <b val="0"/>
        <condense val="0"/>
        <extend val="0"/>
        <sz val="11"/>
        <color indexed="8"/>
      </font>
      <fill>
        <patternFill patternType="solid">
          <fgColor indexed="26"/>
          <bgColor indexed="9"/>
        </patternFill>
      </fill>
    </dxf>
    <dxf>
      <font>
        <b val="0"/>
        <condense val="0"/>
        <extend val="0"/>
        <sz val="11"/>
        <color indexed="8"/>
      </font>
      <fill>
        <patternFill patternType="solid">
          <fgColor indexed="41"/>
          <bgColor indexed="43"/>
        </patternFill>
      </fill>
    </dxf>
    <dxf>
      <font>
        <b val="0"/>
        <condense val="0"/>
        <extend val="0"/>
        <sz val="11"/>
        <color indexed="8"/>
      </font>
      <fill>
        <patternFill patternType="solid">
          <fgColor indexed="13"/>
          <bgColor indexed="51"/>
        </patternFill>
      </fill>
    </dxf>
    <dxf>
      <font>
        <b val="0"/>
        <condense val="0"/>
        <extend val="0"/>
        <sz val="11"/>
        <color indexed="9"/>
      </font>
      <fill>
        <patternFill patternType="solid">
          <fgColor indexed="61"/>
          <bgColor indexed="29"/>
        </patternFill>
      </fill>
    </dxf>
    <dxf>
      <font>
        <b val="0"/>
        <condense val="0"/>
        <extend val="0"/>
        <sz val="11"/>
        <color indexed="8"/>
      </font>
      <fill>
        <patternFill patternType="solid">
          <fgColor indexed="49"/>
          <bgColor indexed="11"/>
        </patternFill>
      </fill>
    </dxf>
    <dxf>
      <font>
        <b val="0"/>
        <condense val="0"/>
        <extend val="0"/>
        <sz val="11"/>
        <color indexed="9"/>
      </font>
      <fill>
        <patternFill patternType="solid">
          <fgColor indexed="32"/>
          <bgColor indexed="8"/>
        </patternFill>
      </fill>
    </dxf>
    <dxf>
      <font>
        <b val="0"/>
        <condense val="0"/>
        <extend val="0"/>
        <sz val="11"/>
        <color indexed="8"/>
      </font>
      <fill>
        <patternFill patternType="solid">
          <fgColor indexed="41"/>
          <bgColor indexed="43"/>
        </patternFill>
      </fill>
    </dxf>
    <dxf>
      <font>
        <b val="0"/>
        <condense val="0"/>
        <extend val="0"/>
        <sz val="11"/>
        <color indexed="8"/>
      </font>
      <fill>
        <patternFill patternType="solid">
          <fgColor indexed="13"/>
          <bgColor indexed="51"/>
        </patternFill>
      </fill>
    </dxf>
    <dxf>
      <font>
        <b val="0"/>
        <condense val="0"/>
        <extend val="0"/>
        <sz val="11"/>
        <color indexed="9"/>
      </font>
      <fill>
        <patternFill patternType="solid">
          <fgColor indexed="29"/>
          <bgColor indexed="61"/>
        </patternFill>
      </fill>
    </dxf>
    <dxf>
      <font>
        <b val="0"/>
        <condense val="0"/>
        <extend val="0"/>
        <sz val="11"/>
        <color indexed="9"/>
      </font>
      <fill>
        <patternFill patternType="solid">
          <fgColor indexed="59"/>
          <bgColor indexed="6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70C0"/>
      <rgbColor rgb="00C0C0C0"/>
      <rgbColor rgb="00808080"/>
      <rgbColor rgb="0093CDDD"/>
      <rgbColor rgb="00993366"/>
      <rgbColor rgb="00FFF8EF"/>
      <rgbColor rgb="00CCFFFF"/>
      <rgbColor rgb="001F1C1B"/>
      <rgbColor rgb="00FF7171"/>
      <rgbColor rgb="000066CC"/>
      <rgbColor rgb="00CCC1DA"/>
      <rgbColor rgb="00131312"/>
      <rgbColor rgb="00FF00FF"/>
      <rgbColor rgb="00FFFF00"/>
      <rgbColor rgb="0000FFFF"/>
      <rgbColor rgb="00800080"/>
      <rgbColor rgb="00800000"/>
      <rgbColor rgb="00008080"/>
      <rgbColor rgb="000000FF"/>
      <rgbColor rgb="0000CCFF"/>
      <rgbColor rgb="00FFF88F"/>
      <rgbColor rgb="00CCFFCC"/>
      <rgbColor rgb="00FFFF99"/>
      <rgbColor rgb="0099CCFF"/>
      <rgbColor rgb="00FF99CC"/>
      <rgbColor rgb="00CC99FF"/>
      <rgbColor rgb="00FFCC99"/>
      <rgbColor rgb="003366FF"/>
      <rgbColor rgb="0033CC33"/>
      <rgbColor rgb="0099CC00"/>
      <rgbColor rgb="00FFCC00"/>
      <rgbColor rgb="00FF9900"/>
      <rgbColor rgb="00FF6600"/>
      <rgbColor rgb="00376092"/>
      <rgbColor rgb="00969696"/>
      <rgbColor rgb="00003366"/>
      <rgbColor rgb="00339966"/>
      <rgbColor rgb="00003300"/>
      <rgbColor rgb="00333300"/>
      <rgbColor rgb="00993300"/>
      <rgbColor rgb="00FF5050"/>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3.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988838346854451"/>
          <c:y val="4.8952771308652034E-2"/>
          <c:w val="0.77640468691726239"/>
          <c:h val="0.40013746065797756"/>
        </c:manualLayout>
      </c:layout>
      <c:barChart>
        <c:barDir val="col"/>
        <c:grouping val="clustered"/>
        <c:varyColors val="0"/>
        <c:ser>
          <c:idx val="1"/>
          <c:order val="1"/>
          <c:tx>
            <c:strRef>
              <c:f>Financiamiento!$M$15</c:f>
              <c:strCache>
                <c:ptCount val="1"/>
                <c:pt idx="0">
                  <c:v>Periodo Actual</c:v>
                </c:pt>
              </c:strCache>
            </c:strRef>
          </c:tx>
          <c:spPr>
            <a:solidFill>
              <a:schemeClr val="accent2"/>
            </a:solidFill>
            <a:ln>
              <a:noFill/>
            </a:ln>
            <a:effectLst/>
          </c:spPr>
          <c:invertIfNegative val="0"/>
          <c:cat>
            <c:strRef>
              <c:f>'Introducción de datos'!$B$55:$B$66</c:f>
              <c:strCache>
                <c:ptCount val="12"/>
                <c:pt idx="0">
                  <c:v> Desembolsado por el Fondo Mundial </c:v>
                </c:pt>
                <c:pt idx="1">
                  <c:v> (+) Intereses percibidos en cuenta de ahorro 2019 MINSAL </c:v>
                </c:pt>
                <c:pt idx="2">
                  <c:v> (-) Anticipos de Fondos a Plan Internacional, INC </c:v>
                </c:pt>
                <c:pt idx="3">
                  <c:v> (-) Gastos (ejecución MINSAL) </c:v>
                </c:pt>
                <c:pt idx="4">
                  <c:v> (=) Saldo en Caja al 30 de junio MINSAL  </c:v>
                </c:pt>
                <c:pt idx="5">
                  <c:v> (-) Compromisos  </c:v>
                </c:pt>
                <c:pt idx="6">
                  <c:v> Saldo en Caja despues de compromisos al 30 de junio MINSAL  </c:v>
                </c:pt>
                <c:pt idx="7">
                  <c:v> Desembolso transferido a Plan Internacional, INC. </c:v>
                </c:pt>
                <c:pt idx="8">
                  <c:v> (+) Intereses percibidos en cuenta de ahorro 2019 SR </c:v>
                </c:pt>
                <c:pt idx="9">
                  <c:v> (-) Gastos  validados por MINSAL (ejecución Plan Internacional, INC) </c:v>
                </c:pt>
                <c:pt idx="10">
                  <c:v> (-) Gastos  en revisión por MINSAL (ejecución Plan Internacional, INC) </c:v>
                </c:pt>
                <c:pt idx="11">
                  <c:v> (=) Saldo en Caja al 30 de junio Plan Internacional, INC. </c:v>
                </c:pt>
              </c:strCache>
            </c:strRef>
          </c:cat>
          <c:val>
            <c:numRef>
              <c:f>'Introducción de datos'!$D$55:$D$66</c:f>
              <c:numCache>
                <c:formatCode>_(\$* #,##0.00_);_(\$* \(#,##0.00\);_(\$* \-??_);_(@_)</c:formatCode>
                <c:ptCount val="12"/>
                <c:pt idx="0">
                  <c:v>4086490</c:v>
                </c:pt>
                <c:pt idx="1">
                  <c:v>17500.940000000002</c:v>
                </c:pt>
                <c:pt idx="2">
                  <c:v>1120587</c:v>
                </c:pt>
                <c:pt idx="3">
                  <c:v>93216.88</c:v>
                </c:pt>
                <c:pt idx="4">
                  <c:v>2890187.06</c:v>
                </c:pt>
                <c:pt idx="5">
                  <c:v>2302936.21</c:v>
                </c:pt>
                <c:pt idx="6">
                  <c:v>587250.85000000009</c:v>
                </c:pt>
                <c:pt idx="7">
                  <c:v>1120587</c:v>
                </c:pt>
                <c:pt idx="8">
                  <c:v>2735.86</c:v>
                </c:pt>
                <c:pt idx="9">
                  <c:v>97248.97</c:v>
                </c:pt>
                <c:pt idx="10">
                  <c:v>372206.84</c:v>
                </c:pt>
                <c:pt idx="11">
                  <c:v>653867.05000000005</c:v>
                </c:pt>
              </c:numCache>
            </c:numRef>
          </c:val>
          <c:extLst>
            <c:ext xmlns:c16="http://schemas.microsoft.com/office/drawing/2014/chart" uri="{C3380CC4-5D6E-409C-BE32-E72D297353CC}">
              <c16:uniqueId val="{00000001-8118-456B-BBE2-93B80699FE42}"/>
            </c:ext>
          </c:extLst>
        </c:ser>
        <c:dLbls>
          <c:showLegendKey val="0"/>
          <c:showVal val="0"/>
          <c:showCatName val="0"/>
          <c:showSerName val="0"/>
          <c:showPercent val="0"/>
          <c:showBubbleSize val="0"/>
        </c:dLbls>
        <c:gapWidth val="267"/>
        <c:overlap val="-43"/>
        <c:axId val="495551360"/>
        <c:axId val="1"/>
        <c:extLst>
          <c:ext xmlns:c15="http://schemas.microsoft.com/office/drawing/2012/chart" uri="{02D57815-91ED-43cb-92C2-25804820EDAC}">
            <c15:filteredBarSeries>
              <c15:ser>
                <c:idx val="0"/>
                <c:order val="0"/>
                <c:tx>
                  <c:v> AÑO 2017</c:v>
                </c:tx>
                <c:spPr>
                  <a:solidFill>
                    <a:schemeClr val="accent1"/>
                  </a:solidFill>
                  <a:ln>
                    <a:noFill/>
                  </a:ln>
                  <a:effectLst/>
                </c:spPr>
                <c:invertIfNegative val="0"/>
                <c:cat>
                  <c:strRef>
                    <c:extLst>
                      <c:ext uri="{02D57815-91ED-43cb-92C2-25804820EDAC}">
                        <c15:formulaRef>
                          <c15:sqref>'Introducción de datos'!$B$55:$B$66</c15:sqref>
                        </c15:formulaRef>
                      </c:ext>
                    </c:extLst>
                    <c:strCache>
                      <c:ptCount val="12"/>
                      <c:pt idx="0">
                        <c:v> Desembolsado por el Fondo Mundial </c:v>
                      </c:pt>
                      <c:pt idx="1">
                        <c:v> (+) Intereses percibidos en cuenta de ahorro 2019 MINSAL </c:v>
                      </c:pt>
                      <c:pt idx="2">
                        <c:v> (-) Anticipos de Fondos a Plan Internacional, INC </c:v>
                      </c:pt>
                      <c:pt idx="3">
                        <c:v> (-) Gastos (ejecución MINSAL) </c:v>
                      </c:pt>
                      <c:pt idx="4">
                        <c:v> (=) Saldo en Caja al 30 de junio MINSAL  </c:v>
                      </c:pt>
                      <c:pt idx="5">
                        <c:v> (-) Compromisos  </c:v>
                      </c:pt>
                      <c:pt idx="6">
                        <c:v> Saldo en Caja despues de compromisos al 30 de junio MINSAL  </c:v>
                      </c:pt>
                      <c:pt idx="7">
                        <c:v> Desembolso transferido a Plan Internacional, INC. </c:v>
                      </c:pt>
                      <c:pt idx="8">
                        <c:v> (+) Intereses percibidos en cuenta de ahorro 2019 SR </c:v>
                      </c:pt>
                      <c:pt idx="9">
                        <c:v> (-) Gastos  validados por MINSAL (ejecución Plan Internacional, INC) </c:v>
                      </c:pt>
                      <c:pt idx="10">
                        <c:v> (-) Gastos  en revisión por MINSAL (ejecución Plan Internacional, INC) </c:v>
                      </c:pt>
                      <c:pt idx="11">
                        <c:v> (=) Saldo en Caja al 30 de junio Plan Internacional, INC. </c:v>
                      </c:pt>
                    </c:strCache>
                  </c:strRef>
                </c:cat>
                <c:val>
                  <c:numRef>
                    <c:extLst>
                      <c:ext uri="{02D57815-91ED-43cb-92C2-25804820EDAC}">
                        <c15:formulaRef>
                          <c15:sqref>'Introducción de datos'!$C$55:$C$66</c15:sqref>
                        </c15:formulaRef>
                      </c:ext>
                    </c:extLst>
                    <c:numCache>
                      <c:formatCode>_(\$* #,##0.00_);_(\$* \(#,##0.00\);_(\$* \-??_);_(@_)</c:formatCode>
                      <c:ptCount val="12"/>
                    </c:numCache>
                  </c:numRef>
                </c:val>
                <c:extLst>
                  <c:ext xmlns:c16="http://schemas.microsoft.com/office/drawing/2014/chart" uri="{C3380CC4-5D6E-409C-BE32-E72D297353CC}">
                    <c16:uniqueId val="{00000000-8118-456B-BBE2-93B80699FE42}"/>
                  </c:ext>
                </c:extLst>
              </c15:ser>
            </c15:filteredBarSeries>
          </c:ext>
        </c:extLst>
      </c:barChart>
      <c:catAx>
        <c:axId val="49555136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s-SV"/>
          </a:p>
        </c:txPr>
        <c:crossAx val="1"/>
        <c:crossesAt val="0"/>
        <c:auto val="1"/>
        <c:lblAlgn val="ctr"/>
        <c:lblOffset val="100"/>
        <c:noMultiLvlLbl val="0"/>
      </c:catAx>
      <c:valAx>
        <c:axId val="1"/>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SV"/>
          </a:p>
        </c:txPr>
        <c:crossAx val="495551360"/>
        <c:crossesAt val="1"/>
        <c:crossBetween val="between"/>
      </c:valAx>
      <c:dTable>
        <c:showHorzBorder val="1"/>
        <c:showVertBorder val="1"/>
        <c:showOutline val="1"/>
        <c:showKeys val="1"/>
        <c:spPr>
          <a:noFill/>
          <a:ln w="9525" cap="flat" cmpd="sng" algn="ctr">
            <a:solidFill>
              <a:schemeClr val="dk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dk1">
                    <a:lumMod val="65000"/>
                    <a:lumOff val="35000"/>
                  </a:schemeClr>
                </a:solidFill>
                <a:latin typeface="+mn-lt"/>
                <a:ea typeface="+mn-ea"/>
                <a:cs typeface="+mn-cs"/>
              </a:defRPr>
            </a:pPr>
            <a:endParaRPr lang="es-SV"/>
          </a:p>
        </c:txPr>
      </c:dTable>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s-SV"/>
    </a:p>
  </c:txPr>
  <c:printSettings>
    <c:headerFooter alignWithMargins="0"/>
    <c:pageMargins b="1" l="0.75" r="0.75" t="1" header="0.51180555555555551" footer="0.51180555555555551"/>
    <c:pageSetup firstPageNumber="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34779710320588"/>
          <c:y val="0.30729322964085715"/>
          <c:w val="0.7961006692235103"/>
          <c:h val="0.48437746367118162"/>
        </c:manualLayout>
      </c:layout>
      <c:barChart>
        <c:barDir val="col"/>
        <c:grouping val="clustered"/>
        <c:varyColors val="0"/>
        <c:ser>
          <c:idx val="0"/>
          <c:order val="0"/>
          <c:spPr>
            <a:solidFill>
              <a:srgbClr val="0066CC"/>
            </a:solidFill>
            <a:ln w="25400">
              <a:noFill/>
            </a:ln>
          </c:spPr>
          <c:invertIfNegative val="0"/>
          <c:cat>
            <c:strRef>
              <c:f>'Introducción de datos'!$H$126:$S$126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'Introducción de datos'!$H$130:$S$130</c:f>
              <c:numCache>
                <c:formatCode>General</c:formatCode>
                <c:ptCount val="12"/>
                <c:pt idx="0" formatCode="#">
                  <c:v>19761</c:v>
                </c:pt>
              </c:numCache>
            </c:numRef>
          </c:val>
          <c:extLst>
            <c:ext xmlns:c16="http://schemas.microsoft.com/office/drawing/2014/chart" uri="{C3380CC4-5D6E-409C-BE32-E72D297353CC}">
              <c16:uniqueId val="{00000000-58C3-40FB-9C44-0CA577984796}"/>
            </c:ext>
          </c:extLst>
        </c:ser>
        <c:ser>
          <c:idx val="1"/>
          <c:order val="1"/>
          <c:spPr>
            <a:solidFill>
              <a:srgbClr val="00CCFF"/>
            </a:solidFill>
            <a:ln w="25400">
              <a:noFill/>
            </a:ln>
          </c:spPr>
          <c:invertIfNegative val="0"/>
          <c:cat>
            <c:strRef>
              <c:f>'Introducción de datos'!$H$126:$S$126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'Introducción de datos'!$H$131:$S$131</c:f>
              <c:numCache>
                <c:formatCode>General</c:formatCode>
                <c:ptCount val="12"/>
                <c:pt idx="0" formatCode="#">
                  <c:v>10013</c:v>
                </c:pt>
              </c:numCache>
            </c:numRef>
          </c:val>
          <c:extLst>
            <c:ext xmlns:c16="http://schemas.microsoft.com/office/drawing/2014/chart" uri="{C3380CC4-5D6E-409C-BE32-E72D297353CC}">
              <c16:uniqueId val="{00000001-58C3-40FB-9C44-0CA577984796}"/>
            </c:ext>
          </c:extLst>
        </c:ser>
        <c:dLbls>
          <c:showLegendKey val="0"/>
          <c:showVal val="0"/>
          <c:showCatName val="0"/>
          <c:showSerName val="0"/>
          <c:showPercent val="0"/>
          <c:showBubbleSize val="0"/>
        </c:dLbls>
        <c:gapWidth val="150"/>
        <c:axId val="502167048"/>
        <c:axId val="1"/>
      </c:barChart>
      <c:catAx>
        <c:axId val="5021670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s-SV"/>
          </a:p>
        </c:txPr>
        <c:crossAx val="1"/>
        <c:crossesAt val="0"/>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s-SV"/>
          </a:p>
        </c:txPr>
        <c:crossAx val="502167048"/>
        <c:crossesAt val="1"/>
        <c:crossBetween val="between"/>
      </c:valAx>
      <c:spPr>
        <a:noFill/>
        <a:ln w="25400">
          <a:noFill/>
        </a:ln>
      </c:spPr>
    </c:plotArea>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97429147774022"/>
          <c:y val="0.31443298969072164"/>
          <c:w val="0.74278405610250597"/>
          <c:h val="0.4845360824742268"/>
        </c:manualLayout>
      </c:layout>
      <c:barChart>
        <c:barDir val="col"/>
        <c:grouping val="clustered"/>
        <c:varyColors val="0"/>
        <c:ser>
          <c:idx val="0"/>
          <c:order val="0"/>
          <c:spPr>
            <a:solidFill>
              <a:srgbClr val="0066CC"/>
            </a:solidFill>
            <a:ln w="25400">
              <a:noFill/>
            </a:ln>
          </c:spPr>
          <c:invertIfNegative val="0"/>
          <c:cat>
            <c:strRef>
              <c:f>'Introducción de datos'!$H$126:$S$126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'Introducción de datos'!$H$128:$S$128</c:f>
              <c:numCache>
                <c:formatCode>General</c:formatCode>
                <c:ptCount val="12"/>
                <c:pt idx="0" formatCode="#">
                  <c:v>13650</c:v>
                </c:pt>
              </c:numCache>
            </c:numRef>
          </c:val>
          <c:extLst>
            <c:ext xmlns:c16="http://schemas.microsoft.com/office/drawing/2014/chart" uri="{C3380CC4-5D6E-409C-BE32-E72D297353CC}">
              <c16:uniqueId val="{00000000-CC5E-4FCB-BF02-767C22F2F017}"/>
            </c:ext>
          </c:extLst>
        </c:ser>
        <c:ser>
          <c:idx val="1"/>
          <c:order val="1"/>
          <c:spPr>
            <a:solidFill>
              <a:srgbClr val="00CCFF"/>
            </a:solidFill>
            <a:ln w="12700">
              <a:solidFill>
                <a:srgbClr val="000000"/>
              </a:solidFill>
              <a:prstDash val="solid"/>
            </a:ln>
          </c:spPr>
          <c:invertIfNegative val="0"/>
          <c:cat>
            <c:strRef>
              <c:f>'Introducción de datos'!$H$126:$S$126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'Introducción de datos'!$H$129:$S$129</c:f>
              <c:numCache>
                <c:formatCode>General</c:formatCode>
                <c:ptCount val="12"/>
                <c:pt idx="0" formatCode="#">
                  <c:v>10117</c:v>
                </c:pt>
              </c:numCache>
            </c:numRef>
          </c:val>
          <c:extLst>
            <c:ext xmlns:c16="http://schemas.microsoft.com/office/drawing/2014/chart" uri="{C3380CC4-5D6E-409C-BE32-E72D297353CC}">
              <c16:uniqueId val="{00000001-CC5E-4FCB-BF02-767C22F2F017}"/>
            </c:ext>
          </c:extLst>
        </c:ser>
        <c:dLbls>
          <c:showLegendKey val="0"/>
          <c:showVal val="0"/>
          <c:showCatName val="0"/>
          <c:showSerName val="0"/>
          <c:showPercent val="0"/>
          <c:showBubbleSize val="0"/>
        </c:dLbls>
        <c:gapWidth val="150"/>
        <c:axId val="502168360"/>
        <c:axId val="1"/>
      </c:barChart>
      <c:catAx>
        <c:axId val="50216836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s-SV"/>
          </a:p>
        </c:txPr>
        <c:crossAx val="1"/>
        <c:crossesAt val="0"/>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s-SV"/>
          </a:p>
        </c:txPr>
        <c:crossAx val="502168360"/>
        <c:crossesAt val="1"/>
        <c:crossBetween val="between"/>
      </c:valAx>
      <c:spPr>
        <a:noFill/>
        <a:ln w="25400">
          <a:noFill/>
        </a:ln>
      </c:spPr>
    </c:plotArea>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SV"/>
              <a:t>Número y porcentaje de PC</a:t>
            </a:r>
            <a:r>
              <a:rPr lang="es-SV" baseline="0"/>
              <a:t> qu</a:t>
            </a:r>
            <a:r>
              <a:rPr lang="es-SV"/>
              <a:t>e se sometieron a las pruebas y consejería del VIH y que recibieron sus resultados</a:t>
            </a:r>
          </a:p>
          <a:p>
            <a:pPr>
              <a:defRPr/>
            </a:pPr>
            <a:r>
              <a:rPr lang="es-SV"/>
              <a:t>Enero</a:t>
            </a:r>
            <a:r>
              <a:rPr lang="es-SV" baseline="0"/>
              <a:t> a Junio 2019</a:t>
            </a:r>
            <a:endParaRPr lang="es-SV"/>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SV"/>
        </a:p>
      </c:txPr>
    </c:title>
    <c:autoTitleDeleted val="0"/>
    <c:plotArea>
      <c:layout/>
      <c:barChart>
        <c:barDir val="col"/>
        <c:grouping val="clustered"/>
        <c:varyColors val="0"/>
        <c:ser>
          <c:idx val="0"/>
          <c:order val="0"/>
          <c:tx>
            <c:strRef>
              <c:f>Hoja1!$E$9</c:f>
              <c:strCache>
                <c:ptCount val="1"/>
                <c:pt idx="0">
                  <c:v>Meta </c:v>
                </c:pt>
              </c:strCache>
            </c:strRef>
          </c:tx>
          <c:spPr>
            <a:solidFill>
              <a:srgbClr val="FFC000"/>
            </a:solidFill>
            <a:ln>
              <a:solidFill>
                <a:schemeClr val="accent2">
                  <a:lumMod val="40000"/>
                  <a:lumOff val="60000"/>
                </a:schemeClr>
              </a:solidFill>
            </a:ln>
            <a:effectLst/>
          </c:spPr>
          <c:invertIfNegative val="0"/>
          <c:cat>
            <c:strRef>
              <c:f>Hoja1!$F$8:$H$8</c:f>
              <c:strCache>
                <c:ptCount val="3"/>
                <c:pt idx="0">
                  <c:v>HSH</c:v>
                </c:pt>
                <c:pt idx="1">
                  <c:v>TS</c:v>
                </c:pt>
                <c:pt idx="2">
                  <c:v>MT</c:v>
                </c:pt>
              </c:strCache>
            </c:strRef>
          </c:cat>
          <c:val>
            <c:numRef>
              <c:f>Hoja1!$F$9:$H$9</c:f>
              <c:numCache>
                <c:formatCode>#,##0</c:formatCode>
                <c:ptCount val="3"/>
                <c:pt idx="0">
                  <c:v>19761</c:v>
                </c:pt>
                <c:pt idx="1">
                  <c:v>8275</c:v>
                </c:pt>
                <c:pt idx="2">
                  <c:v>1207</c:v>
                </c:pt>
              </c:numCache>
            </c:numRef>
          </c:val>
          <c:extLst>
            <c:ext xmlns:c16="http://schemas.microsoft.com/office/drawing/2014/chart" uri="{C3380CC4-5D6E-409C-BE32-E72D297353CC}">
              <c16:uniqueId val="{00000000-4171-4264-BFB6-F58201D41ABB}"/>
            </c:ext>
          </c:extLst>
        </c:ser>
        <c:ser>
          <c:idx val="1"/>
          <c:order val="1"/>
          <c:tx>
            <c:strRef>
              <c:f>Hoja1!$E$10</c:f>
              <c:strCache>
                <c:ptCount val="1"/>
                <c:pt idx="0">
                  <c:v>Logro </c:v>
                </c:pt>
              </c:strCache>
            </c:strRef>
          </c:tx>
          <c:spPr>
            <a:solidFill>
              <a:srgbClr val="FF0000"/>
            </a:solidFill>
            <a:ln>
              <a:noFill/>
            </a:ln>
            <a:effectLst/>
          </c:spPr>
          <c:invertIfNegative val="0"/>
          <c:cat>
            <c:strRef>
              <c:f>Hoja1!$F$8:$H$8</c:f>
              <c:strCache>
                <c:ptCount val="3"/>
                <c:pt idx="0">
                  <c:v>HSH</c:v>
                </c:pt>
                <c:pt idx="1">
                  <c:v>TS</c:v>
                </c:pt>
                <c:pt idx="2">
                  <c:v>MT</c:v>
                </c:pt>
              </c:strCache>
            </c:strRef>
          </c:cat>
          <c:val>
            <c:numRef>
              <c:f>Hoja1!$F$10:$H$10</c:f>
              <c:numCache>
                <c:formatCode>#,##0</c:formatCode>
                <c:ptCount val="3"/>
                <c:pt idx="0">
                  <c:v>10003</c:v>
                </c:pt>
                <c:pt idx="1">
                  <c:v>3217</c:v>
                </c:pt>
                <c:pt idx="2" formatCode="General">
                  <c:v>488</c:v>
                </c:pt>
              </c:numCache>
            </c:numRef>
          </c:val>
          <c:extLst>
            <c:ext xmlns:c16="http://schemas.microsoft.com/office/drawing/2014/chart" uri="{C3380CC4-5D6E-409C-BE32-E72D297353CC}">
              <c16:uniqueId val="{00000001-4171-4264-BFB6-F58201D41ABB}"/>
            </c:ext>
          </c:extLst>
        </c:ser>
        <c:ser>
          <c:idx val="2"/>
          <c:order val="2"/>
          <c:tx>
            <c:strRef>
              <c:f>Hoja1!$E$11</c:f>
              <c:strCache>
                <c:ptCount val="1"/>
                <c:pt idx="0">
                  <c:v>Porcentaje </c:v>
                </c:pt>
              </c:strCache>
            </c:strRef>
          </c:tx>
          <c:spPr>
            <a:solidFill>
              <a:schemeClr val="accent3"/>
            </a:solidFill>
            <a:ln>
              <a:noFill/>
            </a:ln>
            <a:effectLst/>
          </c:spPr>
          <c:invertIfNegative val="0"/>
          <c:cat>
            <c:strRef>
              <c:f>Hoja1!$F$8:$H$8</c:f>
              <c:strCache>
                <c:ptCount val="3"/>
                <c:pt idx="0">
                  <c:v>HSH</c:v>
                </c:pt>
                <c:pt idx="1">
                  <c:v>TS</c:v>
                </c:pt>
                <c:pt idx="2">
                  <c:v>MT</c:v>
                </c:pt>
              </c:strCache>
            </c:strRef>
          </c:cat>
          <c:val>
            <c:numRef>
              <c:f>Hoja1!$F$11:$H$11</c:f>
              <c:numCache>
                <c:formatCode>0.00</c:formatCode>
                <c:ptCount val="3"/>
                <c:pt idx="0">
                  <c:v>50.619907899397809</c:v>
                </c:pt>
                <c:pt idx="1">
                  <c:v>38.876132930513599</c:v>
                </c:pt>
                <c:pt idx="2">
                  <c:v>40.430820215410108</c:v>
                </c:pt>
              </c:numCache>
            </c:numRef>
          </c:val>
          <c:extLst>
            <c:ext xmlns:c16="http://schemas.microsoft.com/office/drawing/2014/chart" uri="{C3380CC4-5D6E-409C-BE32-E72D297353CC}">
              <c16:uniqueId val="{00000003-4171-4264-BFB6-F58201D41ABB}"/>
            </c:ext>
          </c:extLst>
        </c:ser>
        <c:dLbls>
          <c:showLegendKey val="0"/>
          <c:showVal val="0"/>
          <c:showCatName val="0"/>
          <c:showSerName val="0"/>
          <c:showPercent val="0"/>
          <c:showBubbleSize val="0"/>
        </c:dLbls>
        <c:gapWidth val="219"/>
        <c:overlap val="-27"/>
        <c:axId val="431265552"/>
        <c:axId val="431265880"/>
      </c:barChart>
      <c:catAx>
        <c:axId val="431265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SV"/>
          </a:p>
        </c:txPr>
        <c:crossAx val="431265880"/>
        <c:crosses val="autoZero"/>
        <c:auto val="1"/>
        <c:lblAlgn val="ctr"/>
        <c:lblOffset val="100"/>
        <c:noMultiLvlLbl val="0"/>
      </c:catAx>
      <c:valAx>
        <c:axId val="4312658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SV"/>
          </a:p>
        </c:txPr>
        <c:crossAx val="43126555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SV"/>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SV"/>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SV"/>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SV"/>
              <a:t>Porcentaje de</a:t>
            </a:r>
            <a:r>
              <a:rPr lang="es-SV" baseline="0"/>
              <a:t> PC</a:t>
            </a:r>
            <a:r>
              <a:rPr lang="es-SV"/>
              <a:t> cubiertos por programas de prevención del VIH </a:t>
            </a:r>
          </a:p>
          <a:p>
            <a:pPr>
              <a:defRPr/>
            </a:pPr>
            <a:r>
              <a:rPr lang="es-SV"/>
              <a:t>(paquetes definidos de servicios)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SV"/>
        </a:p>
      </c:txPr>
    </c:title>
    <c:autoTitleDeleted val="0"/>
    <c:plotArea>
      <c:layout/>
      <c:barChart>
        <c:barDir val="col"/>
        <c:grouping val="clustered"/>
        <c:varyColors val="0"/>
        <c:ser>
          <c:idx val="0"/>
          <c:order val="0"/>
          <c:tx>
            <c:strRef>
              <c:f>Hoja1!$E$33</c:f>
              <c:strCache>
                <c:ptCount val="1"/>
                <c:pt idx="0">
                  <c:v>Meta </c:v>
                </c:pt>
              </c:strCache>
            </c:strRef>
          </c:tx>
          <c:spPr>
            <a:solidFill>
              <a:schemeClr val="accent2">
                <a:lumMod val="60000"/>
                <a:lumOff val="40000"/>
              </a:schemeClr>
            </a:solidFill>
            <a:ln>
              <a:noFill/>
            </a:ln>
            <a:effectLst/>
          </c:spPr>
          <c:invertIfNegative val="0"/>
          <c:cat>
            <c:strRef>
              <c:f>Hoja1!$F$32:$H$32</c:f>
              <c:strCache>
                <c:ptCount val="3"/>
                <c:pt idx="0">
                  <c:v>HSH</c:v>
                </c:pt>
                <c:pt idx="1">
                  <c:v>TS</c:v>
                </c:pt>
                <c:pt idx="2">
                  <c:v>MT</c:v>
                </c:pt>
              </c:strCache>
            </c:strRef>
          </c:cat>
          <c:val>
            <c:numRef>
              <c:f>Hoja1!$F$33:$H$33</c:f>
              <c:numCache>
                <c:formatCode>#,##0</c:formatCode>
                <c:ptCount val="3"/>
                <c:pt idx="0">
                  <c:v>27070</c:v>
                </c:pt>
                <c:pt idx="1">
                  <c:v>10644</c:v>
                </c:pt>
                <c:pt idx="2">
                  <c:v>1709</c:v>
                </c:pt>
              </c:numCache>
            </c:numRef>
          </c:val>
          <c:extLst>
            <c:ext xmlns:c16="http://schemas.microsoft.com/office/drawing/2014/chart" uri="{C3380CC4-5D6E-409C-BE32-E72D297353CC}">
              <c16:uniqueId val="{00000000-C70D-4B2D-9C87-AF4E8F0E3BFD}"/>
            </c:ext>
          </c:extLst>
        </c:ser>
        <c:ser>
          <c:idx val="1"/>
          <c:order val="1"/>
          <c:tx>
            <c:strRef>
              <c:f>Hoja1!$E$34</c:f>
              <c:strCache>
                <c:ptCount val="1"/>
                <c:pt idx="0">
                  <c:v>Logro </c:v>
                </c:pt>
              </c:strCache>
            </c:strRef>
          </c:tx>
          <c:spPr>
            <a:solidFill>
              <a:srgbClr val="FF0000"/>
            </a:solidFill>
            <a:ln>
              <a:noFill/>
            </a:ln>
            <a:effectLst/>
          </c:spPr>
          <c:invertIfNegative val="0"/>
          <c:cat>
            <c:strRef>
              <c:f>Hoja1!$F$32:$H$32</c:f>
              <c:strCache>
                <c:ptCount val="3"/>
                <c:pt idx="0">
                  <c:v>HSH</c:v>
                </c:pt>
                <c:pt idx="1">
                  <c:v>TS</c:v>
                </c:pt>
                <c:pt idx="2">
                  <c:v>MT</c:v>
                </c:pt>
              </c:strCache>
            </c:strRef>
          </c:cat>
          <c:val>
            <c:numRef>
              <c:f>Hoja1!$F$34:$H$34</c:f>
              <c:numCache>
                <c:formatCode>#,##0</c:formatCode>
                <c:ptCount val="3"/>
                <c:pt idx="0">
                  <c:v>11481</c:v>
                </c:pt>
                <c:pt idx="1">
                  <c:v>3831</c:v>
                </c:pt>
                <c:pt idx="2" formatCode="General">
                  <c:v>791</c:v>
                </c:pt>
              </c:numCache>
            </c:numRef>
          </c:val>
          <c:extLst>
            <c:ext xmlns:c16="http://schemas.microsoft.com/office/drawing/2014/chart" uri="{C3380CC4-5D6E-409C-BE32-E72D297353CC}">
              <c16:uniqueId val="{00000001-C70D-4B2D-9C87-AF4E8F0E3BFD}"/>
            </c:ext>
          </c:extLst>
        </c:ser>
        <c:ser>
          <c:idx val="2"/>
          <c:order val="2"/>
          <c:tx>
            <c:strRef>
              <c:f>Hoja1!$E$35</c:f>
              <c:strCache>
                <c:ptCount val="1"/>
                <c:pt idx="0">
                  <c:v>Porcentaje </c:v>
                </c:pt>
              </c:strCache>
            </c:strRef>
          </c:tx>
          <c:spPr>
            <a:solidFill>
              <a:schemeClr val="accent3"/>
            </a:solidFill>
            <a:ln>
              <a:noFill/>
            </a:ln>
            <a:effectLst/>
          </c:spPr>
          <c:invertIfNegative val="0"/>
          <c:cat>
            <c:strRef>
              <c:f>Hoja1!$F$32:$H$32</c:f>
              <c:strCache>
                <c:ptCount val="3"/>
                <c:pt idx="0">
                  <c:v>HSH</c:v>
                </c:pt>
                <c:pt idx="1">
                  <c:v>TS</c:v>
                </c:pt>
                <c:pt idx="2">
                  <c:v>MT</c:v>
                </c:pt>
              </c:strCache>
            </c:strRef>
          </c:cat>
          <c:val>
            <c:numRef>
              <c:f>Hoja1!$F$35:$H$35</c:f>
              <c:numCache>
                <c:formatCode>0.00</c:formatCode>
                <c:ptCount val="3"/>
                <c:pt idx="0">
                  <c:v>42.412264499445875</c:v>
                </c:pt>
                <c:pt idx="1">
                  <c:v>35.99210822998873</c:v>
                </c:pt>
                <c:pt idx="2">
                  <c:v>46.284376828554713</c:v>
                </c:pt>
              </c:numCache>
            </c:numRef>
          </c:val>
          <c:extLst>
            <c:ext xmlns:c16="http://schemas.microsoft.com/office/drawing/2014/chart" uri="{C3380CC4-5D6E-409C-BE32-E72D297353CC}">
              <c16:uniqueId val="{00000002-C70D-4B2D-9C87-AF4E8F0E3BFD}"/>
            </c:ext>
          </c:extLst>
        </c:ser>
        <c:dLbls>
          <c:showLegendKey val="0"/>
          <c:showVal val="0"/>
          <c:showCatName val="0"/>
          <c:showSerName val="0"/>
          <c:showPercent val="0"/>
          <c:showBubbleSize val="0"/>
        </c:dLbls>
        <c:gapWidth val="219"/>
        <c:overlap val="-27"/>
        <c:axId val="572637160"/>
        <c:axId val="572638144"/>
      </c:barChart>
      <c:catAx>
        <c:axId val="572637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SV"/>
          </a:p>
        </c:txPr>
        <c:crossAx val="572638144"/>
        <c:crosses val="autoZero"/>
        <c:auto val="1"/>
        <c:lblAlgn val="ctr"/>
        <c:lblOffset val="100"/>
        <c:noMultiLvlLbl val="0"/>
      </c:catAx>
      <c:valAx>
        <c:axId val="5726381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SV"/>
          </a:p>
        </c:txPr>
        <c:crossAx val="5726371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SV"/>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SV"/>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SV"/>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Financiamiento!$C$32</c:f>
              <c:strCache>
                <c:ptCount val="1"/>
                <c:pt idx="0">
                  <c:v>Presupuesto acumulado</c:v>
                </c:pt>
              </c:strCache>
            </c:strRef>
          </c:tx>
          <c:spPr>
            <a:solidFill>
              <a:srgbClr val="7030A0"/>
            </a:solidFill>
            <a:ln w="3175">
              <a:solidFill>
                <a:srgbClr val="000000"/>
              </a:solidFill>
              <a:prstDash val="solid"/>
            </a:ln>
          </c:spPr>
          <c:invertIfNegative val="0"/>
          <c:cat>
            <c:strRef>
              <c:f>'Introducción de datos'!$B$39:$B$47</c:f>
              <c:strCache>
                <c:ptCount val="9"/>
                <c:pt idx="0">
                  <c:v> GESTION DE PROGRAMAS </c:v>
                </c:pt>
                <c:pt idx="1">
                  <c:v> PROGRAMA DE PREVENCION INTEGRAL PARA HOMBRES QUE TIENEN RELACIONES SEXUALES CON HOMBRES </c:v>
                </c:pt>
                <c:pt idx="2">
                  <c:v> PROGRAMAS DE PREVENCION INTEGRAL PARA PERSONAS TRANSGENERO </c:v>
                </c:pt>
                <c:pt idx="3">
                  <c:v> PROGRAMAS DE PREVENCION INTEGRAL PARA TRABAJADORES DEL SEXO Y SUS CLIENTES </c:v>
                </c:pt>
                <c:pt idx="4">
                  <c:v> PROGRAMAS INTEGRALES PARA PERSONAS PRIVADAS DE LIBERTAD EN CENTROS PENITENCIARIOS Y OTROS LUGARES DE RECLUSION </c:v>
                </c:pt>
                <c:pt idx="5">
                  <c:v> PTMI </c:v>
                </c:pt>
                <c:pt idx="6">
                  <c:v> SSRS: SISTEMAS DE INFORMACION EN SALUD Y MONITOREO Y EVALUACION </c:v>
                </c:pt>
                <c:pt idx="7">
                  <c:v> TB/VIH </c:v>
                </c:pt>
                <c:pt idx="8">
                  <c:v> TRATAMIENTO, ATENCION Y APOYO </c:v>
                </c:pt>
              </c:strCache>
            </c:strRef>
          </c:cat>
          <c:val>
            <c:numRef>
              <c:f>'Introducción de datos'!$C$39:$C$47</c:f>
              <c:numCache>
                <c:formatCode>_(\$* #,##0.00_);_(\$* \(#,##0.00\);_(\$* \-??_);_(@_)</c:formatCode>
                <c:ptCount val="9"/>
                <c:pt idx="0">
                  <c:v>633746.77</c:v>
                </c:pt>
                <c:pt idx="1">
                  <c:v>1869219.4</c:v>
                </c:pt>
                <c:pt idx="2">
                  <c:v>115337.92</c:v>
                </c:pt>
                <c:pt idx="3">
                  <c:v>609151.27</c:v>
                </c:pt>
                <c:pt idx="4">
                  <c:v>157236.20000000001</c:v>
                </c:pt>
                <c:pt idx="5">
                  <c:v>117390</c:v>
                </c:pt>
                <c:pt idx="6">
                  <c:v>172865.71</c:v>
                </c:pt>
                <c:pt idx="7">
                  <c:v>9980</c:v>
                </c:pt>
                <c:pt idx="8">
                  <c:v>1466516.47</c:v>
                </c:pt>
              </c:numCache>
            </c:numRef>
          </c:val>
          <c:extLst>
            <c:ext xmlns:c16="http://schemas.microsoft.com/office/drawing/2014/chart" uri="{C3380CC4-5D6E-409C-BE32-E72D297353CC}">
              <c16:uniqueId val="{00000000-9624-4ABD-86F5-F61E6A5771AE}"/>
            </c:ext>
          </c:extLst>
        </c:ser>
        <c:ser>
          <c:idx val="1"/>
          <c:order val="1"/>
          <c:tx>
            <c:strRef>
              <c:f>Financiamiento!$C$33</c:f>
              <c:strCache>
                <c:ptCount val="1"/>
                <c:pt idx="0">
                  <c:v>Gastos acumulados</c:v>
                </c:pt>
              </c:strCache>
            </c:strRef>
          </c:tx>
          <c:spPr>
            <a:solidFill>
              <a:srgbClr val="FFC000"/>
            </a:solidFill>
            <a:ln w="3175">
              <a:solidFill>
                <a:srgbClr val="800000"/>
              </a:solidFill>
              <a:prstDash val="solid"/>
            </a:ln>
          </c:spPr>
          <c:invertIfNegative val="0"/>
          <c:dPt>
            <c:idx val="0"/>
            <c:invertIfNegative val="0"/>
            <c:bubble3D val="0"/>
            <c:extLst>
              <c:ext xmlns:c16="http://schemas.microsoft.com/office/drawing/2014/chart" uri="{C3380CC4-5D6E-409C-BE32-E72D297353CC}">
                <c16:uniqueId val="{0000000E-F1EC-4D4E-84FC-13E7C216135F}"/>
              </c:ext>
            </c:extLst>
          </c:dPt>
          <c:cat>
            <c:strRef>
              <c:f>'Introducción de datos'!$B$39:$B$47</c:f>
              <c:strCache>
                <c:ptCount val="9"/>
                <c:pt idx="0">
                  <c:v> GESTION DE PROGRAMAS </c:v>
                </c:pt>
                <c:pt idx="1">
                  <c:v> PROGRAMA DE PREVENCION INTEGRAL PARA HOMBRES QUE TIENEN RELACIONES SEXUALES CON HOMBRES </c:v>
                </c:pt>
                <c:pt idx="2">
                  <c:v> PROGRAMAS DE PREVENCION INTEGRAL PARA PERSONAS TRANSGENERO </c:v>
                </c:pt>
                <c:pt idx="3">
                  <c:v> PROGRAMAS DE PREVENCION INTEGRAL PARA TRABAJADORES DEL SEXO Y SUS CLIENTES </c:v>
                </c:pt>
                <c:pt idx="4">
                  <c:v> PROGRAMAS INTEGRALES PARA PERSONAS PRIVADAS DE LIBERTAD EN CENTROS PENITENCIARIOS Y OTROS LUGARES DE RECLUSION </c:v>
                </c:pt>
                <c:pt idx="5">
                  <c:v> PTMI </c:v>
                </c:pt>
                <c:pt idx="6">
                  <c:v> SSRS: SISTEMAS DE INFORMACION EN SALUD Y MONITOREO Y EVALUACION </c:v>
                </c:pt>
                <c:pt idx="7">
                  <c:v> TB/VIH </c:v>
                </c:pt>
                <c:pt idx="8">
                  <c:v> TRATAMIENTO, ATENCION Y APOYO </c:v>
                </c:pt>
              </c:strCache>
            </c:strRef>
          </c:cat>
          <c:val>
            <c:numRef>
              <c:f>'Introducción de datos'!$D$39:$D$47</c:f>
              <c:numCache>
                <c:formatCode>_(\$* #,##0.00_);_(\$* \(#,##0.00\);_(\$* \-??_);_(@_)</c:formatCode>
                <c:ptCount val="9"/>
                <c:pt idx="0">
                  <c:v>40995.259999999995</c:v>
                </c:pt>
                <c:pt idx="1">
                  <c:v>100759.03</c:v>
                </c:pt>
                <c:pt idx="2">
                  <c:v>3561.55</c:v>
                </c:pt>
                <c:pt idx="3">
                  <c:v>20477.36</c:v>
                </c:pt>
                <c:pt idx="4">
                  <c:v>0</c:v>
                </c:pt>
                <c:pt idx="5">
                  <c:v>0</c:v>
                </c:pt>
                <c:pt idx="6">
                  <c:v>5579.84</c:v>
                </c:pt>
                <c:pt idx="7">
                  <c:v>0</c:v>
                </c:pt>
                <c:pt idx="8">
                  <c:v>19092.810000000001</c:v>
                </c:pt>
              </c:numCache>
            </c:numRef>
          </c:val>
          <c:extLst>
            <c:ext xmlns:c16="http://schemas.microsoft.com/office/drawing/2014/chart" uri="{C3380CC4-5D6E-409C-BE32-E72D297353CC}">
              <c16:uniqueId val="{00000001-9624-4ABD-86F5-F61E6A5771AE}"/>
            </c:ext>
          </c:extLst>
        </c:ser>
        <c:dLbls>
          <c:showLegendKey val="0"/>
          <c:showVal val="0"/>
          <c:showCatName val="0"/>
          <c:showSerName val="0"/>
          <c:showPercent val="0"/>
          <c:showBubbleSize val="0"/>
        </c:dLbls>
        <c:gapWidth val="150"/>
        <c:axId val="501678776"/>
        <c:axId val="1"/>
      </c:barChart>
      <c:catAx>
        <c:axId val="5016787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a:pPr>
            <a:endParaRPr lang="es-SV"/>
          </a:p>
        </c:txPr>
        <c:crossAx val="1"/>
        <c:crossesAt val="0"/>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_(\$* #,##0.00_);_(\$* \(#,##0.00\);_(\$* \-??_);_(@_)" sourceLinked="0"/>
        <c:majorTickMark val="none"/>
        <c:minorTickMark val="none"/>
        <c:tickLblPos val="nextTo"/>
        <c:spPr>
          <a:ln w="3175">
            <a:solidFill>
              <a:srgbClr val="000000"/>
            </a:solidFill>
            <a:prstDash val="solid"/>
          </a:ln>
        </c:spPr>
        <c:txPr>
          <a:bodyPr rot="0" vert="horz"/>
          <a:lstStyle/>
          <a:p>
            <a:pPr>
              <a:defRPr sz="700" baseline="0"/>
            </a:pPr>
            <a:endParaRPr lang="es-SV"/>
          </a:p>
        </c:txPr>
        <c:crossAx val="501678776"/>
        <c:crossesAt val="1"/>
        <c:crossBetween val="between"/>
      </c:valAx>
      <c:dTable>
        <c:showHorzBorder val="1"/>
        <c:showVertBorder val="1"/>
        <c:showOutline val="1"/>
        <c:showKeys val="1"/>
        <c:txPr>
          <a:bodyPr/>
          <a:lstStyle/>
          <a:p>
            <a:pPr rtl="0">
              <a:defRPr sz="600" baseline="0"/>
            </a:pPr>
            <a:endParaRPr lang="es-SV"/>
          </a:p>
        </c:txPr>
      </c:dTable>
      <c:spPr>
        <a:noFill/>
        <a:ln w="25400">
          <a:noFill/>
        </a:ln>
      </c:spPr>
    </c:plotArea>
    <c:plotVisOnly val="1"/>
    <c:dispBlanksAs val="gap"/>
    <c:showDLblsOverMax val="0"/>
  </c:chart>
  <c:spPr>
    <a:noFill/>
    <a:ln w="6350">
      <a:noFill/>
    </a:ln>
  </c:spPr>
  <c:txPr>
    <a:bodyPr/>
    <a:lstStyle/>
    <a:p>
      <a:pPr>
        <a:defRPr sz="95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'Introducción de datos'!$B$31</c:f>
              <c:strCache>
                <c:ptCount val="1"/>
                <c:pt idx="0">
                  <c:v>Presupuesto (en $)</c:v>
                </c:pt>
              </c:strCache>
            </c:strRef>
          </c:tx>
          <c:spPr>
            <a:solidFill>
              <a:schemeClr val="accent1"/>
            </a:solidFill>
            <a:ln>
              <a:noFill/>
            </a:ln>
            <a:effectLst/>
          </c:spPr>
          <c:invertIfNegative val="0"/>
          <c:val>
            <c:numRef>
              <c:f>'Introducción de datos'!$C$31:$E$31</c:f>
              <c:numCache>
                <c:formatCode>\$#,##0.00</c:formatCode>
                <c:ptCount val="3"/>
                <c:pt idx="0" formatCode="\$#,##0">
                  <c:v>5151443.74</c:v>
                </c:pt>
              </c:numCache>
            </c:numRef>
          </c:val>
          <c:extLst>
            <c:ext xmlns:c16="http://schemas.microsoft.com/office/drawing/2014/chart" uri="{C3380CC4-5D6E-409C-BE32-E72D297353CC}">
              <c16:uniqueId val="{00000000-6358-4DCD-9DBF-2EC1CD1C0B19}"/>
            </c:ext>
          </c:extLst>
        </c:ser>
        <c:ser>
          <c:idx val="1"/>
          <c:order val="1"/>
          <c:tx>
            <c:strRef>
              <c:f>'Introducción de datos'!$B$32</c:f>
              <c:strCache>
                <c:ptCount val="1"/>
                <c:pt idx="0">
                  <c:v>Desembolsos por el Fondo Mundial (en $)</c:v>
                </c:pt>
              </c:strCache>
            </c:strRef>
          </c:tx>
          <c:spPr>
            <a:solidFill>
              <a:schemeClr val="accent2"/>
            </a:solidFill>
            <a:ln>
              <a:noFill/>
            </a:ln>
            <a:effectLst/>
          </c:spPr>
          <c:invertIfNegative val="0"/>
          <c:val>
            <c:numRef>
              <c:f>'Introducción de datos'!$C$32:$E$32</c:f>
              <c:numCache>
                <c:formatCode>\$#,##0.00</c:formatCode>
                <c:ptCount val="3"/>
                <c:pt idx="0" formatCode="\$#,##0">
                  <c:v>4086490</c:v>
                </c:pt>
              </c:numCache>
            </c:numRef>
          </c:val>
          <c:extLst>
            <c:ext xmlns:c16="http://schemas.microsoft.com/office/drawing/2014/chart" uri="{C3380CC4-5D6E-409C-BE32-E72D297353CC}">
              <c16:uniqueId val="{00000001-6358-4DCD-9DBF-2EC1CD1C0B19}"/>
            </c:ext>
          </c:extLst>
        </c:ser>
        <c:dLbls>
          <c:showLegendKey val="0"/>
          <c:showVal val="0"/>
          <c:showCatName val="0"/>
          <c:showSerName val="0"/>
          <c:showPercent val="0"/>
          <c:showBubbleSize val="0"/>
        </c:dLbls>
        <c:gapWidth val="150"/>
        <c:axId val="505751168"/>
        <c:axId val="505742968"/>
      </c:barChart>
      <c:catAx>
        <c:axId val="50575116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SV"/>
          </a:p>
        </c:txPr>
        <c:crossAx val="505742968"/>
        <c:crosses val="autoZero"/>
        <c:auto val="1"/>
        <c:lblAlgn val="ctr"/>
        <c:lblOffset val="100"/>
        <c:noMultiLvlLbl val="0"/>
      </c:catAx>
      <c:valAx>
        <c:axId val="505742968"/>
        <c:scaling>
          <c:orientation val="minMax"/>
        </c:scaling>
        <c:delete val="0"/>
        <c:axPos val="l"/>
        <c:majorGridlines>
          <c:spPr>
            <a:ln w="9525" cap="flat" cmpd="sng" algn="ctr">
              <a:solidFill>
                <a:schemeClr val="tx1">
                  <a:lumMod val="15000"/>
                  <a:lumOff val="85000"/>
                </a:schemeClr>
              </a:solidFill>
              <a:round/>
            </a:ln>
            <a:effectLst/>
          </c:spPr>
        </c:majorGridlines>
        <c:title>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SV"/>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SV"/>
          </a:p>
        </c:txPr>
        <c:crossAx val="50575116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SV"/>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SV"/>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9186535764376"/>
          <c:y val="0.34782608695652173"/>
          <c:w val="0.83870967741935487"/>
          <c:h val="0.43043478260869567"/>
        </c:manualLayout>
      </c:layout>
      <c:barChart>
        <c:barDir val="bar"/>
        <c:grouping val="percentStacked"/>
        <c:varyColors val="0"/>
        <c:ser>
          <c:idx val="0"/>
          <c:order val="0"/>
          <c:tx>
            <c:strRef>
              <c:f>'Introducción de datos'!$D$90</c:f>
              <c:strCache>
                <c:ptCount val="1"/>
                <c:pt idx="0">
                  <c:v> Cubiertos </c:v>
                </c:pt>
              </c:strCache>
            </c:strRef>
          </c:tx>
          <c:spPr>
            <a:solidFill>
              <a:srgbClr val="33CC33"/>
            </a:solidFill>
            <a:ln w="25400">
              <a:noFill/>
            </a:ln>
          </c:spPr>
          <c:invertIfNegative val="0"/>
          <c:dPt>
            <c:idx val="0"/>
            <c:invertIfNegative val="0"/>
            <c:bubble3D val="0"/>
            <c:spPr>
              <a:solidFill>
                <a:srgbClr val="99CC00"/>
              </a:solidFill>
              <a:ln w="25400">
                <a:noFill/>
              </a:ln>
            </c:spPr>
            <c:extLst>
              <c:ext xmlns:c16="http://schemas.microsoft.com/office/drawing/2014/chart" uri="{C3380CC4-5D6E-409C-BE32-E72D297353CC}">
                <c16:uniqueId val="{00000000-756C-4D59-9EC3-B6465365FE80}"/>
              </c:ext>
            </c:extLst>
          </c:dPt>
          <c:dLbls>
            <c:dLbl>
              <c:idx val="0"/>
              <c:numFmt formatCode="0%" sourceLinked="0"/>
              <c:spPr>
                <a:noFill/>
                <a:ln w="25400">
                  <a:noFill/>
                </a:ln>
              </c:spPr>
              <c:txPr>
                <a:bodyPr/>
                <a:lstStyle/>
                <a:p>
                  <a:pPr>
                    <a:defRPr sz="110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extLst>
                <c:ext xmlns:c16="http://schemas.microsoft.com/office/drawing/2014/chart" uri="{C3380CC4-5D6E-409C-BE32-E72D297353CC}">
                  <c16:uniqueId val="{00000000-756C-4D59-9EC3-B6465365FE80}"/>
                </c:ext>
              </c:extLst>
            </c:dLbl>
            <c:numFmt formatCode="0%" sourceLinked="0"/>
            <c:spPr>
              <a:noFill/>
              <a:ln w="25400">
                <a:noFill/>
              </a:ln>
            </c:spPr>
            <c:txPr>
              <a:bodyPr wrap="square" lIns="38100" tIns="19050" rIns="38100" bIns="19050" anchor="ctr">
                <a:spAutoFit/>
              </a:bodyPr>
              <a:lstStyle/>
              <a:p>
                <a:pPr>
                  <a:defRPr sz="110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datos'!$D$91</c:f>
              <c:numCache>
                <c:formatCode>General</c:formatCode>
                <c:ptCount val="1"/>
                <c:pt idx="0">
                  <c:v>0</c:v>
                </c:pt>
              </c:numCache>
            </c:numRef>
          </c:val>
          <c:extLst>
            <c:ext xmlns:c16="http://schemas.microsoft.com/office/drawing/2014/chart" uri="{C3380CC4-5D6E-409C-BE32-E72D297353CC}">
              <c16:uniqueId val="{00000001-756C-4D59-9EC3-B6465365FE80}"/>
            </c:ext>
          </c:extLst>
        </c:ser>
        <c:ser>
          <c:idx val="1"/>
          <c:order val="1"/>
          <c:tx>
            <c:strRef>
              <c:f>'Introducción de datos'!$E$90</c:f>
              <c:strCache>
                <c:ptCount val="1"/>
                <c:pt idx="0">
                  <c:v> Vacantes </c:v>
                </c:pt>
              </c:strCache>
            </c:strRef>
          </c:tx>
          <c:spPr>
            <a:solidFill>
              <a:srgbClr val="FF5050"/>
            </a:solidFill>
            <a:ln w="25400">
              <a:noFill/>
            </a:ln>
          </c:spPr>
          <c:invertIfNegative val="0"/>
          <c:dLbls>
            <c:dLbl>
              <c:idx val="0"/>
              <c:numFmt formatCode="0%" sourceLinked="0"/>
              <c:spPr>
                <a:noFill/>
                <a:ln w="25400">
                  <a:noFill/>
                </a:ln>
              </c:spPr>
              <c:txPr>
                <a:bodyPr/>
                <a:lstStyle/>
                <a:p>
                  <a:pPr>
                    <a:defRPr sz="105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extLst>
                <c:ext xmlns:c16="http://schemas.microsoft.com/office/drawing/2014/chart" uri="{C3380CC4-5D6E-409C-BE32-E72D297353CC}">
                  <c16:uniqueId val="{00000002-756C-4D59-9EC3-B6465365FE80}"/>
                </c:ext>
              </c:extLst>
            </c:dLbl>
            <c:numFmt formatCode="0%" sourceLinked="0"/>
            <c:spPr>
              <a:noFill/>
              <a:ln w="25400">
                <a:noFill/>
              </a:ln>
            </c:spPr>
            <c:txPr>
              <a:bodyPr wrap="square" lIns="38100" tIns="19050" rIns="38100" bIns="19050" anchor="ctr">
                <a:spAutoFit/>
              </a:bodyPr>
              <a:lstStyle/>
              <a:p>
                <a:pPr>
                  <a:defRPr sz="105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datos'!$E$91</c:f>
              <c:numCache>
                <c:formatCode>General</c:formatCode>
                <c:ptCount val="1"/>
                <c:pt idx="0">
                  <c:v>0</c:v>
                </c:pt>
              </c:numCache>
            </c:numRef>
          </c:val>
          <c:extLst>
            <c:ext xmlns:c16="http://schemas.microsoft.com/office/drawing/2014/chart" uri="{C3380CC4-5D6E-409C-BE32-E72D297353CC}">
              <c16:uniqueId val="{00000003-756C-4D59-9EC3-B6465365FE80}"/>
            </c:ext>
          </c:extLst>
        </c:ser>
        <c:dLbls>
          <c:showLegendKey val="0"/>
          <c:showVal val="0"/>
          <c:showCatName val="0"/>
          <c:showSerName val="0"/>
          <c:showPercent val="0"/>
          <c:showBubbleSize val="0"/>
        </c:dLbls>
        <c:gapWidth val="79"/>
        <c:overlap val="100"/>
        <c:axId val="501680744"/>
        <c:axId val="1"/>
      </c:barChart>
      <c:catAx>
        <c:axId val="501680744"/>
        <c:scaling>
          <c:orientation val="minMax"/>
        </c:scaling>
        <c:delete val="1"/>
        <c:axPos val="l"/>
        <c:majorTickMark val="out"/>
        <c:minorTickMark val="none"/>
        <c:tickLblPos val="nextTo"/>
        <c:crossAx val="1"/>
        <c:crossesAt val="0"/>
        <c:auto val="0"/>
        <c:lblAlgn val="ctr"/>
        <c:lblOffset val="100"/>
        <c:noMultiLvlLbl val="0"/>
      </c:catAx>
      <c:valAx>
        <c:axId val="1"/>
        <c:scaling>
          <c:orientation val="minMax"/>
        </c:scaling>
        <c:delete val="0"/>
        <c:axPos val="t"/>
        <c:majorGridlines>
          <c:spPr>
            <a:ln w="3175">
              <a:solidFill>
                <a:srgbClr val="808080"/>
              </a:solidFill>
              <a:prstDash val="solid"/>
            </a:ln>
          </c:spPr>
        </c:majorGridlines>
        <c:numFmt formatCode="0%" sourceLinked="0"/>
        <c:majorTickMark val="out"/>
        <c:minorTickMark val="none"/>
        <c:tickLblPos val="low"/>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s-SV"/>
          </a:p>
        </c:txPr>
        <c:crossAx val="501680744"/>
        <c:crosses val="max"/>
        <c:crossBetween val="between"/>
      </c:valAx>
      <c:spPr>
        <a:solidFill>
          <a:srgbClr val="FFFFFF"/>
        </a:solidFill>
        <a:ln w="25400">
          <a:noFill/>
        </a:ln>
      </c:spPr>
    </c:plotArea>
    <c:legend>
      <c:legendPos val="r"/>
      <c:layout>
        <c:manualLayout>
          <c:xMode val="edge"/>
          <c:yMode val="edge"/>
          <c:x val="0.26788218793828894"/>
          <c:y val="0.44782608695652176"/>
          <c:w val="0.43057503506311362"/>
          <c:h val="0.17391304347826086"/>
        </c:manualLayout>
      </c:layout>
      <c:overlay val="0"/>
      <c:spPr>
        <a:noFill/>
        <a:ln w="25400">
          <a:noFill/>
        </a:ln>
      </c:spPr>
      <c:txPr>
        <a:bodyPr/>
        <a:lstStyle/>
        <a:p>
          <a:pPr>
            <a:defRPr sz="500" b="0" i="0" u="none" strike="noStrike" baseline="0">
              <a:solidFill>
                <a:srgbClr val="000000"/>
              </a:solidFill>
              <a:latin typeface="Calibri"/>
              <a:ea typeface="Calibri"/>
              <a:cs typeface="Calibri"/>
            </a:defRPr>
          </a:pPr>
          <a:endParaRPr lang="es-SV"/>
        </a:p>
      </c:txPr>
    </c:legend>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60" b="0" i="0" u="none" strike="noStrike" baseline="0">
                <a:solidFill>
                  <a:srgbClr val="000000"/>
                </a:solidFill>
                <a:latin typeface="Arial"/>
                <a:ea typeface="Arial"/>
                <a:cs typeface="Arial"/>
              </a:defRPr>
            </a:pPr>
            <a:r>
              <a:rPr lang="es-SV"/>
              <a:t>Chart Title</a:t>
            </a:r>
          </a:p>
        </c:rich>
      </c:tx>
      <c:layout>
        <c:manualLayout>
          <c:xMode val="edge"/>
          <c:yMode val="edge"/>
          <c:x val="0.38479854605680536"/>
          <c:y val="0.26943073346101204"/>
        </c:manualLayout>
      </c:layout>
      <c:overlay val="0"/>
      <c:spPr>
        <a:noFill/>
        <a:ln w="25400">
          <a:noFill/>
        </a:ln>
      </c:spPr>
    </c:title>
    <c:autoTitleDeleted val="0"/>
    <c:plotArea>
      <c:layout>
        <c:manualLayout>
          <c:layoutTarget val="inner"/>
          <c:xMode val="edge"/>
          <c:yMode val="edge"/>
          <c:x val="0.23752996670173171"/>
          <c:y val="0.66839547339366445"/>
          <c:w val="0.72446639844028171"/>
          <c:h val="0.1917103295780278"/>
        </c:manualLayout>
      </c:layout>
      <c:barChart>
        <c:barDir val="col"/>
        <c:grouping val="clustered"/>
        <c:varyColors val="0"/>
        <c:ser>
          <c:idx val="0"/>
          <c:order val="0"/>
          <c:spPr>
            <a:solidFill>
              <a:srgbClr val="FFFFFF"/>
            </a:solidFill>
            <a:ln w="12700">
              <a:solidFill>
                <a:srgbClr val="000000"/>
              </a:solidFill>
              <a:prstDash val="solid"/>
            </a:ln>
          </c:spPr>
          <c:invertIfNegative val="0"/>
          <c:dLbls>
            <c:dLbl>
              <c:idx val="0"/>
              <c:spPr>
                <a:noFill/>
                <a:ln w="25400">
                  <a:noFill/>
                </a:ln>
              </c:spPr>
              <c:txPr>
                <a:bodyPr/>
                <a:lstStyle/>
                <a:p>
                  <a:pPr>
                    <a:defRPr sz="9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extLst>
                <c:ext xmlns:c16="http://schemas.microsoft.com/office/drawing/2014/chart" uri="{C3380CC4-5D6E-409C-BE32-E72D297353CC}">
                  <c16:uniqueId val="{00000000-5D7D-4AF7-89F0-529F3750A7F3}"/>
                </c:ext>
              </c:extLst>
            </c:dLbl>
            <c:numFmt formatCode="_(* #,##0.00_);_(* \(#,##0.00\);_(* \-??_);_(@_)" sourceLinked="0"/>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'Introducción de datos'!$C$95:$F$96</c:f>
              <c:multiLvlStrCache>
                <c:ptCount val="2"/>
                <c:lvl>
                  <c:pt idx="0">
                    <c:v> Firmados </c:v>
                  </c:pt>
                  <c:pt idx="1">
                    <c:v>N/A</c:v>
                  </c:pt>
                </c:lvl>
                <c:lvl>
                  <c:pt idx="0">
                    <c:v> Aprobados </c:v>
                  </c:pt>
                  <c:pt idx="1">
                    <c:v>N/A</c:v>
                  </c:pt>
                </c:lvl>
                <c:lvl>
                  <c:pt idx="0">
                    <c:v> Evaluados </c:v>
                  </c:pt>
                  <c:pt idx="1">
                    <c:v>N/A</c:v>
                  </c:pt>
                </c:lvl>
                <c:lvl>
                  <c:pt idx="0">
                    <c:v> Identificados </c:v>
                  </c:pt>
                  <c:pt idx="1">
                    <c:v>N/A</c:v>
                  </c:pt>
                </c:lvl>
              </c:multiLvlStrCache>
            </c:multiLvlStrRef>
          </c:cat>
          <c:val>
            <c:numRef>
              <c:f>'Introducción de datos'!$G$95:$G$96</c:f>
              <c:numCache>
                <c:formatCode>General</c:formatCode>
                <c:ptCount val="2"/>
                <c:pt idx="0" formatCode="_(* #,##0.00_);_(* \(#,##0.00\);_(* \-??_);_(@_)">
                  <c:v>0</c:v>
                </c:pt>
                <c:pt idx="1">
                  <c:v>0</c:v>
                </c:pt>
              </c:numCache>
            </c:numRef>
          </c:val>
          <c:extLst>
            <c:ext xmlns:c16="http://schemas.microsoft.com/office/drawing/2014/chart" uri="{C3380CC4-5D6E-409C-BE32-E72D297353CC}">
              <c16:uniqueId val="{00000001-5D7D-4AF7-89F0-529F3750A7F3}"/>
            </c:ext>
          </c:extLst>
        </c:ser>
        <c:dLbls>
          <c:showLegendKey val="0"/>
          <c:showVal val="0"/>
          <c:showCatName val="0"/>
          <c:showSerName val="0"/>
          <c:showPercent val="0"/>
          <c:showBubbleSize val="0"/>
        </c:dLbls>
        <c:gapWidth val="150"/>
        <c:overlap val="-20"/>
        <c:axId val="501677792"/>
        <c:axId val="1"/>
      </c:barChart>
      <c:catAx>
        <c:axId val="501677792"/>
        <c:scaling>
          <c:orientation val="minMax"/>
        </c:scaling>
        <c:delete val="0"/>
        <c:axPos val="b"/>
        <c:numFmt formatCode="General" sourceLinked="1"/>
        <c:majorTickMark val="none"/>
        <c:minorTickMark val="none"/>
        <c:tickLblPos val="none"/>
        <c:spPr>
          <a:ln w="3175">
            <a:solidFill>
              <a:srgbClr val="000000"/>
            </a:solidFill>
            <a:prstDash val="solid"/>
          </a:ln>
        </c:spPr>
        <c:crossAx val="1"/>
        <c:crossesAt val="0"/>
        <c:auto val="0"/>
        <c:lblAlgn val="ctr"/>
        <c:lblOffset val="100"/>
        <c:tickMarkSkip val="1"/>
        <c:noMultiLvlLbl val="0"/>
      </c:catAx>
      <c:valAx>
        <c:axId val="1"/>
        <c:scaling>
          <c:orientation val="minMax"/>
        </c:scaling>
        <c:delete val="0"/>
        <c:axPos val="l"/>
        <c:numFmt formatCode="_(* #,##0.00_);_(* \(#,##0.00\);_(* \-??_);_(@_)"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SV"/>
          </a:p>
        </c:txPr>
        <c:crossAx val="501677792"/>
        <c:crossesAt val="1"/>
        <c:crossBetween val="between"/>
      </c:valAx>
      <c:spPr>
        <a:noFill/>
        <a:ln w="25400">
          <a:noFill/>
        </a:ln>
      </c:spPr>
    </c:plotArea>
    <c:legend>
      <c:legendPos val="r"/>
      <c:layout>
        <c:manualLayout>
          <c:xMode val="edge"/>
          <c:yMode val="edge"/>
          <c:x val="1.1876498335086586E-2"/>
          <c:y val="0.69948363494685817"/>
          <c:w val="0.90498917313359784"/>
          <c:h val="8.8083124400715473E-2"/>
        </c:manualLayout>
      </c:layout>
      <c:overlay val="0"/>
      <c:spPr>
        <a:noFill/>
        <a:ln w="25400">
          <a:noFill/>
        </a:ln>
      </c:spPr>
      <c:txPr>
        <a:bodyPr/>
        <a:lstStyle/>
        <a:p>
          <a:pPr>
            <a:defRPr sz="335" b="0" i="0" u="none" strike="noStrike" baseline="0">
              <a:solidFill>
                <a:srgbClr val="000000"/>
              </a:solidFill>
              <a:latin typeface="Arial"/>
              <a:ea typeface="Arial"/>
              <a:cs typeface="Arial"/>
            </a:defRPr>
          </a:pPr>
          <a:endParaRPr lang="es-SV"/>
        </a:p>
      </c:txPr>
    </c:legend>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3099227122638415"/>
          <c:y val="0.33333559391000644"/>
          <c:w val="0.37603343721090238"/>
          <c:h val="0.37500254314875725"/>
        </c:manualLayout>
      </c:layout>
      <c:barChart>
        <c:barDir val="bar"/>
        <c:grouping val="percentStacked"/>
        <c:varyColors val="0"/>
        <c:ser>
          <c:idx val="0"/>
          <c:order val="0"/>
          <c:spPr>
            <a:solidFill>
              <a:srgbClr val="99CC00"/>
            </a:solidFill>
            <a:ln w="25400">
              <a:noFill/>
            </a:ln>
          </c:spPr>
          <c:invertIfNegative val="0"/>
          <c:dLbls>
            <c:numFmt formatCode="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'Introducción de datos'!$B$84:$B$85</c:f>
              <c:strCache>
                <c:ptCount val="2"/>
                <c:pt idx="0">
                  <c:v> Condiciones precedentes </c:v>
                </c:pt>
                <c:pt idx="1">
                  <c:v> Acciones con fecha límite </c:v>
                </c:pt>
              </c:strCache>
            </c:strRef>
          </c:cat>
          <c:val>
            <c:numRef>
              <c:f>'Introducción de datos'!$D$84:$D$85</c:f>
              <c:numCache>
                <c:formatCode>0</c:formatCode>
                <c:ptCount val="2"/>
                <c:pt idx="0">
                  <c:v>2</c:v>
                </c:pt>
                <c:pt idx="1">
                  <c:v>0</c:v>
                </c:pt>
              </c:numCache>
            </c:numRef>
          </c:val>
          <c:extLst>
            <c:ext xmlns:c16="http://schemas.microsoft.com/office/drawing/2014/chart" uri="{C3380CC4-5D6E-409C-BE32-E72D297353CC}">
              <c16:uniqueId val="{00000000-1071-4801-9C87-DD36AB6B99F4}"/>
            </c:ext>
          </c:extLst>
        </c:ser>
        <c:ser>
          <c:idx val="1"/>
          <c:order val="1"/>
          <c:spPr>
            <a:solidFill>
              <a:srgbClr val="FFFF99"/>
            </a:solidFill>
            <a:ln w="25400">
              <a:noFill/>
            </a:ln>
          </c:spPr>
          <c:invertIfNegative val="0"/>
          <c:dLbls>
            <c:numFmt formatCode="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'Introducción de datos'!$B$84:$B$85</c:f>
              <c:strCache>
                <c:ptCount val="2"/>
                <c:pt idx="0">
                  <c:v> Condiciones precedentes </c:v>
                </c:pt>
                <c:pt idx="1">
                  <c:v> Acciones con fecha límite </c:v>
                </c:pt>
              </c:strCache>
            </c:strRef>
          </c:cat>
          <c:val>
            <c:numRef>
              <c:f>'Introducción de datos'!$E$84:$E$85</c:f>
              <c:numCache>
                <c:formatCode>0</c:formatCode>
                <c:ptCount val="2"/>
                <c:pt idx="0">
                  <c:v>0</c:v>
                </c:pt>
                <c:pt idx="1">
                  <c:v>0</c:v>
                </c:pt>
              </c:numCache>
            </c:numRef>
          </c:val>
          <c:extLst>
            <c:ext xmlns:c16="http://schemas.microsoft.com/office/drawing/2014/chart" uri="{C3380CC4-5D6E-409C-BE32-E72D297353CC}">
              <c16:uniqueId val="{00000001-1071-4801-9C87-DD36AB6B99F4}"/>
            </c:ext>
          </c:extLst>
        </c:ser>
        <c:ser>
          <c:idx val="2"/>
          <c:order val="2"/>
          <c:spPr>
            <a:solidFill>
              <a:srgbClr val="FF5050"/>
            </a:solidFill>
            <a:ln w="25400">
              <a:noFill/>
            </a:ln>
          </c:spPr>
          <c:invertIfNegative val="0"/>
          <c:dLbls>
            <c:numFmt formatCode="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'Introducción de datos'!$B$84:$B$85</c:f>
              <c:strCache>
                <c:ptCount val="2"/>
                <c:pt idx="0">
                  <c:v> Condiciones precedentes </c:v>
                </c:pt>
                <c:pt idx="1">
                  <c:v> Acciones con fecha límite </c:v>
                </c:pt>
              </c:strCache>
            </c:strRef>
          </c:cat>
          <c:val>
            <c:numRef>
              <c:f>'Introducción de datos'!$F$84:$F$85</c:f>
              <c:numCache>
                <c:formatCode>0</c:formatCode>
                <c:ptCount val="2"/>
                <c:pt idx="0">
                  <c:v>0</c:v>
                </c:pt>
                <c:pt idx="1">
                  <c:v>0</c:v>
                </c:pt>
              </c:numCache>
            </c:numRef>
          </c:val>
          <c:extLst>
            <c:ext xmlns:c16="http://schemas.microsoft.com/office/drawing/2014/chart" uri="{C3380CC4-5D6E-409C-BE32-E72D297353CC}">
              <c16:uniqueId val="{00000002-1071-4801-9C87-DD36AB6B99F4}"/>
            </c:ext>
          </c:extLst>
        </c:ser>
        <c:dLbls>
          <c:showLegendKey val="0"/>
          <c:showVal val="0"/>
          <c:showCatName val="0"/>
          <c:showSerName val="0"/>
          <c:showPercent val="0"/>
          <c:showBubbleSize val="0"/>
        </c:dLbls>
        <c:gapWidth val="70"/>
        <c:overlap val="100"/>
        <c:axId val="501668608"/>
        <c:axId val="1"/>
      </c:barChart>
      <c:catAx>
        <c:axId val="50166860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SV"/>
          </a:p>
        </c:txPr>
        <c:crossAx val="1"/>
        <c:crossesAt val="0"/>
        <c:auto val="1"/>
        <c:lblAlgn val="ctr"/>
        <c:lblOffset val="100"/>
        <c:tickLblSkip val="1"/>
        <c:tickMarkSkip val="1"/>
        <c:noMultiLvlLbl val="0"/>
      </c:catAx>
      <c:valAx>
        <c:axId val="1"/>
        <c:scaling>
          <c:orientation val="minMax"/>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SV"/>
          </a:p>
        </c:txPr>
        <c:crossAx val="501668608"/>
        <c:crossesAt val="1"/>
        <c:crossBetween val="between"/>
      </c:valAx>
      <c:spPr>
        <a:noFill/>
        <a:ln w="25400">
          <a:noFill/>
        </a:ln>
      </c:spPr>
    </c:plotArea>
    <c:legend>
      <c:legendPos val="r"/>
      <c:layout>
        <c:manualLayout>
          <c:xMode val="edge"/>
          <c:yMode val="edge"/>
          <c:x val="1.0330588934365451E-2"/>
          <c:y val="0.45833644162625886"/>
          <c:w val="0.99173653769908321"/>
          <c:h val="0.16666779695500322"/>
        </c:manualLayout>
      </c:layout>
      <c:overlay val="0"/>
      <c:spPr>
        <a:noFill/>
        <a:ln w="25400">
          <a:noFill/>
        </a:ln>
      </c:spPr>
      <c:txPr>
        <a:bodyPr/>
        <a:lstStyle/>
        <a:p>
          <a:pPr>
            <a:defRPr sz="335" b="0" i="0" u="none" strike="noStrike" baseline="0">
              <a:solidFill>
                <a:srgbClr val="000000"/>
              </a:solidFill>
              <a:latin typeface="Arial"/>
              <a:ea typeface="Arial"/>
              <a:cs typeface="Arial"/>
            </a:defRPr>
          </a:pPr>
          <a:endParaRPr lang="es-SV"/>
        </a:p>
      </c:txPr>
    </c:legend>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113457123642399"/>
          <c:y val="0.29577600396128578"/>
          <c:w val="0.5684343742982082"/>
          <c:h val="0.45070629175053067"/>
        </c:manualLayout>
      </c:layout>
      <c:barChart>
        <c:barDir val="bar"/>
        <c:grouping val="percentStacked"/>
        <c:varyColors val="0"/>
        <c:ser>
          <c:idx val="0"/>
          <c:order val="0"/>
          <c:tx>
            <c:strRef>
              <c:f>'Introducción de datos'!$D$100</c:f>
              <c:strCache>
                <c:ptCount val="1"/>
                <c:pt idx="0">
                  <c:v> Recibidos </c:v>
                </c:pt>
              </c:strCache>
            </c:strRef>
          </c:tx>
          <c:spPr>
            <a:solidFill>
              <a:srgbClr val="99CC00"/>
            </a:solidFill>
            <a:ln w="25400">
              <a:noFill/>
            </a:ln>
          </c:spPr>
          <c:invertIfNegative val="0"/>
          <c:dLbls>
            <c:numFmt formatCode="0%" sourceLinked="0"/>
            <c:spPr>
              <a:noFill/>
              <a:ln w="25400">
                <a:noFill/>
              </a:ln>
            </c:spPr>
            <c:txPr>
              <a:bodyPr wrap="square" lIns="38100" tIns="19050" rIns="38100" bIns="19050" anchor="ctr">
                <a:spAutoFit/>
              </a:bodyPr>
              <a:lstStyle/>
              <a:p>
                <a:pPr>
                  <a:defRPr sz="110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'Introducción de datos'!$B$101:$B$102</c:f>
              <c:strCache>
                <c:ptCount val="2"/>
                <c:pt idx="0">
                  <c:v> Sub SR al SR </c:v>
                </c:pt>
                <c:pt idx="1">
                  <c:v> Personal Técnico al RP </c:v>
                </c:pt>
              </c:strCache>
            </c:strRef>
          </c:cat>
          <c:val>
            <c:numRef>
              <c:f>'Introducción de datos'!$D$101:$D$102</c:f>
              <c:numCache>
                <c:formatCode>0</c:formatCode>
                <c:ptCount val="2"/>
                <c:pt idx="0">
                  <c:v>2</c:v>
                </c:pt>
                <c:pt idx="1">
                  <c:v>0</c:v>
                </c:pt>
              </c:numCache>
            </c:numRef>
          </c:val>
          <c:extLst>
            <c:ext xmlns:c16="http://schemas.microsoft.com/office/drawing/2014/chart" uri="{C3380CC4-5D6E-409C-BE32-E72D297353CC}">
              <c16:uniqueId val="{00000000-AC8F-4981-B546-DB162DE43029}"/>
            </c:ext>
          </c:extLst>
        </c:ser>
        <c:ser>
          <c:idx val="1"/>
          <c:order val="1"/>
          <c:tx>
            <c:strRef>
              <c:f>'Introducción de datos'!$E$100</c:f>
              <c:strCache>
                <c:ptCount val="1"/>
                <c:pt idx="0">
                  <c:v> Pendientes </c:v>
                </c:pt>
              </c:strCache>
            </c:strRef>
          </c:tx>
          <c:spPr>
            <a:solidFill>
              <a:srgbClr val="FF5050"/>
            </a:solidFill>
            <a:ln w="25400">
              <a:noFill/>
            </a:ln>
          </c:spPr>
          <c:invertIfNegative val="0"/>
          <c:dLbls>
            <c:dLbl>
              <c:idx val="0"/>
              <c:spPr>
                <a:noFill/>
                <a:ln w="25400">
                  <a:noFill/>
                </a:ln>
              </c:spPr>
              <c:txPr>
                <a:bodyPr/>
                <a:lstStyle/>
                <a:p>
                  <a:pPr>
                    <a:defRPr sz="110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extLst>
                <c:ext xmlns:c16="http://schemas.microsoft.com/office/drawing/2014/chart" uri="{C3380CC4-5D6E-409C-BE32-E72D297353CC}">
                  <c16:uniqueId val="{00000001-AC8F-4981-B546-DB162DE43029}"/>
                </c:ext>
              </c:extLst>
            </c:dLbl>
            <c:dLbl>
              <c:idx val="1"/>
              <c:spPr>
                <a:noFill/>
                <a:ln w="25400">
                  <a:noFill/>
                </a:ln>
              </c:spPr>
              <c:txPr>
                <a:bodyPr/>
                <a:lstStyle/>
                <a:p>
                  <a:pPr>
                    <a:defRPr sz="110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extLst>
                <c:ext xmlns:c16="http://schemas.microsoft.com/office/drawing/2014/chart" uri="{C3380CC4-5D6E-409C-BE32-E72D297353CC}">
                  <c16:uniqueId val="{00000002-AC8F-4981-B546-DB162DE43029}"/>
                </c:ext>
              </c:extLst>
            </c:dLbl>
            <c:numFmt formatCode="0%" sourceLinked="0"/>
            <c:spPr>
              <a:noFill/>
              <a:ln w="25400">
                <a:noFill/>
              </a:ln>
            </c:spPr>
            <c:txPr>
              <a:bodyPr wrap="square" lIns="38100" tIns="19050" rIns="38100" bIns="19050" anchor="ctr">
                <a:spAutoFit/>
              </a:bodyPr>
              <a:lstStyle/>
              <a:p>
                <a:pPr>
                  <a:defRPr sz="1100" b="1" i="0" u="none" strike="noStrike" baseline="0">
                    <a:solidFill>
                      <a:srgbClr val="FFFFFF"/>
                    </a:solidFill>
                    <a:latin typeface="Calibri"/>
                    <a:ea typeface="Calibri"/>
                    <a:cs typeface="Calibri"/>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'Introducción de datos'!$B$101:$B$102</c:f>
              <c:strCache>
                <c:ptCount val="2"/>
                <c:pt idx="0">
                  <c:v> Sub SR al SR </c:v>
                </c:pt>
                <c:pt idx="1">
                  <c:v> Personal Técnico al RP </c:v>
                </c:pt>
              </c:strCache>
            </c:strRef>
          </c:cat>
          <c:val>
            <c:numRef>
              <c:f>'Introducción de datos'!$E$101:$E$102</c:f>
              <c:numCache>
                <c:formatCode>0</c:formatCode>
                <c:ptCount val="2"/>
                <c:pt idx="0">
                  <c:v>0</c:v>
                </c:pt>
                <c:pt idx="1">
                  <c:v>0</c:v>
                </c:pt>
              </c:numCache>
            </c:numRef>
          </c:val>
          <c:extLst>
            <c:ext xmlns:c16="http://schemas.microsoft.com/office/drawing/2014/chart" uri="{C3380CC4-5D6E-409C-BE32-E72D297353CC}">
              <c16:uniqueId val="{00000003-AC8F-4981-B546-DB162DE43029}"/>
            </c:ext>
          </c:extLst>
        </c:ser>
        <c:dLbls>
          <c:showLegendKey val="0"/>
          <c:showVal val="0"/>
          <c:showCatName val="0"/>
          <c:showSerName val="0"/>
          <c:showPercent val="0"/>
          <c:showBubbleSize val="0"/>
        </c:dLbls>
        <c:gapWidth val="79"/>
        <c:overlap val="100"/>
        <c:axId val="501667296"/>
        <c:axId val="1"/>
      </c:barChart>
      <c:catAx>
        <c:axId val="501667296"/>
        <c:scaling>
          <c:orientation val="minMax"/>
        </c:scaling>
        <c:delete val="0"/>
        <c:axPos val="l"/>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s-SV"/>
          </a:p>
        </c:txPr>
        <c:crossAx val="1"/>
        <c:crossesAt val="0"/>
        <c:auto val="1"/>
        <c:lblAlgn val="ctr"/>
        <c:lblOffset val="100"/>
        <c:tickLblSkip val="1"/>
        <c:tickMarkSkip val="1"/>
        <c:noMultiLvlLbl val="0"/>
      </c:catAx>
      <c:valAx>
        <c:axId val="1"/>
        <c:scaling>
          <c:orientation val="minMax"/>
        </c:scaling>
        <c:delete val="0"/>
        <c:axPos val="t"/>
        <c:majorGridlines>
          <c:spPr>
            <a:ln w="3175">
              <a:solidFill>
                <a:srgbClr val="808080"/>
              </a:solidFill>
              <a:prstDash val="solid"/>
            </a:ln>
          </c:spPr>
        </c:majorGridlines>
        <c:numFmt formatCode="0%" sourceLinked="0"/>
        <c:majorTickMark val="out"/>
        <c:minorTickMark val="none"/>
        <c:tickLblPos val="low"/>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s-SV"/>
          </a:p>
        </c:txPr>
        <c:crossAx val="501667296"/>
        <c:crosses val="max"/>
        <c:crossBetween val="between"/>
      </c:valAx>
      <c:spPr>
        <a:solidFill>
          <a:srgbClr val="FFFFFF"/>
        </a:solidFill>
        <a:ln w="25400">
          <a:noFill/>
        </a:ln>
      </c:spPr>
    </c:plotArea>
    <c:legend>
      <c:legendPos val="r"/>
      <c:layout>
        <c:manualLayout>
          <c:xMode val="edge"/>
          <c:yMode val="edge"/>
          <c:x val="0.36991390952161052"/>
          <c:y val="0.48357029219067355"/>
          <c:w val="0.30949463763308083"/>
          <c:h val="0.12206628734910206"/>
        </c:manualLayout>
      </c:layout>
      <c:overlay val="0"/>
      <c:spPr>
        <a:noFill/>
        <a:ln w="25400">
          <a:noFill/>
        </a:ln>
      </c:spPr>
      <c:txPr>
        <a:bodyPr/>
        <a:lstStyle/>
        <a:p>
          <a:pPr>
            <a:defRPr sz="500" b="0" i="0" u="none" strike="noStrike" baseline="0">
              <a:solidFill>
                <a:srgbClr val="000000"/>
              </a:solidFill>
              <a:latin typeface="Calibri"/>
              <a:ea typeface="Calibri"/>
              <a:cs typeface="Calibri"/>
            </a:defRPr>
          </a:pPr>
          <a:endParaRPr lang="es-SV"/>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755129698590658"/>
          <c:y val="0.26198123936270618"/>
          <c:w val="0.66734760378229008"/>
          <c:h val="0.49520844025877386"/>
        </c:manualLayout>
      </c:layout>
      <c:lineChart>
        <c:grouping val="standard"/>
        <c:varyColors val="0"/>
        <c:ser>
          <c:idx val="0"/>
          <c:order val="0"/>
          <c:tx>
            <c:v>PRESUPUESTO</c:v>
          </c:tx>
          <c:spPr>
            <a:ln w="22225" cap="rnd">
              <a:solidFill>
                <a:schemeClr val="accent6"/>
              </a:solidFill>
              <a:round/>
            </a:ln>
            <a:effectLst/>
          </c:spPr>
          <c:marker>
            <c:symbol val="diamond"/>
            <c:size val="6"/>
            <c:spPr>
              <a:solidFill>
                <a:schemeClr val="accent6"/>
              </a:solidFill>
              <a:ln w="9525">
                <a:solidFill>
                  <a:schemeClr val="accent6"/>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S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'Introducción de datos'!$C$110:$N$110</c:f>
              <c:numCache>
                <c:formatCode>\$#,##0.000</c:formatCode>
                <c:ptCount val="12"/>
                <c:pt idx="0">
                  <c:v>2260152.06</c:v>
                </c:pt>
              </c:numCache>
            </c:numRef>
          </c:val>
          <c:smooth val="0"/>
          <c:extLst>
            <c:ext xmlns:c16="http://schemas.microsoft.com/office/drawing/2014/chart" uri="{C3380CC4-5D6E-409C-BE32-E72D297353CC}">
              <c16:uniqueId val="{00000000-61A1-4BC3-B7A2-F13D603075D8}"/>
            </c:ext>
          </c:extLst>
        </c:ser>
        <c:ser>
          <c:idx val="1"/>
          <c:order val="1"/>
          <c:tx>
            <c:v>COMPROMISOS</c:v>
          </c:tx>
          <c:spPr>
            <a:ln w="22225" cap="rnd">
              <a:solidFill>
                <a:schemeClr val="accent5"/>
              </a:solidFill>
              <a:round/>
            </a:ln>
            <a:effectLst/>
          </c:spPr>
          <c:marker>
            <c:symbol val="square"/>
            <c:size val="6"/>
            <c:spPr>
              <a:solidFill>
                <a:schemeClr val="accent5"/>
              </a:solidFill>
              <a:ln w="9525">
                <a:solidFill>
                  <a:schemeClr val="accent5"/>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S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'Introducción de datos'!$C$111:$N$111</c:f>
              <c:numCache>
                <c:formatCode>\$#,##0.000</c:formatCode>
                <c:ptCount val="12"/>
                <c:pt idx="0">
                  <c:v>1886657.39</c:v>
                </c:pt>
              </c:numCache>
            </c:numRef>
          </c:val>
          <c:smooth val="0"/>
          <c:extLst>
            <c:ext xmlns:c16="http://schemas.microsoft.com/office/drawing/2014/chart" uri="{C3380CC4-5D6E-409C-BE32-E72D297353CC}">
              <c16:uniqueId val="{00000001-61A1-4BC3-B7A2-F13D603075D8}"/>
            </c:ext>
          </c:extLst>
        </c:ser>
        <c:ser>
          <c:idx val="2"/>
          <c:order val="2"/>
          <c:tx>
            <c:v>GASTOS</c:v>
          </c:tx>
          <c:spPr>
            <a:ln w="22225" cap="rnd">
              <a:solidFill>
                <a:schemeClr val="accent4"/>
              </a:solidFill>
              <a:round/>
            </a:ln>
            <a:effectLst/>
          </c:spPr>
          <c:marker>
            <c:symbol val="triangle"/>
            <c:size val="6"/>
            <c:spPr>
              <a:solidFill>
                <a:schemeClr val="accent4"/>
              </a:solidFill>
              <a:ln w="9525">
                <a:solidFill>
                  <a:schemeClr val="accent4"/>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SV"/>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'Introducción de datos'!$C$112:$N$112</c:f>
              <c:numCache>
                <c:formatCode>\$#,##0.000</c:formatCode>
                <c:ptCount val="12"/>
                <c:pt idx="0">
                  <c:v>0</c:v>
                </c:pt>
              </c:numCache>
            </c:numRef>
          </c:val>
          <c:smooth val="0"/>
          <c:extLst>
            <c:ext xmlns:c16="http://schemas.microsoft.com/office/drawing/2014/chart" uri="{C3380CC4-5D6E-409C-BE32-E72D297353CC}">
              <c16:uniqueId val="{00000002-61A1-4BC3-B7A2-F13D603075D8}"/>
            </c:ext>
          </c:extLst>
        </c:ser>
        <c:dLbls>
          <c:dLblPos val="ctr"/>
          <c:showLegendKey val="0"/>
          <c:showVal val="1"/>
          <c:showCatName val="0"/>
          <c:showSerName val="0"/>
          <c:showPercent val="0"/>
          <c:showBubbleSize val="0"/>
        </c:dLbls>
        <c:marker val="1"/>
        <c:smooth val="0"/>
        <c:axId val="501670904"/>
        <c:axId val="1"/>
      </c:lineChart>
      <c:catAx>
        <c:axId val="5016709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SV"/>
          </a:p>
        </c:txPr>
        <c:crossAx val="1"/>
        <c:crossesAt val="0"/>
        <c:auto val="1"/>
        <c:lblAlgn val="ctr"/>
        <c:lblOffset val="100"/>
        <c:tickLblSkip val="1"/>
        <c:tickMarkSkip val="1"/>
        <c:noMultiLvlLbl val="0"/>
      </c:catAx>
      <c:valAx>
        <c:axId val="1"/>
        <c:scaling>
          <c:orientation val="minMax"/>
        </c:scaling>
        <c:delete val="0"/>
        <c:axPos val="l"/>
        <c:numFmt formatCode="\$#,##0.000" sourceLinked="0"/>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SV"/>
          </a:p>
        </c:txPr>
        <c:crossAx val="501670904"/>
        <c:crossesAt val="1"/>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SV"/>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SV"/>
    </a:p>
  </c:txPr>
  <c:printSettings>
    <c:headerFooter alignWithMargins="0"/>
    <c:pageMargins b="1" l="0.75" r="0.75" t="1" header="0.51180555555555551" footer="0.51180555555555551"/>
    <c:pageSetup firstPageNumber="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113741221957599"/>
          <c:y val="0.30570025527307138"/>
          <c:w val="0.67347034648088222"/>
          <c:h val="0.4766851438156367"/>
        </c:manualLayout>
      </c:layout>
      <c:barChart>
        <c:barDir val="col"/>
        <c:grouping val="clustered"/>
        <c:varyColors val="0"/>
        <c:ser>
          <c:idx val="0"/>
          <c:order val="0"/>
          <c:spPr>
            <a:solidFill>
              <a:srgbClr val="0066CC"/>
            </a:solidFill>
            <a:ln w="25400">
              <a:noFill/>
            </a:ln>
          </c:spPr>
          <c:invertIfNegative val="0"/>
          <c:cat>
            <c:strRef>
              <c:f>'Introducción de datos'!$H$126:$S$126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'Introducción de datos'!$H$130:$S$130</c:f>
              <c:numCache>
                <c:formatCode>General</c:formatCode>
                <c:ptCount val="12"/>
                <c:pt idx="0" formatCode="#">
                  <c:v>19761</c:v>
                </c:pt>
              </c:numCache>
            </c:numRef>
          </c:val>
          <c:extLst>
            <c:ext xmlns:c16="http://schemas.microsoft.com/office/drawing/2014/chart" uri="{C3380CC4-5D6E-409C-BE32-E72D297353CC}">
              <c16:uniqueId val="{00000000-C830-4438-9E38-AAA5D7C377CB}"/>
            </c:ext>
          </c:extLst>
        </c:ser>
        <c:ser>
          <c:idx val="1"/>
          <c:order val="1"/>
          <c:spPr>
            <a:solidFill>
              <a:srgbClr val="00CCFF"/>
            </a:solidFill>
            <a:ln w="12700">
              <a:solidFill>
                <a:srgbClr val="000000"/>
              </a:solidFill>
              <a:prstDash val="solid"/>
            </a:ln>
          </c:spPr>
          <c:invertIfNegative val="0"/>
          <c:cat>
            <c:strRef>
              <c:f>'Introducción de datos'!$H$126:$S$126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'Introducción de datos'!$H$130:$S$130</c:f>
              <c:numCache>
                <c:formatCode>General</c:formatCode>
                <c:ptCount val="12"/>
                <c:pt idx="0" formatCode="#">
                  <c:v>19761</c:v>
                </c:pt>
              </c:numCache>
            </c:numRef>
          </c:val>
          <c:extLst>
            <c:ext xmlns:c16="http://schemas.microsoft.com/office/drawing/2014/chart" uri="{C3380CC4-5D6E-409C-BE32-E72D297353CC}">
              <c16:uniqueId val="{00000001-C830-4438-9E38-AAA5D7C377CB}"/>
            </c:ext>
          </c:extLst>
        </c:ser>
        <c:dLbls>
          <c:showLegendKey val="0"/>
          <c:showVal val="0"/>
          <c:showCatName val="0"/>
          <c:showSerName val="0"/>
          <c:showPercent val="0"/>
          <c:showBubbleSize val="0"/>
        </c:dLbls>
        <c:gapWidth val="150"/>
        <c:axId val="501674512"/>
        <c:axId val="1"/>
      </c:barChart>
      <c:catAx>
        <c:axId val="50167451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s-SV"/>
          </a:p>
        </c:txPr>
        <c:crossAx val="1"/>
        <c:crossesAt val="0"/>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s-SV"/>
          </a:p>
        </c:txPr>
        <c:crossAx val="501674512"/>
        <c:crossesAt val="1"/>
        <c:crossBetween val="between"/>
      </c:valAx>
      <c:spPr>
        <a:noFill/>
        <a:ln w="25400">
          <a:noFill/>
        </a:ln>
      </c:spPr>
    </c:plotArea>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Informaci&#243;n de la subvenci&#243;n'!A1"/><Relationship Id="rId13" Type="http://schemas.openxmlformats.org/officeDocument/2006/relationships/image" Target="../media/image5.png"/><Relationship Id="rId3" Type="http://schemas.openxmlformats.org/officeDocument/2006/relationships/hyperlink" Target="#Financiamiento!A1"/><Relationship Id="rId7" Type="http://schemas.openxmlformats.org/officeDocument/2006/relationships/hyperlink" Target="#Accione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endaciones!A1"/><Relationship Id="rId11" Type="http://schemas.openxmlformats.org/officeDocument/2006/relationships/image" Target="../media/image3.png"/><Relationship Id="rId5" Type="http://schemas.openxmlformats.org/officeDocument/2006/relationships/hyperlink" Target="#Gesti&#243;n!A1"/><Relationship Id="rId10" Type="http://schemas.openxmlformats.org/officeDocument/2006/relationships/hyperlink" Target="#'Introducci&#243;n de datos'!A1"/><Relationship Id="rId4" Type="http://schemas.openxmlformats.org/officeDocument/2006/relationships/hyperlink" Target="#Programatico!A1"/><Relationship Id="rId9" Type="http://schemas.openxmlformats.org/officeDocument/2006/relationships/hyperlink" Target="#'Lista de indicadores'!A1"/></Relationships>
</file>

<file path=xl/drawings/_rels/drawing10.xml.rels><?xml version="1.0" encoding="UTF-8" standalone="yes"?>
<Relationships xmlns="http://schemas.openxmlformats.org/package/2006/relationships"><Relationship Id="rId1" Type="http://schemas.openxmlformats.org/officeDocument/2006/relationships/image" Target="../media/image7.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hyperlink" Target="#Men&#250;!A1"/></Relationships>
</file>

<file path=xl/drawings/_rels/drawing3.xml.rels><?xml version="1.0" encoding="UTF-8" standalone="yes"?>
<Relationships xmlns="http://schemas.openxmlformats.org/package/2006/relationships"><Relationship Id="rId1" Type="http://schemas.openxmlformats.org/officeDocument/2006/relationships/hyperlink" Target="#Men&#250;!A1"/></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Men&#250;!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Men&#250;!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Men&#250;!A1"/><Relationship Id="rId5" Type="http://schemas.openxmlformats.org/officeDocument/2006/relationships/chart" Target="../charts/chart8.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hyperlink" Target="#Men&#250;!A1"/><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250;!A1"/></Relationships>
</file>

<file path=xl/drawings/_rels/drawing9.xml.rels><?xml version="1.0" encoding="UTF-8" standalone="yes"?>
<Relationships xmlns="http://schemas.openxmlformats.org/package/2006/relationships"><Relationship Id="rId1" Type="http://schemas.openxmlformats.org/officeDocument/2006/relationships/hyperlink" Target="#Men&#250;!A1"/></Relationships>
</file>

<file path=xl/drawings/drawing1.xml><?xml version="1.0" encoding="utf-8"?>
<xdr:wsDr xmlns:xdr="http://schemas.openxmlformats.org/drawingml/2006/spreadsheetDrawing" xmlns:a="http://schemas.openxmlformats.org/drawingml/2006/main">
  <xdr:twoCellAnchor>
    <xdr:from>
      <xdr:col>0</xdr:col>
      <xdr:colOff>38100</xdr:colOff>
      <xdr:row>4</xdr:row>
      <xdr:rowOff>142875</xdr:rowOff>
    </xdr:from>
    <xdr:to>
      <xdr:col>11</xdr:col>
      <xdr:colOff>533400</xdr:colOff>
      <xdr:row>19</xdr:row>
      <xdr:rowOff>104775</xdr:rowOff>
    </xdr:to>
    <xdr:pic>
      <xdr:nvPicPr>
        <xdr:cNvPr id="1025" name="Picture 2">
          <a:extLst>
            <a:ext uri="{FF2B5EF4-FFF2-40B4-BE49-F238E27FC236}">
              <a16:creationId xmlns:a16="http://schemas.microsoft.com/office/drawing/2014/main" id="{672A373C-5009-482F-AF28-D54EBE4A29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1351" t="36855" r="9529"/>
        <a:stretch>
          <a:fillRect/>
        </a:stretch>
      </xdr:blipFill>
      <xdr:spPr bwMode="auto">
        <a:xfrm>
          <a:off x="38100" y="1381125"/>
          <a:ext cx="6172200" cy="28194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l="31351" t="36855" r="9529"/>
                <a:stretch>
                  <a:fillRect/>
                </a:stretch>
              </a:blip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7</xdr:col>
      <xdr:colOff>552450</xdr:colOff>
      <xdr:row>7</xdr:row>
      <xdr:rowOff>47625</xdr:rowOff>
    </xdr:from>
    <xdr:to>
      <xdr:col>11</xdr:col>
      <xdr:colOff>447675</xdr:colOff>
      <xdr:row>18</xdr:row>
      <xdr:rowOff>142875</xdr:rowOff>
    </xdr:to>
    <xdr:pic>
      <xdr:nvPicPr>
        <xdr:cNvPr id="1026" name="Picture 824">
          <a:extLst>
            <a:ext uri="{FF2B5EF4-FFF2-40B4-BE49-F238E27FC236}">
              <a16:creationId xmlns:a16="http://schemas.microsoft.com/office/drawing/2014/main" id="{9D1EA309-DD90-41FD-8C23-794DD48533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0" y="1857375"/>
          <a:ext cx="1838325" cy="21907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4</xdr:col>
      <xdr:colOff>209550</xdr:colOff>
      <xdr:row>7</xdr:row>
      <xdr:rowOff>104775</xdr:rowOff>
    </xdr:from>
    <xdr:to>
      <xdr:col>7</xdr:col>
      <xdr:colOff>447675</xdr:colOff>
      <xdr:row>18</xdr:row>
      <xdr:rowOff>57150</xdr:rowOff>
    </xdr:to>
    <xdr:sp macro="" textlink="">
      <xdr:nvSpPr>
        <xdr:cNvPr id="1027" name="AutoShape 27">
          <a:extLst>
            <a:ext uri="{FF2B5EF4-FFF2-40B4-BE49-F238E27FC236}">
              <a16:creationId xmlns:a16="http://schemas.microsoft.com/office/drawing/2014/main" id="{24317B90-E28F-4B6B-873D-E9B2FEBD12B7}"/>
            </a:ext>
          </a:extLst>
        </xdr:cNvPr>
        <xdr:cNvSpPr>
          <a:spLocks noChangeArrowheads="1"/>
        </xdr:cNvSpPr>
      </xdr:nvSpPr>
      <xdr:spPr bwMode="auto">
        <a:xfrm>
          <a:off x="2114550" y="1914525"/>
          <a:ext cx="2066925" cy="2047875"/>
        </a:xfrm>
        <a:prstGeom prst="roundRect">
          <a:avLst>
            <a:gd name="adj" fmla="val 11921"/>
          </a:avLst>
        </a:prstGeom>
        <a:gradFill rotWithShape="0">
          <a:gsLst>
            <a:gs pos="0">
              <a:srgbClr val="B24B48"/>
            </a:gs>
            <a:gs pos="100000">
              <a:srgbClr val="D48886"/>
            </a:gs>
          </a:gsLst>
          <a:lin ang="5400000" scaled="1"/>
        </a:gradFill>
        <a:ln w="9360" cap="sq">
          <a:solidFill>
            <a:srgbClr val="FEFEFE"/>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228600</xdr:colOff>
      <xdr:row>10</xdr:row>
      <xdr:rowOff>47625</xdr:rowOff>
    </xdr:from>
    <xdr:to>
      <xdr:col>6</xdr:col>
      <xdr:colOff>476250</xdr:colOff>
      <xdr:row>12</xdr:row>
      <xdr:rowOff>19050</xdr:rowOff>
    </xdr:to>
    <xdr:sp macro="" textlink="">
      <xdr:nvSpPr>
        <xdr:cNvPr id="1028" name="AutoShape 26">
          <a:extLst>
            <a:ext uri="{FF2B5EF4-FFF2-40B4-BE49-F238E27FC236}">
              <a16:creationId xmlns:a16="http://schemas.microsoft.com/office/drawing/2014/main" id="{22B00AD0-5369-43E4-8EEF-9E51D187B19A}"/>
            </a:ext>
          </a:extLst>
        </xdr:cNvPr>
        <xdr:cNvSpPr>
          <a:spLocks noChangeArrowheads="1"/>
        </xdr:cNvSpPr>
      </xdr:nvSpPr>
      <xdr:spPr bwMode="auto">
        <a:xfrm>
          <a:off x="2743200" y="2428875"/>
          <a:ext cx="857250" cy="352425"/>
        </a:xfrm>
        <a:prstGeom prst="roundRect">
          <a:avLst>
            <a:gd name="adj" fmla="val 10889"/>
          </a:avLst>
        </a:prstGeom>
        <a:gradFill rotWithShape="0">
          <a:gsLst>
            <a:gs pos="0">
              <a:srgbClr val="EEEEEE"/>
            </a:gs>
            <a:gs pos="100000">
              <a:srgbClr val="DDDDDD"/>
            </a:gs>
          </a:gsLst>
          <a:lin ang="13500000" scaled="1"/>
        </a:gradFill>
        <a:ln w="9360" cap="sq">
          <a:solidFill>
            <a:srgbClr val="FFFFFF"/>
          </a:solidFill>
          <a:miter lim="800000"/>
          <a:headEnd/>
          <a:tailEnd/>
        </a:ln>
        <a:effectLst>
          <a:outerShdw dist="134956" dir="2927119" algn="ctr" rotWithShape="0">
            <a:srgbClr val="000000">
              <a:alpha val="50027"/>
            </a:srgbClr>
          </a:outerShdw>
        </a:effectLst>
      </xdr:spPr>
    </xdr:sp>
    <xdr:clientData/>
  </xdr:twoCellAnchor>
  <xdr:twoCellAnchor>
    <xdr:from>
      <xdr:col>5</xdr:col>
      <xdr:colOff>247650</xdr:colOff>
      <xdr:row>10</xdr:row>
      <xdr:rowOff>85725</xdr:rowOff>
    </xdr:from>
    <xdr:to>
      <xdr:col>6</xdr:col>
      <xdr:colOff>457200</xdr:colOff>
      <xdr:row>11</xdr:row>
      <xdr:rowOff>190500</xdr:rowOff>
    </xdr:to>
    <xdr:sp macro="" textlink="" fLocksText="0">
      <xdr:nvSpPr>
        <xdr:cNvPr id="1029" name="AutoShape 27">
          <a:hlinkClick xmlns:r="http://schemas.openxmlformats.org/officeDocument/2006/relationships" r:id="rId3"/>
          <a:extLst>
            <a:ext uri="{FF2B5EF4-FFF2-40B4-BE49-F238E27FC236}">
              <a16:creationId xmlns:a16="http://schemas.microsoft.com/office/drawing/2014/main" id="{8661A149-A88A-433D-9F32-C4121B46DAFB}"/>
            </a:ext>
          </a:extLst>
        </xdr:cNvPr>
        <xdr:cNvSpPr>
          <a:spLocks noChangeArrowheads="1"/>
        </xdr:cNvSpPr>
      </xdr:nvSpPr>
      <xdr:spPr bwMode="auto">
        <a:xfrm>
          <a:off x="2762250" y="2466975"/>
          <a:ext cx="819150" cy="295275"/>
        </a:xfrm>
        <a:prstGeom prst="roundRect">
          <a:avLst>
            <a:gd name="adj" fmla="val 11921"/>
          </a:avLst>
        </a:prstGeom>
        <a:gradFill rotWithShape="0">
          <a:gsLst>
            <a:gs pos="0">
              <a:srgbClr val="863836"/>
            </a:gs>
            <a:gs pos="100000">
              <a:srgbClr val="C0504D"/>
            </a:gs>
          </a:gsLst>
          <a:lin ang="5400000" scaled="1"/>
        </a:gradFill>
        <a:ln w="9360" cap="sq">
          <a:solidFill>
            <a:srgbClr val="FEFEFE"/>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ctr" rtl="0">
            <a:defRPr sz="1000"/>
          </a:pPr>
          <a:r>
            <a:rPr lang="es-SV" sz="1000" b="0" i="0" u="none" strike="noStrike" baseline="0">
              <a:solidFill>
                <a:srgbClr val="FFFFFF"/>
              </a:solidFill>
              <a:latin typeface="Arial"/>
              <a:cs typeface="Arial"/>
            </a:rPr>
            <a:t>Financieros</a:t>
          </a:r>
        </a:p>
      </xdr:txBody>
    </xdr:sp>
    <xdr:clientData/>
  </xdr:twoCellAnchor>
  <xdr:twoCellAnchor>
    <xdr:from>
      <xdr:col>5</xdr:col>
      <xdr:colOff>247650</xdr:colOff>
      <xdr:row>10</xdr:row>
      <xdr:rowOff>95250</xdr:rowOff>
    </xdr:from>
    <xdr:to>
      <xdr:col>5</xdr:col>
      <xdr:colOff>333375</xdr:colOff>
      <xdr:row>11</xdr:row>
      <xdr:rowOff>57150</xdr:rowOff>
    </xdr:to>
    <xdr:sp macro="" textlink="">
      <xdr:nvSpPr>
        <xdr:cNvPr id="1030" name="Freeform 28">
          <a:extLst>
            <a:ext uri="{FF2B5EF4-FFF2-40B4-BE49-F238E27FC236}">
              <a16:creationId xmlns:a16="http://schemas.microsoft.com/office/drawing/2014/main" id="{BA21528D-FC1A-4776-986E-A84D810D6700}"/>
            </a:ext>
          </a:extLst>
        </xdr:cNvPr>
        <xdr:cNvSpPr>
          <a:spLocks noChangeArrowheads="1"/>
        </xdr:cNvSpPr>
      </xdr:nvSpPr>
      <xdr:spPr bwMode="auto">
        <a:xfrm>
          <a:off x="2762250" y="2476500"/>
          <a:ext cx="85725" cy="152400"/>
        </a:xfrm>
        <a:custGeom>
          <a:avLst/>
          <a:gdLst>
            <a:gd name="G0" fmla="+- 1 0 0"/>
            <a:gd name="G1" fmla="+- 65471 0 0"/>
            <a:gd name="G2" fmla="+- 18 0 0"/>
            <a:gd name="G3" fmla="*/ 1 37971 25600"/>
            <a:gd name="G4" fmla="+- 1 0 0"/>
            <a:gd name="G5" fmla="+- 1 0 0"/>
            <a:gd name="G6" fmla="*/ 1 60299 5120"/>
            <a:gd name="G7" fmla="*/ 1 13931 55552"/>
            <a:gd name="G8" fmla="*/ G7 1 180"/>
            <a:gd name="G9" fmla="*/ G6 1 G8"/>
            <a:gd name="G10" fmla="+- 1 0 0"/>
            <a:gd name="G11" fmla="*/ 1 12633 8192"/>
            <a:gd name="G12" fmla="*/ 1 5237 5120"/>
            <a:gd name="G13" fmla="*/ 1 13931 55552"/>
            <a:gd name="G14" fmla="*/ G13 1 180"/>
            <a:gd name="G15" fmla="*/ G12 1 G14"/>
            <a:gd name="G16" fmla="+- 1 0 0"/>
            <a:gd name="G17" fmla="+- 1 0 0"/>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w 596"/>
            <a:gd name="T13" fmla="*/ 0 h 598"/>
            <a:gd name="T14" fmla="*/ 596 w 596"/>
            <a:gd name="T15" fmla="*/ 598 h 598"/>
          </a:gdLst>
          <a:ahLst/>
          <a:cxnLst>
            <a:cxn ang="0">
              <a:pos x="T0" y="T1"/>
            </a:cxn>
            <a:cxn ang="0">
              <a:pos x="T2" y="T3"/>
            </a:cxn>
            <a:cxn ang="0">
              <a:pos x="T4" y="T5"/>
            </a:cxn>
            <a:cxn ang="0">
              <a:pos x="T6" y="T7"/>
            </a:cxn>
            <a:cxn ang="0">
              <a:pos x="T8" y="T9"/>
            </a:cxn>
            <a:cxn ang="0">
              <a:pos x="T10" y="T11"/>
            </a:cxn>
          </a:cxnLst>
          <a:rect l="T12" t="T13" r="T14" b="T15"/>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DDA09E"/>
            </a:gs>
            <a:gs pos="50000">
              <a:srgbClr val="C0504D"/>
            </a:gs>
            <a:gs pos="100000">
              <a:srgbClr val="DDA09E"/>
            </a:gs>
          </a:gsLst>
          <a:lin ang="13500000" scaled="1"/>
        </a:gra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247650</xdr:colOff>
      <xdr:row>15</xdr:row>
      <xdr:rowOff>171450</xdr:rowOff>
    </xdr:from>
    <xdr:to>
      <xdr:col>6</xdr:col>
      <xdr:colOff>485775</xdr:colOff>
      <xdr:row>17</xdr:row>
      <xdr:rowOff>152400</xdr:rowOff>
    </xdr:to>
    <xdr:sp macro="" textlink="">
      <xdr:nvSpPr>
        <xdr:cNvPr id="1031" name="AutoShape 26">
          <a:extLst>
            <a:ext uri="{FF2B5EF4-FFF2-40B4-BE49-F238E27FC236}">
              <a16:creationId xmlns:a16="http://schemas.microsoft.com/office/drawing/2014/main" id="{DAD2E77A-E967-4AF8-85A2-9836D43D7617}"/>
            </a:ext>
          </a:extLst>
        </xdr:cNvPr>
        <xdr:cNvSpPr>
          <a:spLocks noChangeArrowheads="1"/>
        </xdr:cNvSpPr>
      </xdr:nvSpPr>
      <xdr:spPr bwMode="auto">
        <a:xfrm>
          <a:off x="2762250" y="3505200"/>
          <a:ext cx="847725" cy="361950"/>
        </a:xfrm>
        <a:prstGeom prst="roundRect">
          <a:avLst>
            <a:gd name="adj" fmla="val 10889"/>
          </a:avLst>
        </a:prstGeom>
        <a:gradFill rotWithShape="0">
          <a:gsLst>
            <a:gs pos="0">
              <a:srgbClr val="EEEEEE"/>
            </a:gs>
            <a:gs pos="100000">
              <a:srgbClr val="DDDDDD"/>
            </a:gs>
          </a:gsLst>
          <a:lin ang="13500000" scaled="1"/>
        </a:gradFill>
        <a:ln w="9360" cap="sq">
          <a:solidFill>
            <a:srgbClr val="FFFFFF"/>
          </a:solidFill>
          <a:miter lim="800000"/>
          <a:headEnd/>
          <a:tailEnd/>
        </a:ln>
        <a:effectLst>
          <a:outerShdw dist="134956" dir="2927119" algn="ctr" rotWithShape="0">
            <a:srgbClr val="000000">
              <a:alpha val="50027"/>
            </a:srgbClr>
          </a:outerShdw>
        </a:effectLst>
      </xdr:spPr>
    </xdr:sp>
    <xdr:clientData/>
  </xdr:twoCellAnchor>
  <xdr:twoCellAnchor>
    <xdr:from>
      <xdr:col>5</xdr:col>
      <xdr:colOff>266700</xdr:colOff>
      <xdr:row>16</xdr:row>
      <xdr:rowOff>19050</xdr:rowOff>
    </xdr:from>
    <xdr:to>
      <xdr:col>6</xdr:col>
      <xdr:colOff>476250</xdr:colOff>
      <xdr:row>17</xdr:row>
      <xdr:rowOff>104775</xdr:rowOff>
    </xdr:to>
    <xdr:sp macro="" textlink="" fLocksText="0">
      <xdr:nvSpPr>
        <xdr:cNvPr id="1032" name="AutoShape 27">
          <a:hlinkClick xmlns:r="http://schemas.openxmlformats.org/officeDocument/2006/relationships" r:id="rId4"/>
          <a:extLst>
            <a:ext uri="{FF2B5EF4-FFF2-40B4-BE49-F238E27FC236}">
              <a16:creationId xmlns:a16="http://schemas.microsoft.com/office/drawing/2014/main" id="{C8D09D2E-B4DF-4B91-BE27-8E25AAC8299D}"/>
            </a:ext>
          </a:extLst>
        </xdr:cNvPr>
        <xdr:cNvSpPr>
          <a:spLocks noChangeArrowheads="1"/>
        </xdr:cNvSpPr>
      </xdr:nvSpPr>
      <xdr:spPr bwMode="auto">
        <a:xfrm>
          <a:off x="2781300" y="3543300"/>
          <a:ext cx="819150" cy="276225"/>
        </a:xfrm>
        <a:prstGeom prst="roundRect">
          <a:avLst>
            <a:gd name="adj" fmla="val 11921"/>
          </a:avLst>
        </a:prstGeom>
        <a:gradFill rotWithShape="0">
          <a:gsLst>
            <a:gs pos="0">
              <a:srgbClr val="863836"/>
            </a:gs>
            <a:gs pos="100000">
              <a:srgbClr val="C0504D"/>
            </a:gs>
          </a:gsLst>
          <a:lin ang="5400000" scaled="1"/>
        </a:gradFill>
        <a:ln w="9360" cap="sq">
          <a:solidFill>
            <a:srgbClr val="FEFEFE"/>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ctr" rtl="0">
            <a:defRPr sz="1000"/>
          </a:pPr>
          <a:r>
            <a:rPr lang="es-SV" sz="1000" b="0" i="0" u="none" strike="noStrike" baseline="0">
              <a:solidFill>
                <a:srgbClr val="FFFFFF"/>
              </a:solidFill>
              <a:latin typeface="Arial"/>
              <a:cs typeface="Arial"/>
            </a:rPr>
            <a:t>Programáticos</a:t>
          </a:r>
        </a:p>
      </xdr:txBody>
    </xdr:sp>
    <xdr:clientData/>
  </xdr:twoCellAnchor>
  <xdr:twoCellAnchor>
    <xdr:from>
      <xdr:col>5</xdr:col>
      <xdr:colOff>285750</xdr:colOff>
      <xdr:row>16</xdr:row>
      <xdr:rowOff>28575</xdr:rowOff>
    </xdr:from>
    <xdr:to>
      <xdr:col>5</xdr:col>
      <xdr:colOff>381000</xdr:colOff>
      <xdr:row>16</xdr:row>
      <xdr:rowOff>180975</xdr:rowOff>
    </xdr:to>
    <xdr:sp macro="" textlink="">
      <xdr:nvSpPr>
        <xdr:cNvPr id="1033" name="Freeform 28">
          <a:extLst>
            <a:ext uri="{FF2B5EF4-FFF2-40B4-BE49-F238E27FC236}">
              <a16:creationId xmlns:a16="http://schemas.microsoft.com/office/drawing/2014/main" id="{5B7510E8-7994-4F51-B30D-A879150BA55F}"/>
            </a:ext>
          </a:extLst>
        </xdr:cNvPr>
        <xdr:cNvSpPr>
          <a:spLocks noChangeArrowheads="1"/>
        </xdr:cNvSpPr>
      </xdr:nvSpPr>
      <xdr:spPr bwMode="auto">
        <a:xfrm>
          <a:off x="2800350" y="3552825"/>
          <a:ext cx="95250" cy="152400"/>
        </a:xfrm>
        <a:custGeom>
          <a:avLst/>
          <a:gdLst>
            <a:gd name="G0" fmla="+- 1 0 0"/>
            <a:gd name="G1" fmla="+- 65471 0 0"/>
            <a:gd name="G2" fmla="+- 18 0 0"/>
            <a:gd name="G3" fmla="*/ 1 37971 25600"/>
            <a:gd name="G4" fmla="+- 1 0 0"/>
            <a:gd name="G5" fmla="+- 1 0 0"/>
            <a:gd name="G6" fmla="*/ 1 60299 5120"/>
            <a:gd name="G7" fmla="*/ 1 13931 55552"/>
            <a:gd name="G8" fmla="*/ G7 1 180"/>
            <a:gd name="G9" fmla="*/ G6 1 G8"/>
            <a:gd name="G10" fmla="+- 1 0 0"/>
            <a:gd name="G11" fmla="*/ 1 12633 8192"/>
            <a:gd name="G12" fmla="*/ 1 5237 5120"/>
            <a:gd name="G13" fmla="*/ 1 13931 55552"/>
            <a:gd name="G14" fmla="*/ G13 1 180"/>
            <a:gd name="G15" fmla="*/ G12 1 G14"/>
            <a:gd name="G16" fmla="+- 1 0 0"/>
            <a:gd name="G17" fmla="+- 1 0 0"/>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w 596"/>
            <a:gd name="T13" fmla="*/ 0 h 598"/>
            <a:gd name="T14" fmla="*/ 596 w 596"/>
            <a:gd name="T15" fmla="*/ 598 h 598"/>
          </a:gdLst>
          <a:ahLst/>
          <a:cxnLst>
            <a:cxn ang="0">
              <a:pos x="T0" y="T1"/>
            </a:cxn>
            <a:cxn ang="0">
              <a:pos x="T2" y="T3"/>
            </a:cxn>
            <a:cxn ang="0">
              <a:pos x="T4" y="T5"/>
            </a:cxn>
            <a:cxn ang="0">
              <a:pos x="T6" y="T7"/>
            </a:cxn>
            <a:cxn ang="0">
              <a:pos x="T8" y="T9"/>
            </a:cxn>
            <a:cxn ang="0">
              <a:pos x="T10" y="T11"/>
            </a:cxn>
          </a:cxnLst>
          <a:rect l="T12" t="T13" r="T14" b="T15"/>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DDA09E"/>
            </a:gs>
            <a:gs pos="50000">
              <a:srgbClr val="C0504D"/>
            </a:gs>
            <a:gs pos="100000">
              <a:srgbClr val="DDA09E"/>
            </a:gs>
          </a:gsLst>
          <a:lin ang="13500000" scaled="1"/>
        </a:gra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228600</xdr:colOff>
      <xdr:row>13</xdr:row>
      <xdr:rowOff>9525</xdr:rowOff>
    </xdr:from>
    <xdr:to>
      <xdr:col>6</xdr:col>
      <xdr:colOff>476250</xdr:colOff>
      <xdr:row>14</xdr:row>
      <xdr:rowOff>180975</xdr:rowOff>
    </xdr:to>
    <xdr:sp macro="" textlink="">
      <xdr:nvSpPr>
        <xdr:cNvPr id="1034" name="AutoShape 26">
          <a:extLst>
            <a:ext uri="{FF2B5EF4-FFF2-40B4-BE49-F238E27FC236}">
              <a16:creationId xmlns:a16="http://schemas.microsoft.com/office/drawing/2014/main" id="{E3EBB599-6B6F-4774-90F7-E1AD7F652278}"/>
            </a:ext>
          </a:extLst>
        </xdr:cNvPr>
        <xdr:cNvSpPr>
          <a:spLocks noChangeArrowheads="1"/>
        </xdr:cNvSpPr>
      </xdr:nvSpPr>
      <xdr:spPr bwMode="auto">
        <a:xfrm>
          <a:off x="2743200" y="2962275"/>
          <a:ext cx="857250" cy="361950"/>
        </a:xfrm>
        <a:prstGeom prst="roundRect">
          <a:avLst>
            <a:gd name="adj" fmla="val 10889"/>
          </a:avLst>
        </a:prstGeom>
        <a:gradFill rotWithShape="0">
          <a:gsLst>
            <a:gs pos="0">
              <a:srgbClr val="EEEEEE"/>
            </a:gs>
            <a:gs pos="100000">
              <a:srgbClr val="DDDDDD"/>
            </a:gs>
          </a:gsLst>
          <a:lin ang="13500000" scaled="1"/>
        </a:gradFill>
        <a:ln w="9360" cap="sq">
          <a:solidFill>
            <a:srgbClr val="FFFFFF"/>
          </a:solidFill>
          <a:miter lim="800000"/>
          <a:headEnd/>
          <a:tailEnd/>
        </a:ln>
        <a:effectLst>
          <a:outerShdw dist="134956" dir="2927119" algn="ctr" rotWithShape="0">
            <a:srgbClr val="000000">
              <a:alpha val="50027"/>
            </a:srgbClr>
          </a:outerShdw>
        </a:effectLst>
      </xdr:spPr>
    </xdr:sp>
    <xdr:clientData/>
  </xdr:twoCellAnchor>
  <xdr:twoCellAnchor>
    <xdr:from>
      <xdr:col>5</xdr:col>
      <xdr:colOff>247650</xdr:colOff>
      <xdr:row>13</xdr:row>
      <xdr:rowOff>47625</xdr:rowOff>
    </xdr:from>
    <xdr:to>
      <xdr:col>6</xdr:col>
      <xdr:colOff>457200</xdr:colOff>
      <xdr:row>14</xdr:row>
      <xdr:rowOff>152400</xdr:rowOff>
    </xdr:to>
    <xdr:sp macro="" textlink="" fLocksText="0">
      <xdr:nvSpPr>
        <xdr:cNvPr id="1035" name="AutoShape 27">
          <a:hlinkClick xmlns:r="http://schemas.openxmlformats.org/officeDocument/2006/relationships" r:id="rId5"/>
          <a:extLst>
            <a:ext uri="{FF2B5EF4-FFF2-40B4-BE49-F238E27FC236}">
              <a16:creationId xmlns:a16="http://schemas.microsoft.com/office/drawing/2014/main" id="{78A0D831-976F-40F6-BF35-BD09BFD7A851}"/>
            </a:ext>
          </a:extLst>
        </xdr:cNvPr>
        <xdr:cNvSpPr>
          <a:spLocks noChangeArrowheads="1"/>
        </xdr:cNvSpPr>
      </xdr:nvSpPr>
      <xdr:spPr bwMode="auto">
        <a:xfrm>
          <a:off x="2762250" y="3000375"/>
          <a:ext cx="819150" cy="295275"/>
        </a:xfrm>
        <a:prstGeom prst="roundRect">
          <a:avLst>
            <a:gd name="adj" fmla="val 11921"/>
          </a:avLst>
        </a:prstGeom>
        <a:gradFill rotWithShape="0">
          <a:gsLst>
            <a:gs pos="0">
              <a:srgbClr val="863836"/>
            </a:gs>
            <a:gs pos="100000">
              <a:srgbClr val="C0504D"/>
            </a:gs>
          </a:gsLst>
          <a:lin ang="5400000" scaled="1"/>
        </a:gradFill>
        <a:ln w="9360" cap="sq">
          <a:solidFill>
            <a:srgbClr val="FEFEFE"/>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000" tIns="46800" rIns="18000" bIns="46800" anchor="ctr"/>
        <a:lstStyle/>
        <a:p>
          <a:pPr algn="ctr" rtl="0">
            <a:defRPr sz="1000"/>
          </a:pPr>
          <a:r>
            <a:rPr lang="es-SV" sz="1000" b="0" i="0" u="none" strike="noStrike" baseline="0">
              <a:solidFill>
                <a:srgbClr val="FFFFFF"/>
              </a:solidFill>
              <a:latin typeface="Arial"/>
              <a:cs typeface="Arial"/>
            </a:rPr>
            <a:t>Gestión</a:t>
          </a:r>
        </a:p>
      </xdr:txBody>
    </xdr:sp>
    <xdr:clientData/>
  </xdr:twoCellAnchor>
  <xdr:twoCellAnchor>
    <xdr:from>
      <xdr:col>5</xdr:col>
      <xdr:colOff>247650</xdr:colOff>
      <xdr:row>13</xdr:row>
      <xdr:rowOff>57150</xdr:rowOff>
    </xdr:from>
    <xdr:to>
      <xdr:col>5</xdr:col>
      <xdr:colOff>342900</xdr:colOff>
      <xdr:row>14</xdr:row>
      <xdr:rowOff>28575</xdr:rowOff>
    </xdr:to>
    <xdr:sp macro="" textlink="">
      <xdr:nvSpPr>
        <xdr:cNvPr id="1036" name="Freeform 28">
          <a:extLst>
            <a:ext uri="{FF2B5EF4-FFF2-40B4-BE49-F238E27FC236}">
              <a16:creationId xmlns:a16="http://schemas.microsoft.com/office/drawing/2014/main" id="{5E9E47C5-7E71-4DD5-88AD-51D7B98260BB}"/>
            </a:ext>
          </a:extLst>
        </xdr:cNvPr>
        <xdr:cNvSpPr>
          <a:spLocks noChangeArrowheads="1"/>
        </xdr:cNvSpPr>
      </xdr:nvSpPr>
      <xdr:spPr bwMode="auto">
        <a:xfrm>
          <a:off x="2762250" y="3009900"/>
          <a:ext cx="95250" cy="161925"/>
        </a:xfrm>
        <a:custGeom>
          <a:avLst/>
          <a:gdLst>
            <a:gd name="G0" fmla="+- 1 0 0"/>
            <a:gd name="G1" fmla="+- 65471 0 0"/>
            <a:gd name="G2" fmla="+- 18 0 0"/>
            <a:gd name="G3" fmla="*/ 1 37971 25600"/>
            <a:gd name="G4" fmla="+- 1 0 0"/>
            <a:gd name="G5" fmla="+- 1 0 0"/>
            <a:gd name="G6" fmla="*/ 1 60299 5120"/>
            <a:gd name="G7" fmla="*/ 1 13931 55552"/>
            <a:gd name="G8" fmla="*/ G7 1 180"/>
            <a:gd name="G9" fmla="*/ G6 1 G8"/>
            <a:gd name="G10" fmla="+- 1 0 0"/>
            <a:gd name="G11" fmla="*/ 1 12633 8192"/>
            <a:gd name="G12" fmla="*/ 1 5237 5120"/>
            <a:gd name="G13" fmla="*/ 1 13931 55552"/>
            <a:gd name="G14" fmla="*/ G13 1 180"/>
            <a:gd name="G15" fmla="*/ G12 1 G14"/>
            <a:gd name="G16" fmla="+- 1 0 0"/>
            <a:gd name="G17" fmla="+- 1 0 0"/>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w 596"/>
            <a:gd name="T13" fmla="*/ 0 h 598"/>
            <a:gd name="T14" fmla="*/ 596 w 596"/>
            <a:gd name="T15" fmla="*/ 598 h 598"/>
          </a:gdLst>
          <a:ahLst/>
          <a:cxnLst>
            <a:cxn ang="0">
              <a:pos x="T0" y="T1"/>
            </a:cxn>
            <a:cxn ang="0">
              <a:pos x="T2" y="T3"/>
            </a:cxn>
            <a:cxn ang="0">
              <a:pos x="T4" y="T5"/>
            </a:cxn>
            <a:cxn ang="0">
              <a:pos x="T6" y="T7"/>
            </a:cxn>
            <a:cxn ang="0">
              <a:pos x="T8" y="T9"/>
            </a:cxn>
            <a:cxn ang="0">
              <a:pos x="T10" y="T11"/>
            </a:cxn>
          </a:cxnLst>
          <a:rect l="T12" t="T13" r="T14" b="T15"/>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DDA09E"/>
            </a:gs>
            <a:gs pos="50000">
              <a:srgbClr val="C0504D"/>
            </a:gs>
            <a:gs pos="100000">
              <a:srgbClr val="DDA09E"/>
            </a:gs>
          </a:gsLst>
          <a:lin ang="13500000" scaled="1"/>
        </a:gra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257175</xdr:colOff>
      <xdr:row>5</xdr:row>
      <xdr:rowOff>0</xdr:rowOff>
    </xdr:from>
    <xdr:to>
      <xdr:col>7</xdr:col>
      <xdr:colOff>323850</xdr:colOff>
      <xdr:row>6</xdr:row>
      <xdr:rowOff>38100</xdr:rowOff>
    </xdr:to>
    <xdr:sp macro="" textlink="" fLocksText="0">
      <xdr:nvSpPr>
        <xdr:cNvPr id="1037" name="Rectangle 803">
          <a:extLst>
            <a:ext uri="{FF2B5EF4-FFF2-40B4-BE49-F238E27FC236}">
              <a16:creationId xmlns:a16="http://schemas.microsoft.com/office/drawing/2014/main" id="{5C8FEEC3-C04D-47C5-82B5-AB749C7B9D99}"/>
            </a:ext>
          </a:extLst>
        </xdr:cNvPr>
        <xdr:cNvSpPr>
          <a:spLocks noChangeArrowheads="1"/>
        </xdr:cNvSpPr>
      </xdr:nvSpPr>
      <xdr:spPr bwMode="auto">
        <a:xfrm>
          <a:off x="2162175" y="1428750"/>
          <a:ext cx="1895475"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7360" rIns="27360" bIns="0" anchor="t"/>
        <a:lstStyle/>
        <a:p>
          <a:pPr algn="ctr" rtl="0">
            <a:defRPr sz="1000"/>
          </a:pPr>
          <a:r>
            <a:rPr lang="es-SV" sz="1100" b="1" i="1" u="none" strike="noStrike" baseline="0">
              <a:solidFill>
                <a:srgbClr val="000000"/>
              </a:solidFill>
              <a:latin typeface="Calibri"/>
              <a:cs typeface="Calibri"/>
            </a:rPr>
            <a:t>Seleccione la opción que desea ver:</a:t>
          </a:r>
        </a:p>
      </xdr:txBody>
    </xdr:sp>
    <xdr:clientData/>
  </xdr:twoCellAnchor>
  <xdr:twoCellAnchor>
    <xdr:from>
      <xdr:col>8</xdr:col>
      <xdr:colOff>238125</xdr:colOff>
      <xdr:row>11</xdr:row>
      <xdr:rowOff>0</xdr:rowOff>
    </xdr:from>
    <xdr:to>
      <xdr:col>11</xdr:col>
      <xdr:colOff>133350</xdr:colOff>
      <xdr:row>13</xdr:row>
      <xdr:rowOff>28575</xdr:rowOff>
    </xdr:to>
    <xdr:sp macro="" textlink="">
      <xdr:nvSpPr>
        <xdr:cNvPr id="1038" name="AutoShape 30">
          <a:extLst>
            <a:ext uri="{FF2B5EF4-FFF2-40B4-BE49-F238E27FC236}">
              <a16:creationId xmlns:a16="http://schemas.microsoft.com/office/drawing/2014/main" id="{4241711B-1FD2-4293-9115-C894A7722529}"/>
            </a:ext>
          </a:extLst>
        </xdr:cNvPr>
        <xdr:cNvSpPr>
          <a:spLocks noChangeArrowheads="1"/>
        </xdr:cNvSpPr>
      </xdr:nvSpPr>
      <xdr:spPr bwMode="auto">
        <a:xfrm>
          <a:off x="4581525" y="2571750"/>
          <a:ext cx="1228725" cy="409575"/>
        </a:xfrm>
        <a:prstGeom prst="roundRect">
          <a:avLst>
            <a:gd name="adj" fmla="val 10889"/>
          </a:avLst>
        </a:prstGeom>
        <a:gradFill rotWithShape="0">
          <a:gsLst>
            <a:gs pos="0">
              <a:srgbClr val="EEEEEE"/>
            </a:gs>
            <a:gs pos="100000">
              <a:srgbClr val="DDDDDD"/>
            </a:gs>
          </a:gsLst>
          <a:lin ang="13500000" scaled="1"/>
        </a:gradFill>
        <a:ln w="9360" cap="sq">
          <a:solidFill>
            <a:srgbClr val="FFFFFF"/>
          </a:solidFill>
          <a:miter lim="800000"/>
          <a:headEnd/>
          <a:tailEnd/>
        </a:ln>
        <a:effectLst>
          <a:outerShdw dist="134956" dir="2927119" algn="ctr" rotWithShape="0">
            <a:srgbClr val="000000">
              <a:alpha val="50027"/>
            </a:srgbClr>
          </a:outerShdw>
        </a:effectLst>
      </xdr:spPr>
    </xdr:sp>
    <xdr:clientData/>
  </xdr:twoCellAnchor>
  <xdr:twoCellAnchor>
    <xdr:from>
      <xdr:col>8</xdr:col>
      <xdr:colOff>266700</xdr:colOff>
      <xdr:row>11</xdr:row>
      <xdr:rowOff>47625</xdr:rowOff>
    </xdr:from>
    <xdr:to>
      <xdr:col>11</xdr:col>
      <xdr:colOff>104775</xdr:colOff>
      <xdr:row>12</xdr:row>
      <xdr:rowOff>190500</xdr:rowOff>
    </xdr:to>
    <xdr:sp macro="" textlink="" fLocksText="0">
      <xdr:nvSpPr>
        <xdr:cNvPr id="1039" name="AutoShape 31">
          <a:hlinkClick xmlns:r="http://schemas.openxmlformats.org/officeDocument/2006/relationships" r:id="rId6"/>
          <a:extLst>
            <a:ext uri="{FF2B5EF4-FFF2-40B4-BE49-F238E27FC236}">
              <a16:creationId xmlns:a16="http://schemas.microsoft.com/office/drawing/2014/main" id="{E05FD423-AAEF-47C7-83EA-B872E037E195}"/>
            </a:ext>
          </a:extLst>
        </xdr:cNvPr>
        <xdr:cNvSpPr>
          <a:spLocks noChangeArrowheads="1"/>
        </xdr:cNvSpPr>
      </xdr:nvSpPr>
      <xdr:spPr bwMode="auto">
        <a:xfrm>
          <a:off x="4610100" y="2619375"/>
          <a:ext cx="1171575" cy="333375"/>
        </a:xfrm>
        <a:prstGeom prst="roundRect">
          <a:avLst>
            <a:gd name="adj" fmla="val 11921"/>
          </a:avLst>
        </a:prstGeom>
        <a:solidFill>
          <a:srgbClr val="99FF99"/>
        </a:solidFill>
        <a:ln w="9360" cap="sq">
          <a:solidFill>
            <a:srgbClr val="FEFEFE"/>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ctr" rtl="0">
            <a:defRPr sz="1000"/>
          </a:pPr>
          <a:r>
            <a:rPr lang="es-SV" sz="1000" b="0" i="0" u="none" strike="noStrike" baseline="0">
              <a:solidFill>
                <a:srgbClr val="000000"/>
              </a:solidFill>
              <a:latin typeface="Arial"/>
              <a:cs typeface="Arial"/>
            </a:rPr>
            <a:t>Recomendaciones</a:t>
          </a:r>
        </a:p>
      </xdr:txBody>
    </xdr:sp>
    <xdr:clientData/>
  </xdr:twoCellAnchor>
  <xdr:twoCellAnchor>
    <xdr:from>
      <xdr:col>8</xdr:col>
      <xdr:colOff>285750</xdr:colOff>
      <xdr:row>11</xdr:row>
      <xdr:rowOff>66675</xdr:rowOff>
    </xdr:from>
    <xdr:to>
      <xdr:col>8</xdr:col>
      <xdr:colOff>400050</xdr:colOff>
      <xdr:row>12</xdr:row>
      <xdr:rowOff>47625</xdr:rowOff>
    </xdr:to>
    <xdr:sp macro="" textlink="">
      <xdr:nvSpPr>
        <xdr:cNvPr id="1040" name="Freeform 32">
          <a:extLst>
            <a:ext uri="{FF2B5EF4-FFF2-40B4-BE49-F238E27FC236}">
              <a16:creationId xmlns:a16="http://schemas.microsoft.com/office/drawing/2014/main" id="{2ED3CC55-947D-49E3-9872-A75889D65230}"/>
            </a:ext>
          </a:extLst>
        </xdr:cNvPr>
        <xdr:cNvSpPr>
          <a:spLocks noChangeArrowheads="1"/>
        </xdr:cNvSpPr>
      </xdr:nvSpPr>
      <xdr:spPr bwMode="auto">
        <a:xfrm>
          <a:off x="4629150" y="2638425"/>
          <a:ext cx="114300" cy="171450"/>
        </a:xfrm>
        <a:custGeom>
          <a:avLst/>
          <a:gdLst>
            <a:gd name="G0" fmla="+- 1 0 0"/>
            <a:gd name="G1" fmla="+- 65471 0 0"/>
            <a:gd name="G2" fmla="+- 18 0 0"/>
            <a:gd name="G3" fmla="*/ 1 37971 25600"/>
            <a:gd name="G4" fmla="+- 1 0 0"/>
            <a:gd name="G5" fmla="+- 1 0 0"/>
            <a:gd name="G6" fmla="*/ 1 60299 5120"/>
            <a:gd name="G7" fmla="*/ 1 13931 55552"/>
            <a:gd name="G8" fmla="*/ G7 1 180"/>
            <a:gd name="G9" fmla="*/ G6 1 G8"/>
            <a:gd name="G10" fmla="+- 1 0 0"/>
            <a:gd name="G11" fmla="*/ 1 12633 8192"/>
            <a:gd name="G12" fmla="*/ 1 5237 5120"/>
            <a:gd name="G13" fmla="*/ 1 13931 55552"/>
            <a:gd name="G14" fmla="*/ G13 1 180"/>
            <a:gd name="G15" fmla="*/ G12 1 G14"/>
            <a:gd name="G16" fmla="+- 1 0 0"/>
            <a:gd name="G17" fmla="+- 1 0 0"/>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w 596"/>
            <a:gd name="T13" fmla="*/ 0 h 598"/>
            <a:gd name="T14" fmla="*/ 596 w 596"/>
            <a:gd name="T15" fmla="*/ 598 h 598"/>
          </a:gdLst>
          <a:ahLst/>
          <a:cxnLst>
            <a:cxn ang="0">
              <a:pos x="T0" y="T1"/>
            </a:cxn>
            <a:cxn ang="0">
              <a:pos x="T2" y="T3"/>
            </a:cxn>
            <a:cxn ang="0">
              <a:pos x="T4" y="T5"/>
            </a:cxn>
            <a:cxn ang="0">
              <a:pos x="T6" y="T7"/>
            </a:cxn>
            <a:cxn ang="0">
              <a:pos x="T8" y="T9"/>
            </a:cxn>
            <a:cxn ang="0">
              <a:pos x="T10" y="T11"/>
            </a:cxn>
          </a:cxnLst>
          <a:rect l="T12" t="T13" r="T14" b="T15"/>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200025</xdr:colOff>
      <xdr:row>7</xdr:row>
      <xdr:rowOff>85725</xdr:rowOff>
    </xdr:from>
    <xdr:to>
      <xdr:col>4</xdr:col>
      <xdr:colOff>85725</xdr:colOff>
      <xdr:row>18</xdr:row>
      <xdr:rowOff>114300</xdr:rowOff>
    </xdr:to>
    <xdr:sp macro="" textlink="">
      <xdr:nvSpPr>
        <xdr:cNvPr id="1041" name="AutoShape 31">
          <a:extLst>
            <a:ext uri="{FF2B5EF4-FFF2-40B4-BE49-F238E27FC236}">
              <a16:creationId xmlns:a16="http://schemas.microsoft.com/office/drawing/2014/main" id="{8D923F90-156E-41A8-9BC4-FF8567643B64}"/>
            </a:ext>
          </a:extLst>
        </xdr:cNvPr>
        <xdr:cNvSpPr>
          <a:spLocks noChangeArrowheads="1"/>
        </xdr:cNvSpPr>
      </xdr:nvSpPr>
      <xdr:spPr bwMode="auto">
        <a:xfrm>
          <a:off x="276225" y="1895475"/>
          <a:ext cx="1714500" cy="2124075"/>
        </a:xfrm>
        <a:prstGeom prst="roundRect">
          <a:avLst>
            <a:gd name="adj" fmla="val 11921"/>
          </a:avLst>
        </a:prstGeom>
        <a:gradFill rotWithShape="0">
          <a:gsLst>
            <a:gs pos="0">
              <a:srgbClr val="4C7BB4"/>
            </a:gs>
            <a:gs pos="100000">
              <a:srgbClr val="87AFD3"/>
            </a:gs>
          </a:gsLst>
          <a:lin ang="5400000" scaled="1"/>
        </a:gradFill>
        <a:ln w="9360" cap="sq">
          <a:solidFill>
            <a:srgbClr val="FEFEFE"/>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276225</xdr:colOff>
      <xdr:row>7</xdr:row>
      <xdr:rowOff>171450</xdr:rowOff>
    </xdr:from>
    <xdr:to>
      <xdr:col>2</xdr:col>
      <xdr:colOff>47625</xdr:colOff>
      <xdr:row>9</xdr:row>
      <xdr:rowOff>104775</xdr:rowOff>
    </xdr:to>
    <xdr:sp macro="" textlink="">
      <xdr:nvSpPr>
        <xdr:cNvPr id="1042" name="Freeform 32">
          <a:extLst>
            <a:ext uri="{FF2B5EF4-FFF2-40B4-BE49-F238E27FC236}">
              <a16:creationId xmlns:a16="http://schemas.microsoft.com/office/drawing/2014/main" id="{EB273C53-830D-4E1B-A2AC-789F97D67577}"/>
            </a:ext>
          </a:extLst>
        </xdr:cNvPr>
        <xdr:cNvSpPr>
          <a:spLocks noChangeArrowheads="1"/>
        </xdr:cNvSpPr>
      </xdr:nvSpPr>
      <xdr:spPr bwMode="auto">
        <a:xfrm>
          <a:off x="352425" y="1981200"/>
          <a:ext cx="381000" cy="314325"/>
        </a:xfrm>
        <a:custGeom>
          <a:avLst/>
          <a:gdLst>
            <a:gd name="G0" fmla="+- 1 0 0"/>
            <a:gd name="G1" fmla="+- 65471 0 0"/>
            <a:gd name="G2" fmla="+- 18 0 0"/>
            <a:gd name="G3" fmla="*/ 1 37971 25600"/>
            <a:gd name="G4" fmla="+- 1 0 0"/>
            <a:gd name="G5" fmla="+- 1 0 0"/>
            <a:gd name="G6" fmla="*/ 1 60299 5120"/>
            <a:gd name="G7" fmla="*/ 1 13931 55552"/>
            <a:gd name="G8" fmla="*/ G7 1 180"/>
            <a:gd name="G9" fmla="*/ G6 1 G8"/>
            <a:gd name="G10" fmla="+- 1 0 0"/>
            <a:gd name="G11" fmla="*/ 1 12633 8192"/>
            <a:gd name="G12" fmla="*/ 1 5237 5120"/>
            <a:gd name="G13" fmla="*/ 1 13931 55552"/>
            <a:gd name="G14" fmla="*/ G13 1 180"/>
            <a:gd name="G15" fmla="*/ G12 1 G14"/>
            <a:gd name="G16" fmla="+- 1 0 0"/>
            <a:gd name="G17" fmla="+- 1 0 0"/>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w 596"/>
            <a:gd name="T13" fmla="*/ 0 h 598"/>
            <a:gd name="T14" fmla="*/ 596 w 596"/>
            <a:gd name="T15" fmla="*/ 598 h 598"/>
          </a:gdLst>
          <a:ahLst/>
          <a:cxnLst>
            <a:cxn ang="0">
              <a:pos x="T0" y="T1"/>
            </a:cxn>
            <a:cxn ang="0">
              <a:pos x="T2" y="T3"/>
            </a:cxn>
            <a:cxn ang="0">
              <a:pos x="T4" y="T5"/>
            </a:cxn>
            <a:cxn ang="0">
              <a:pos x="T6" y="T7"/>
            </a:cxn>
            <a:cxn ang="0">
              <a:pos x="T8" y="T9"/>
            </a:cxn>
            <a:cxn ang="0">
              <a:pos x="T10" y="T11"/>
            </a:cxn>
          </a:cxnLst>
          <a:rect l="T12" t="T13" r="T14" b="T15"/>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9FBADB"/>
            </a:gs>
            <a:gs pos="50000">
              <a:srgbClr val="4F81BD"/>
            </a:gs>
            <a:gs pos="100000">
              <a:srgbClr val="9FBADB"/>
            </a:gs>
          </a:gsLst>
          <a:lin ang="13500000" scaled="1"/>
        </a:gra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228600</xdr:colOff>
      <xdr:row>14</xdr:row>
      <xdr:rowOff>57150</xdr:rowOff>
    </xdr:from>
    <xdr:to>
      <xdr:col>11</xdr:col>
      <xdr:colOff>123825</xdr:colOff>
      <xdr:row>16</xdr:row>
      <xdr:rowOff>66675</xdr:rowOff>
    </xdr:to>
    <xdr:sp macro="" textlink="">
      <xdr:nvSpPr>
        <xdr:cNvPr id="1043" name="AutoShape 30">
          <a:extLst>
            <a:ext uri="{FF2B5EF4-FFF2-40B4-BE49-F238E27FC236}">
              <a16:creationId xmlns:a16="http://schemas.microsoft.com/office/drawing/2014/main" id="{CF413285-AA0A-4BBB-997E-46B220F3D1CF}"/>
            </a:ext>
          </a:extLst>
        </xdr:cNvPr>
        <xdr:cNvSpPr>
          <a:spLocks noChangeArrowheads="1"/>
        </xdr:cNvSpPr>
      </xdr:nvSpPr>
      <xdr:spPr bwMode="auto">
        <a:xfrm>
          <a:off x="4572000" y="3200400"/>
          <a:ext cx="1228725" cy="390525"/>
        </a:xfrm>
        <a:prstGeom prst="roundRect">
          <a:avLst>
            <a:gd name="adj" fmla="val 10889"/>
          </a:avLst>
        </a:prstGeom>
        <a:gradFill rotWithShape="0">
          <a:gsLst>
            <a:gs pos="0">
              <a:srgbClr val="EEEEEE"/>
            </a:gs>
            <a:gs pos="100000">
              <a:srgbClr val="DDDDDD"/>
            </a:gs>
          </a:gsLst>
          <a:lin ang="13500000" scaled="1"/>
        </a:gradFill>
        <a:ln w="9360" cap="sq">
          <a:solidFill>
            <a:srgbClr val="FFFFFF"/>
          </a:solidFill>
          <a:miter lim="800000"/>
          <a:headEnd/>
          <a:tailEnd/>
        </a:ln>
        <a:effectLst>
          <a:outerShdw dist="134956" dir="2927119" algn="ctr" rotWithShape="0">
            <a:srgbClr val="000000">
              <a:alpha val="50027"/>
            </a:srgbClr>
          </a:outerShdw>
        </a:effectLst>
      </xdr:spPr>
    </xdr:sp>
    <xdr:clientData/>
  </xdr:twoCellAnchor>
  <xdr:twoCellAnchor>
    <xdr:from>
      <xdr:col>8</xdr:col>
      <xdr:colOff>247650</xdr:colOff>
      <xdr:row>14</xdr:row>
      <xdr:rowOff>104775</xdr:rowOff>
    </xdr:from>
    <xdr:to>
      <xdr:col>11</xdr:col>
      <xdr:colOff>85725</xdr:colOff>
      <xdr:row>16</xdr:row>
      <xdr:rowOff>47625</xdr:rowOff>
    </xdr:to>
    <xdr:sp macro="" textlink="" fLocksText="0">
      <xdr:nvSpPr>
        <xdr:cNvPr id="1044" name="AutoShape 31">
          <a:hlinkClick xmlns:r="http://schemas.openxmlformats.org/officeDocument/2006/relationships" r:id="rId7"/>
          <a:extLst>
            <a:ext uri="{FF2B5EF4-FFF2-40B4-BE49-F238E27FC236}">
              <a16:creationId xmlns:a16="http://schemas.microsoft.com/office/drawing/2014/main" id="{5FF8848B-370A-49BC-9F1F-FCE98745BA06}"/>
            </a:ext>
          </a:extLst>
        </xdr:cNvPr>
        <xdr:cNvSpPr>
          <a:spLocks noChangeArrowheads="1"/>
        </xdr:cNvSpPr>
      </xdr:nvSpPr>
      <xdr:spPr bwMode="auto">
        <a:xfrm>
          <a:off x="4591050" y="3248025"/>
          <a:ext cx="1171575" cy="323850"/>
        </a:xfrm>
        <a:prstGeom prst="roundRect">
          <a:avLst>
            <a:gd name="adj" fmla="val 11921"/>
          </a:avLst>
        </a:prstGeom>
        <a:solidFill>
          <a:srgbClr val="99FF99"/>
        </a:solidFill>
        <a:ln w="9360" cap="sq">
          <a:solidFill>
            <a:srgbClr val="FEFEFE"/>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ctr" rtl="0">
            <a:defRPr sz="1000"/>
          </a:pPr>
          <a:r>
            <a:rPr lang="es-SV" sz="1000" b="0" i="0" u="none" strike="noStrike" baseline="0">
              <a:solidFill>
                <a:srgbClr val="000000"/>
              </a:solidFill>
              <a:latin typeface="Arial"/>
              <a:cs typeface="Arial"/>
            </a:rPr>
            <a:t>Acciones</a:t>
          </a:r>
        </a:p>
      </xdr:txBody>
    </xdr:sp>
    <xdr:clientData/>
  </xdr:twoCellAnchor>
  <xdr:twoCellAnchor>
    <xdr:from>
      <xdr:col>8</xdr:col>
      <xdr:colOff>266700</xdr:colOff>
      <xdr:row>14</xdr:row>
      <xdr:rowOff>123825</xdr:rowOff>
    </xdr:from>
    <xdr:to>
      <xdr:col>8</xdr:col>
      <xdr:colOff>381000</xdr:colOff>
      <xdr:row>15</xdr:row>
      <xdr:rowOff>95250</xdr:rowOff>
    </xdr:to>
    <xdr:sp macro="" textlink="">
      <xdr:nvSpPr>
        <xdr:cNvPr id="1045" name="Freeform 32">
          <a:extLst>
            <a:ext uri="{FF2B5EF4-FFF2-40B4-BE49-F238E27FC236}">
              <a16:creationId xmlns:a16="http://schemas.microsoft.com/office/drawing/2014/main" id="{469FDD77-CFE3-4136-AF5D-F4A65A8D19F6}"/>
            </a:ext>
          </a:extLst>
        </xdr:cNvPr>
        <xdr:cNvSpPr>
          <a:spLocks noChangeArrowheads="1"/>
        </xdr:cNvSpPr>
      </xdr:nvSpPr>
      <xdr:spPr bwMode="auto">
        <a:xfrm>
          <a:off x="4610100" y="3267075"/>
          <a:ext cx="114300" cy="161925"/>
        </a:xfrm>
        <a:custGeom>
          <a:avLst/>
          <a:gdLst>
            <a:gd name="G0" fmla="+- 1 0 0"/>
            <a:gd name="G1" fmla="+- 65471 0 0"/>
            <a:gd name="G2" fmla="+- 18 0 0"/>
            <a:gd name="G3" fmla="*/ 1 37971 25600"/>
            <a:gd name="G4" fmla="+- 1 0 0"/>
            <a:gd name="G5" fmla="+- 1 0 0"/>
            <a:gd name="G6" fmla="*/ 1 60299 5120"/>
            <a:gd name="G7" fmla="*/ 1 13931 55552"/>
            <a:gd name="G8" fmla="*/ G7 1 180"/>
            <a:gd name="G9" fmla="*/ G6 1 G8"/>
            <a:gd name="G10" fmla="+- 1 0 0"/>
            <a:gd name="G11" fmla="*/ 1 12633 8192"/>
            <a:gd name="G12" fmla="*/ 1 0 0"/>
            <a:gd name="G13" fmla="*/ 1 13931 55552"/>
            <a:gd name="G14" fmla="*/ G13 1 180"/>
            <a:gd name="G15" fmla="*/ G12 1 G14"/>
            <a:gd name="G16" fmla="+- 1 0 0"/>
            <a:gd name="G17" fmla="+- 1 0 0"/>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w 596"/>
            <a:gd name="T13" fmla="*/ 0 h 598"/>
            <a:gd name="T14" fmla="*/ 596 w 596"/>
            <a:gd name="T15" fmla="*/ 598 h 598"/>
          </a:gdLst>
          <a:ahLst/>
          <a:cxnLst>
            <a:cxn ang="0">
              <a:pos x="T0" y="T1"/>
            </a:cxn>
            <a:cxn ang="0">
              <a:pos x="T2" y="T3"/>
            </a:cxn>
            <a:cxn ang="0">
              <a:pos x="T4" y="T5"/>
            </a:cxn>
            <a:cxn ang="0">
              <a:pos x="T6" y="T7"/>
            </a:cxn>
            <a:cxn ang="0">
              <a:pos x="T8" y="T9"/>
            </a:cxn>
            <a:cxn ang="0">
              <a:pos x="T10" y="T11"/>
            </a:cxn>
          </a:cxnLst>
          <a:rect l="T12" t="T13" r="T14" b="T15"/>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409575</xdr:colOff>
      <xdr:row>15</xdr:row>
      <xdr:rowOff>133350</xdr:rowOff>
    </xdr:from>
    <xdr:to>
      <xdr:col>3</xdr:col>
      <xdr:colOff>400050</xdr:colOff>
      <xdr:row>18</xdr:row>
      <xdr:rowOff>19050</xdr:rowOff>
    </xdr:to>
    <xdr:sp macro="" textlink="">
      <xdr:nvSpPr>
        <xdr:cNvPr id="1046" name="AutoShape 30">
          <a:extLst>
            <a:ext uri="{FF2B5EF4-FFF2-40B4-BE49-F238E27FC236}">
              <a16:creationId xmlns:a16="http://schemas.microsoft.com/office/drawing/2014/main" id="{A022F9A9-5BE3-4E23-ABF1-4E789158ABDE}"/>
            </a:ext>
          </a:extLst>
        </xdr:cNvPr>
        <xdr:cNvSpPr>
          <a:spLocks noChangeArrowheads="1"/>
        </xdr:cNvSpPr>
      </xdr:nvSpPr>
      <xdr:spPr bwMode="auto">
        <a:xfrm>
          <a:off x="485775" y="3467100"/>
          <a:ext cx="1209675" cy="457200"/>
        </a:xfrm>
        <a:prstGeom prst="roundRect">
          <a:avLst>
            <a:gd name="adj" fmla="val 10889"/>
          </a:avLst>
        </a:prstGeom>
        <a:gradFill rotWithShape="0">
          <a:gsLst>
            <a:gs pos="0">
              <a:srgbClr val="EEEEEE"/>
            </a:gs>
            <a:gs pos="100000">
              <a:srgbClr val="DDDDDD"/>
            </a:gs>
          </a:gsLst>
          <a:lin ang="13500000" scaled="1"/>
        </a:gradFill>
        <a:ln w="9360" cap="sq">
          <a:solidFill>
            <a:srgbClr val="FFFFFF"/>
          </a:solidFill>
          <a:miter lim="800000"/>
          <a:headEnd/>
          <a:tailEnd/>
        </a:ln>
        <a:effectLst>
          <a:outerShdw dist="134956" dir="2927119" algn="ctr" rotWithShape="0">
            <a:srgbClr val="000000">
              <a:alpha val="50027"/>
            </a:srgbClr>
          </a:outerShdw>
        </a:effectLst>
      </xdr:spPr>
    </xdr:sp>
    <xdr:clientData/>
  </xdr:twoCellAnchor>
  <xdr:twoCellAnchor>
    <xdr:from>
      <xdr:col>1</xdr:col>
      <xdr:colOff>438150</xdr:colOff>
      <xdr:row>15</xdr:row>
      <xdr:rowOff>171450</xdr:rowOff>
    </xdr:from>
    <xdr:to>
      <xdr:col>3</xdr:col>
      <xdr:colOff>361950</xdr:colOff>
      <xdr:row>17</xdr:row>
      <xdr:rowOff>180975</xdr:rowOff>
    </xdr:to>
    <xdr:sp macro="" textlink="" fLocksText="0">
      <xdr:nvSpPr>
        <xdr:cNvPr id="1047" name="AutoShape 31">
          <a:hlinkClick xmlns:r="http://schemas.openxmlformats.org/officeDocument/2006/relationships" r:id="rId8"/>
          <a:extLst>
            <a:ext uri="{FF2B5EF4-FFF2-40B4-BE49-F238E27FC236}">
              <a16:creationId xmlns:a16="http://schemas.microsoft.com/office/drawing/2014/main" id="{314DBE70-9323-45F8-A320-2DCD12D9C686}"/>
            </a:ext>
          </a:extLst>
        </xdr:cNvPr>
        <xdr:cNvSpPr>
          <a:spLocks noChangeArrowheads="1"/>
        </xdr:cNvSpPr>
      </xdr:nvSpPr>
      <xdr:spPr bwMode="auto">
        <a:xfrm>
          <a:off x="514350" y="3505200"/>
          <a:ext cx="1143000" cy="390525"/>
        </a:xfrm>
        <a:prstGeom prst="roundRect">
          <a:avLst>
            <a:gd name="adj" fmla="val 11921"/>
          </a:avLst>
        </a:prstGeom>
        <a:gradFill rotWithShape="0">
          <a:gsLst>
            <a:gs pos="0">
              <a:srgbClr val="375A84"/>
            </a:gs>
            <a:gs pos="100000">
              <a:srgbClr val="4F81BD"/>
            </a:gs>
          </a:gsLst>
          <a:lin ang="5400000" scaled="1"/>
        </a:gradFill>
        <a:ln w="9360" cap="sq">
          <a:solidFill>
            <a:srgbClr val="FEFEFE"/>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ctr" rtl="0">
            <a:defRPr sz="1000"/>
          </a:pPr>
          <a:r>
            <a:rPr lang="es-SV" sz="1000" b="0" i="0" u="none" strike="noStrike" baseline="0">
              <a:solidFill>
                <a:srgbClr val="FFFFFF"/>
              </a:solidFill>
              <a:latin typeface="Arial"/>
              <a:cs typeface="Arial"/>
            </a:rPr>
            <a:t>Información de la subvención</a:t>
          </a:r>
        </a:p>
      </xdr:txBody>
    </xdr:sp>
    <xdr:clientData/>
  </xdr:twoCellAnchor>
  <xdr:twoCellAnchor>
    <xdr:from>
      <xdr:col>1</xdr:col>
      <xdr:colOff>457200</xdr:colOff>
      <xdr:row>16</xdr:row>
      <xdr:rowOff>0</xdr:rowOff>
    </xdr:from>
    <xdr:to>
      <xdr:col>1</xdr:col>
      <xdr:colOff>571500</xdr:colOff>
      <xdr:row>16</xdr:row>
      <xdr:rowOff>114300</xdr:rowOff>
    </xdr:to>
    <xdr:sp macro="" textlink="">
      <xdr:nvSpPr>
        <xdr:cNvPr id="1048" name="Freeform 32">
          <a:extLst>
            <a:ext uri="{FF2B5EF4-FFF2-40B4-BE49-F238E27FC236}">
              <a16:creationId xmlns:a16="http://schemas.microsoft.com/office/drawing/2014/main" id="{85C66E31-7D41-4A16-9D95-21585F7AA0BD}"/>
            </a:ext>
          </a:extLst>
        </xdr:cNvPr>
        <xdr:cNvSpPr>
          <a:spLocks noChangeArrowheads="1"/>
        </xdr:cNvSpPr>
      </xdr:nvSpPr>
      <xdr:spPr bwMode="auto">
        <a:xfrm>
          <a:off x="533400" y="3524250"/>
          <a:ext cx="114300" cy="114300"/>
        </a:xfrm>
        <a:custGeom>
          <a:avLst/>
          <a:gdLst>
            <a:gd name="G0" fmla="+- 1 0 0"/>
            <a:gd name="G1" fmla="+- 65471 0 0"/>
            <a:gd name="G2" fmla="+- 18 0 0"/>
            <a:gd name="G3" fmla="*/ 1 37971 25600"/>
            <a:gd name="G4" fmla="+- 1 0 0"/>
            <a:gd name="G5" fmla="+- 1 0 0"/>
            <a:gd name="G6" fmla="*/ 1 60299 5120"/>
            <a:gd name="G7" fmla="*/ 1 13931 55552"/>
            <a:gd name="G8" fmla="*/ G7 1 180"/>
            <a:gd name="G9" fmla="*/ G6 1 G8"/>
            <a:gd name="G10" fmla="+- 1 0 0"/>
            <a:gd name="G11" fmla="*/ 1 12633 8192"/>
            <a:gd name="G12" fmla="*/ 1 5237 5120"/>
            <a:gd name="G13" fmla="*/ 1 13931 55552"/>
            <a:gd name="G14" fmla="*/ G13 1 180"/>
            <a:gd name="G15" fmla="*/ G12 1 G14"/>
            <a:gd name="G16" fmla="+- 1 0 0"/>
            <a:gd name="G17" fmla="+- 1 0 0"/>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w 596"/>
            <a:gd name="T13" fmla="*/ 0 h 598"/>
            <a:gd name="T14" fmla="*/ 596 w 596"/>
            <a:gd name="T15" fmla="*/ 598 h 598"/>
          </a:gdLst>
          <a:ahLst/>
          <a:cxnLst>
            <a:cxn ang="0">
              <a:pos x="T0" y="T1"/>
            </a:cxn>
            <a:cxn ang="0">
              <a:pos x="T2" y="T3"/>
            </a:cxn>
            <a:cxn ang="0">
              <a:pos x="T4" y="T5"/>
            </a:cxn>
            <a:cxn ang="0">
              <a:pos x="T6" y="T7"/>
            </a:cxn>
            <a:cxn ang="0">
              <a:pos x="T8" y="T9"/>
            </a:cxn>
            <a:cxn ang="0">
              <a:pos x="T10" y="T11"/>
            </a:cxn>
          </a:cxnLst>
          <a:rect l="T12" t="T13" r="T14" b="T15"/>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9FBADB"/>
            </a:gs>
            <a:gs pos="50000">
              <a:srgbClr val="4F81BD"/>
            </a:gs>
            <a:gs pos="100000">
              <a:srgbClr val="9FBADB"/>
            </a:gs>
          </a:gsLst>
          <a:lin ang="13500000" scaled="1"/>
        </a:gra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409575</xdr:colOff>
      <xdr:row>10</xdr:row>
      <xdr:rowOff>28575</xdr:rowOff>
    </xdr:from>
    <xdr:to>
      <xdr:col>3</xdr:col>
      <xdr:colOff>400050</xdr:colOff>
      <xdr:row>12</xdr:row>
      <xdr:rowOff>9525</xdr:rowOff>
    </xdr:to>
    <xdr:sp macro="" textlink="">
      <xdr:nvSpPr>
        <xdr:cNvPr id="1049" name="AutoShape 30">
          <a:extLst>
            <a:ext uri="{FF2B5EF4-FFF2-40B4-BE49-F238E27FC236}">
              <a16:creationId xmlns:a16="http://schemas.microsoft.com/office/drawing/2014/main" id="{0B176186-556B-4496-822B-AF71F529724B}"/>
            </a:ext>
          </a:extLst>
        </xdr:cNvPr>
        <xdr:cNvSpPr>
          <a:spLocks noChangeArrowheads="1"/>
        </xdr:cNvSpPr>
      </xdr:nvSpPr>
      <xdr:spPr bwMode="auto">
        <a:xfrm>
          <a:off x="485775" y="2409825"/>
          <a:ext cx="1209675" cy="361950"/>
        </a:xfrm>
        <a:prstGeom prst="roundRect">
          <a:avLst>
            <a:gd name="adj" fmla="val 10889"/>
          </a:avLst>
        </a:prstGeom>
        <a:gradFill rotWithShape="0">
          <a:gsLst>
            <a:gs pos="0">
              <a:srgbClr val="EEEEEE"/>
            </a:gs>
            <a:gs pos="100000">
              <a:srgbClr val="DDDDDD"/>
            </a:gs>
          </a:gsLst>
          <a:lin ang="13500000" scaled="1"/>
        </a:gradFill>
        <a:ln w="9360" cap="sq">
          <a:solidFill>
            <a:srgbClr val="FFFFFF"/>
          </a:solidFill>
          <a:miter lim="800000"/>
          <a:headEnd/>
          <a:tailEnd/>
        </a:ln>
        <a:effectLst>
          <a:outerShdw dist="134956" dir="2927119" algn="ctr" rotWithShape="0">
            <a:srgbClr val="000000">
              <a:alpha val="50027"/>
            </a:srgbClr>
          </a:outerShdw>
        </a:effectLst>
      </xdr:spPr>
    </xdr:sp>
    <xdr:clientData/>
  </xdr:twoCellAnchor>
  <xdr:twoCellAnchor>
    <xdr:from>
      <xdr:col>1</xdr:col>
      <xdr:colOff>438150</xdr:colOff>
      <xdr:row>10</xdr:row>
      <xdr:rowOff>66675</xdr:rowOff>
    </xdr:from>
    <xdr:to>
      <xdr:col>3</xdr:col>
      <xdr:colOff>371475</xdr:colOff>
      <xdr:row>11</xdr:row>
      <xdr:rowOff>180975</xdr:rowOff>
    </xdr:to>
    <xdr:sp macro="" textlink="" fLocksText="0">
      <xdr:nvSpPr>
        <xdr:cNvPr id="1050" name="AutoShape 31">
          <a:hlinkClick xmlns:r="http://schemas.openxmlformats.org/officeDocument/2006/relationships" r:id="rId9"/>
          <a:extLst>
            <a:ext uri="{FF2B5EF4-FFF2-40B4-BE49-F238E27FC236}">
              <a16:creationId xmlns:a16="http://schemas.microsoft.com/office/drawing/2014/main" id="{0937B9EE-B828-4F2A-ACD9-486147112C34}"/>
            </a:ext>
          </a:extLst>
        </xdr:cNvPr>
        <xdr:cNvSpPr>
          <a:spLocks noChangeArrowheads="1"/>
        </xdr:cNvSpPr>
      </xdr:nvSpPr>
      <xdr:spPr bwMode="auto">
        <a:xfrm>
          <a:off x="514350" y="2447925"/>
          <a:ext cx="1152525" cy="304800"/>
        </a:xfrm>
        <a:prstGeom prst="roundRect">
          <a:avLst>
            <a:gd name="adj" fmla="val 11921"/>
          </a:avLst>
        </a:prstGeom>
        <a:gradFill rotWithShape="0">
          <a:gsLst>
            <a:gs pos="0">
              <a:srgbClr val="375A84"/>
            </a:gs>
            <a:gs pos="100000">
              <a:srgbClr val="4F81BD"/>
            </a:gs>
          </a:gsLst>
          <a:lin ang="5400000" scaled="1"/>
        </a:gradFill>
        <a:ln w="9360" cap="sq">
          <a:solidFill>
            <a:srgbClr val="FEFEFE"/>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ctr" rtl="0">
            <a:defRPr sz="1000"/>
          </a:pPr>
          <a:r>
            <a:rPr lang="es-SV" sz="1000" b="0" i="0" u="none" strike="noStrike" baseline="0">
              <a:solidFill>
                <a:srgbClr val="FFFFFF"/>
              </a:solidFill>
              <a:latin typeface="Arial"/>
              <a:cs typeface="Arial"/>
            </a:rPr>
            <a:t>Lista de indicadores</a:t>
          </a:r>
        </a:p>
      </xdr:txBody>
    </xdr:sp>
    <xdr:clientData/>
  </xdr:twoCellAnchor>
  <xdr:twoCellAnchor>
    <xdr:from>
      <xdr:col>1</xdr:col>
      <xdr:colOff>457200</xdr:colOff>
      <xdr:row>10</xdr:row>
      <xdr:rowOff>85725</xdr:rowOff>
    </xdr:from>
    <xdr:to>
      <xdr:col>1</xdr:col>
      <xdr:colOff>571500</xdr:colOff>
      <xdr:row>11</xdr:row>
      <xdr:rowOff>57150</xdr:rowOff>
    </xdr:to>
    <xdr:sp macro="" textlink="">
      <xdr:nvSpPr>
        <xdr:cNvPr id="1051" name="Freeform 32">
          <a:extLst>
            <a:ext uri="{FF2B5EF4-FFF2-40B4-BE49-F238E27FC236}">
              <a16:creationId xmlns:a16="http://schemas.microsoft.com/office/drawing/2014/main" id="{38560078-30D7-4CEA-AE65-B26079EEFD74}"/>
            </a:ext>
          </a:extLst>
        </xdr:cNvPr>
        <xdr:cNvSpPr>
          <a:spLocks noChangeArrowheads="1"/>
        </xdr:cNvSpPr>
      </xdr:nvSpPr>
      <xdr:spPr bwMode="auto">
        <a:xfrm>
          <a:off x="533400" y="2466975"/>
          <a:ext cx="114300" cy="161925"/>
        </a:xfrm>
        <a:custGeom>
          <a:avLst/>
          <a:gdLst>
            <a:gd name="G0" fmla="+- 1 0 0"/>
            <a:gd name="G1" fmla="+- 65471 0 0"/>
            <a:gd name="G2" fmla="+- 18 0 0"/>
            <a:gd name="G3" fmla="*/ 1 37971 25600"/>
            <a:gd name="G4" fmla="+- 1 0 0"/>
            <a:gd name="G5" fmla="+- 1 0 0"/>
            <a:gd name="G6" fmla="*/ 1 60299 5120"/>
            <a:gd name="G7" fmla="*/ 1 13931 55552"/>
            <a:gd name="G8" fmla="*/ G7 1 180"/>
            <a:gd name="G9" fmla="*/ G6 1 G8"/>
            <a:gd name="G10" fmla="+- 1 0 0"/>
            <a:gd name="G11" fmla="*/ 1 12633 8192"/>
            <a:gd name="G12" fmla="*/ 1 5237 5120"/>
            <a:gd name="G13" fmla="*/ 1 13931 55552"/>
            <a:gd name="G14" fmla="*/ G13 1 180"/>
            <a:gd name="G15" fmla="*/ G12 1 G14"/>
            <a:gd name="G16" fmla="+- 1 0 0"/>
            <a:gd name="G17" fmla="+- 1 0 0"/>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w 596"/>
            <a:gd name="T13" fmla="*/ 0 h 598"/>
            <a:gd name="T14" fmla="*/ 596 w 596"/>
            <a:gd name="T15" fmla="*/ 598 h 598"/>
          </a:gdLst>
          <a:ahLst/>
          <a:cxnLst>
            <a:cxn ang="0">
              <a:pos x="T0" y="T1"/>
            </a:cxn>
            <a:cxn ang="0">
              <a:pos x="T2" y="T3"/>
            </a:cxn>
            <a:cxn ang="0">
              <a:pos x="T4" y="T5"/>
            </a:cxn>
            <a:cxn ang="0">
              <a:pos x="T6" y="T7"/>
            </a:cxn>
            <a:cxn ang="0">
              <a:pos x="T8" y="T9"/>
            </a:cxn>
            <a:cxn ang="0">
              <a:pos x="T10" y="T11"/>
            </a:cxn>
          </a:cxnLst>
          <a:rect l="T12" t="T13" r="T14" b="T15"/>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9FBADB"/>
            </a:gs>
            <a:gs pos="50000">
              <a:srgbClr val="4F81BD"/>
            </a:gs>
            <a:gs pos="100000">
              <a:srgbClr val="9FBADB"/>
            </a:gs>
          </a:gsLst>
          <a:lin ang="13500000" scaled="1"/>
        </a:gra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409575</xdr:colOff>
      <xdr:row>12</xdr:row>
      <xdr:rowOff>180975</xdr:rowOff>
    </xdr:from>
    <xdr:to>
      <xdr:col>3</xdr:col>
      <xdr:colOff>400050</xdr:colOff>
      <xdr:row>14</xdr:row>
      <xdr:rowOff>171450</xdr:rowOff>
    </xdr:to>
    <xdr:sp macro="" textlink="">
      <xdr:nvSpPr>
        <xdr:cNvPr id="1052" name="AutoShape 30">
          <a:extLst>
            <a:ext uri="{FF2B5EF4-FFF2-40B4-BE49-F238E27FC236}">
              <a16:creationId xmlns:a16="http://schemas.microsoft.com/office/drawing/2014/main" id="{D2ABEE23-8474-4B87-9DF4-D0C73BBBBA34}"/>
            </a:ext>
          </a:extLst>
        </xdr:cNvPr>
        <xdr:cNvSpPr>
          <a:spLocks noChangeArrowheads="1"/>
        </xdr:cNvSpPr>
      </xdr:nvSpPr>
      <xdr:spPr bwMode="auto">
        <a:xfrm>
          <a:off x="485775" y="2943225"/>
          <a:ext cx="1209675" cy="371475"/>
        </a:xfrm>
        <a:prstGeom prst="roundRect">
          <a:avLst>
            <a:gd name="adj" fmla="val 10889"/>
          </a:avLst>
        </a:prstGeom>
        <a:gradFill rotWithShape="0">
          <a:gsLst>
            <a:gs pos="0">
              <a:srgbClr val="EEEEEE"/>
            </a:gs>
            <a:gs pos="100000">
              <a:srgbClr val="DDDDDD"/>
            </a:gs>
          </a:gsLst>
          <a:lin ang="13500000" scaled="1"/>
        </a:gradFill>
        <a:ln w="9360" cap="sq">
          <a:solidFill>
            <a:srgbClr val="FFFFFF"/>
          </a:solidFill>
          <a:miter lim="800000"/>
          <a:headEnd/>
          <a:tailEnd/>
        </a:ln>
        <a:effectLst>
          <a:outerShdw dist="134956" dir="2927119" algn="ctr" rotWithShape="0">
            <a:srgbClr val="000000">
              <a:alpha val="50027"/>
            </a:srgbClr>
          </a:outerShdw>
        </a:effectLst>
      </xdr:spPr>
    </xdr:sp>
    <xdr:clientData/>
  </xdr:twoCellAnchor>
  <xdr:twoCellAnchor>
    <xdr:from>
      <xdr:col>1</xdr:col>
      <xdr:colOff>438150</xdr:colOff>
      <xdr:row>13</xdr:row>
      <xdr:rowOff>28575</xdr:rowOff>
    </xdr:from>
    <xdr:to>
      <xdr:col>3</xdr:col>
      <xdr:colOff>371475</xdr:colOff>
      <xdr:row>14</xdr:row>
      <xdr:rowOff>142875</xdr:rowOff>
    </xdr:to>
    <xdr:sp macro="" textlink="" fLocksText="0">
      <xdr:nvSpPr>
        <xdr:cNvPr id="1053" name="AutoShape 31">
          <a:hlinkClick xmlns:r="http://schemas.openxmlformats.org/officeDocument/2006/relationships" r:id="rId10"/>
          <a:extLst>
            <a:ext uri="{FF2B5EF4-FFF2-40B4-BE49-F238E27FC236}">
              <a16:creationId xmlns:a16="http://schemas.microsoft.com/office/drawing/2014/main" id="{76EC25FA-BDA9-4A27-BB5B-66902679C2C7}"/>
            </a:ext>
          </a:extLst>
        </xdr:cNvPr>
        <xdr:cNvSpPr>
          <a:spLocks noChangeArrowheads="1"/>
        </xdr:cNvSpPr>
      </xdr:nvSpPr>
      <xdr:spPr bwMode="auto">
        <a:xfrm>
          <a:off x="514350" y="2981325"/>
          <a:ext cx="1152525" cy="304800"/>
        </a:xfrm>
        <a:prstGeom prst="roundRect">
          <a:avLst>
            <a:gd name="adj" fmla="val 11921"/>
          </a:avLst>
        </a:prstGeom>
        <a:gradFill rotWithShape="0">
          <a:gsLst>
            <a:gs pos="0">
              <a:srgbClr val="375A84"/>
            </a:gs>
            <a:gs pos="100000">
              <a:srgbClr val="4F81BD"/>
            </a:gs>
          </a:gsLst>
          <a:lin ang="5400000" scaled="1"/>
        </a:gradFill>
        <a:ln w="9360" cap="sq">
          <a:solidFill>
            <a:srgbClr val="FEFEFE"/>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ctr" rtl="0">
            <a:defRPr sz="1000"/>
          </a:pPr>
          <a:r>
            <a:rPr lang="es-SV" sz="1000" b="0" i="0" u="none" strike="noStrike" baseline="0">
              <a:solidFill>
                <a:srgbClr val="FFFFFF"/>
              </a:solidFill>
              <a:latin typeface="Arial"/>
              <a:cs typeface="Arial"/>
            </a:rPr>
            <a:t>Introducción de datos</a:t>
          </a:r>
        </a:p>
      </xdr:txBody>
    </xdr:sp>
    <xdr:clientData/>
  </xdr:twoCellAnchor>
  <xdr:twoCellAnchor>
    <xdr:from>
      <xdr:col>1</xdr:col>
      <xdr:colOff>457200</xdr:colOff>
      <xdr:row>13</xdr:row>
      <xdr:rowOff>47625</xdr:rowOff>
    </xdr:from>
    <xdr:to>
      <xdr:col>1</xdr:col>
      <xdr:colOff>571500</xdr:colOff>
      <xdr:row>14</xdr:row>
      <xdr:rowOff>9525</xdr:rowOff>
    </xdr:to>
    <xdr:sp macro="" textlink="">
      <xdr:nvSpPr>
        <xdr:cNvPr id="1054" name="Freeform 32">
          <a:extLst>
            <a:ext uri="{FF2B5EF4-FFF2-40B4-BE49-F238E27FC236}">
              <a16:creationId xmlns:a16="http://schemas.microsoft.com/office/drawing/2014/main" id="{4B9A0AA7-C364-4D70-82E9-7602A2F1166E}"/>
            </a:ext>
          </a:extLst>
        </xdr:cNvPr>
        <xdr:cNvSpPr>
          <a:spLocks noChangeArrowheads="1"/>
        </xdr:cNvSpPr>
      </xdr:nvSpPr>
      <xdr:spPr bwMode="auto">
        <a:xfrm>
          <a:off x="533400" y="3000375"/>
          <a:ext cx="114300" cy="152400"/>
        </a:xfrm>
        <a:custGeom>
          <a:avLst/>
          <a:gdLst>
            <a:gd name="G0" fmla="+- 1 0 0"/>
            <a:gd name="G1" fmla="+- 65471 0 0"/>
            <a:gd name="G2" fmla="+- 18 0 0"/>
            <a:gd name="G3" fmla="*/ 1 37971 25600"/>
            <a:gd name="G4" fmla="+- 1 0 0"/>
            <a:gd name="G5" fmla="+- 1 0 0"/>
            <a:gd name="G6" fmla="*/ 1 60299 5120"/>
            <a:gd name="G7" fmla="*/ 1 13931 55552"/>
            <a:gd name="G8" fmla="*/ G7 1 180"/>
            <a:gd name="G9" fmla="*/ G6 1 G8"/>
            <a:gd name="G10" fmla="+- 1 0 0"/>
            <a:gd name="G11" fmla="*/ 1 12633 8192"/>
            <a:gd name="G12" fmla="*/ 1 5237 5120"/>
            <a:gd name="G13" fmla="*/ 1 13931 55552"/>
            <a:gd name="G14" fmla="*/ G13 1 180"/>
            <a:gd name="G15" fmla="*/ G12 1 G14"/>
            <a:gd name="G16" fmla="+- 1 0 0"/>
            <a:gd name="G17" fmla="+- 1 0 0"/>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w 596"/>
            <a:gd name="T13" fmla="*/ 0 h 598"/>
            <a:gd name="T14" fmla="*/ 596 w 596"/>
            <a:gd name="T15" fmla="*/ 598 h 598"/>
          </a:gdLst>
          <a:ahLst/>
          <a:cxnLst>
            <a:cxn ang="0">
              <a:pos x="T0" y="T1"/>
            </a:cxn>
            <a:cxn ang="0">
              <a:pos x="T2" y="T3"/>
            </a:cxn>
            <a:cxn ang="0">
              <a:pos x="T4" y="T5"/>
            </a:cxn>
            <a:cxn ang="0">
              <a:pos x="T6" y="T7"/>
            </a:cxn>
            <a:cxn ang="0">
              <a:pos x="T8" y="T9"/>
            </a:cxn>
            <a:cxn ang="0">
              <a:pos x="T10" y="T11"/>
            </a:cxn>
          </a:cxnLst>
          <a:rect l="T12" t="T13" r="T14" b="T15"/>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9FBADB"/>
            </a:gs>
            <a:gs pos="50000">
              <a:srgbClr val="4F81BD"/>
            </a:gs>
            <a:gs pos="100000">
              <a:srgbClr val="9FBADB"/>
            </a:gs>
          </a:gsLst>
          <a:lin ang="13500000" scaled="1"/>
        </a:gra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209550</xdr:colOff>
      <xdr:row>7</xdr:row>
      <xdr:rowOff>66675</xdr:rowOff>
    </xdr:from>
    <xdr:to>
      <xdr:col>4</xdr:col>
      <xdr:colOff>85725</xdr:colOff>
      <xdr:row>9</xdr:row>
      <xdr:rowOff>114300</xdr:rowOff>
    </xdr:to>
    <xdr:pic>
      <xdr:nvPicPr>
        <xdr:cNvPr id="1055" name="Picture 2012">
          <a:extLst>
            <a:ext uri="{FF2B5EF4-FFF2-40B4-BE49-F238E27FC236}">
              <a16:creationId xmlns:a16="http://schemas.microsoft.com/office/drawing/2014/main" id="{CFEF532D-FA11-4737-8E2D-6611F34AA15B}"/>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85750" y="1876425"/>
          <a:ext cx="1704975" cy="4286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257175</xdr:colOff>
      <xdr:row>7</xdr:row>
      <xdr:rowOff>104775</xdr:rowOff>
    </xdr:from>
    <xdr:to>
      <xdr:col>4</xdr:col>
      <xdr:colOff>47625</xdr:colOff>
      <xdr:row>9</xdr:row>
      <xdr:rowOff>180975</xdr:rowOff>
    </xdr:to>
    <xdr:sp macro="" textlink="" fLocksText="0">
      <xdr:nvSpPr>
        <xdr:cNvPr id="1056" name="Text Box 2013">
          <a:extLst>
            <a:ext uri="{FF2B5EF4-FFF2-40B4-BE49-F238E27FC236}">
              <a16:creationId xmlns:a16="http://schemas.microsoft.com/office/drawing/2014/main" id="{0793F3C9-3ACA-4E32-853E-38F26C91F334}"/>
            </a:ext>
          </a:extLst>
        </xdr:cNvPr>
        <xdr:cNvSpPr txBox="1">
          <a:spLocks noChangeArrowheads="1"/>
        </xdr:cNvSpPr>
      </xdr:nvSpPr>
      <xdr:spPr bwMode="auto">
        <a:xfrm>
          <a:off x="333375" y="1914525"/>
          <a:ext cx="1619250" cy="4572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ctr" rtl="0">
            <a:defRPr sz="1000"/>
          </a:pPr>
          <a:r>
            <a:rPr lang="es-SV" sz="1100" b="0" i="0" u="none" strike="noStrike" baseline="0">
              <a:solidFill>
                <a:srgbClr val="000000"/>
              </a:solidFill>
              <a:latin typeface="Arial"/>
              <a:cs typeface="Arial"/>
            </a:rPr>
            <a:t>Información de la subvención</a:t>
          </a:r>
        </a:p>
        <a:p>
          <a:pPr algn="ctr" rtl="0">
            <a:defRPr sz="1000"/>
          </a:pPr>
          <a:endParaRPr lang="es-SV" sz="1100" b="0" i="0" u="none" strike="noStrike" baseline="0">
            <a:solidFill>
              <a:srgbClr val="000000"/>
            </a:solidFill>
            <a:latin typeface="Arial"/>
            <a:cs typeface="Arial"/>
          </a:endParaRPr>
        </a:p>
      </xdr:txBody>
    </xdr:sp>
    <xdr:clientData/>
  </xdr:twoCellAnchor>
  <xdr:twoCellAnchor>
    <xdr:from>
      <xdr:col>4</xdr:col>
      <xdr:colOff>200025</xdr:colOff>
      <xdr:row>7</xdr:row>
      <xdr:rowOff>66675</xdr:rowOff>
    </xdr:from>
    <xdr:to>
      <xdr:col>7</xdr:col>
      <xdr:colOff>447675</xdr:colOff>
      <xdr:row>9</xdr:row>
      <xdr:rowOff>114300</xdr:rowOff>
    </xdr:to>
    <xdr:pic>
      <xdr:nvPicPr>
        <xdr:cNvPr id="1057" name="Picture 2016">
          <a:extLst>
            <a:ext uri="{FF2B5EF4-FFF2-40B4-BE49-F238E27FC236}">
              <a16:creationId xmlns:a16="http://schemas.microsoft.com/office/drawing/2014/main" id="{7A2DC896-9CAC-4206-B57C-F13F9B0C6A9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05025" y="1876425"/>
          <a:ext cx="2076450" cy="4286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4</xdr:col>
      <xdr:colOff>476250</xdr:colOff>
      <xdr:row>7</xdr:row>
      <xdr:rowOff>95250</xdr:rowOff>
    </xdr:from>
    <xdr:to>
      <xdr:col>7</xdr:col>
      <xdr:colOff>238125</xdr:colOff>
      <xdr:row>9</xdr:row>
      <xdr:rowOff>104775</xdr:rowOff>
    </xdr:to>
    <xdr:sp macro="" textlink="" fLocksText="0">
      <xdr:nvSpPr>
        <xdr:cNvPr id="1058" name="Text Box 2017">
          <a:extLst>
            <a:ext uri="{FF2B5EF4-FFF2-40B4-BE49-F238E27FC236}">
              <a16:creationId xmlns:a16="http://schemas.microsoft.com/office/drawing/2014/main" id="{DA8D6D77-4DAC-4BC3-87B1-C12748525F6E}"/>
            </a:ext>
          </a:extLst>
        </xdr:cNvPr>
        <xdr:cNvSpPr txBox="1">
          <a:spLocks noChangeArrowheads="1"/>
        </xdr:cNvSpPr>
      </xdr:nvSpPr>
      <xdr:spPr bwMode="auto">
        <a:xfrm>
          <a:off x="2381250" y="1905000"/>
          <a:ext cx="1590675" cy="3905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ctr" rtl="0">
            <a:defRPr sz="1000"/>
          </a:pPr>
          <a:r>
            <a:rPr lang="es-SV" sz="1200" b="0" i="0" u="none" strike="noStrike" baseline="0">
              <a:solidFill>
                <a:srgbClr val="000000"/>
              </a:solidFill>
              <a:latin typeface="Arial"/>
              <a:cs typeface="Arial"/>
            </a:rPr>
            <a:t>Indicadores</a:t>
          </a:r>
        </a:p>
        <a:p>
          <a:pPr algn="ctr" rtl="0">
            <a:defRPr sz="1000"/>
          </a:pPr>
          <a:endParaRPr lang="es-SV" sz="1200" b="0" i="0" u="none" strike="noStrike" baseline="0">
            <a:solidFill>
              <a:srgbClr val="000000"/>
            </a:solidFill>
            <a:latin typeface="Arial"/>
            <a:cs typeface="Arial"/>
          </a:endParaRPr>
        </a:p>
      </xdr:txBody>
    </xdr:sp>
    <xdr:clientData/>
  </xdr:twoCellAnchor>
  <xdr:twoCellAnchor>
    <xdr:from>
      <xdr:col>7</xdr:col>
      <xdr:colOff>590550</xdr:colOff>
      <xdr:row>7</xdr:row>
      <xdr:rowOff>76200</xdr:rowOff>
    </xdr:from>
    <xdr:to>
      <xdr:col>11</xdr:col>
      <xdr:colOff>409575</xdr:colOff>
      <xdr:row>9</xdr:row>
      <xdr:rowOff>133350</xdr:rowOff>
    </xdr:to>
    <xdr:pic>
      <xdr:nvPicPr>
        <xdr:cNvPr id="1059" name="Picture 2018">
          <a:extLst>
            <a:ext uri="{FF2B5EF4-FFF2-40B4-BE49-F238E27FC236}">
              <a16:creationId xmlns:a16="http://schemas.microsoft.com/office/drawing/2014/main" id="{A765B0CB-C715-40BB-A13B-B3A7CF7FB9D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324350" y="1885950"/>
          <a:ext cx="1762125" cy="4381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8</xdr:col>
      <xdr:colOff>47625</xdr:colOff>
      <xdr:row>7</xdr:row>
      <xdr:rowOff>95250</xdr:rowOff>
    </xdr:from>
    <xdr:to>
      <xdr:col>11</xdr:col>
      <xdr:colOff>342900</xdr:colOff>
      <xdr:row>9</xdr:row>
      <xdr:rowOff>104775</xdr:rowOff>
    </xdr:to>
    <xdr:sp macro="" textlink="" fLocksText="0">
      <xdr:nvSpPr>
        <xdr:cNvPr id="1060" name="Text Box 2019">
          <a:extLst>
            <a:ext uri="{FF2B5EF4-FFF2-40B4-BE49-F238E27FC236}">
              <a16:creationId xmlns:a16="http://schemas.microsoft.com/office/drawing/2014/main" id="{689D9F0E-EDEF-468E-A260-666C27F3CA6B}"/>
            </a:ext>
          </a:extLst>
        </xdr:cNvPr>
        <xdr:cNvSpPr txBox="1">
          <a:spLocks noChangeArrowheads="1"/>
        </xdr:cNvSpPr>
      </xdr:nvSpPr>
      <xdr:spPr bwMode="auto">
        <a:xfrm>
          <a:off x="4391025" y="1905000"/>
          <a:ext cx="1628775" cy="3905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ctr" rtl="0">
            <a:defRPr sz="1000"/>
          </a:pPr>
          <a:r>
            <a:rPr lang="es-SV" sz="1200" b="0" i="0" u="none" strike="noStrike" baseline="0">
              <a:solidFill>
                <a:srgbClr val="000000"/>
              </a:solidFill>
              <a:latin typeface="Arial"/>
              <a:cs typeface="Arial"/>
            </a:rPr>
            <a:t>Informes</a:t>
          </a:r>
        </a:p>
        <a:p>
          <a:pPr algn="ctr" rtl="0">
            <a:defRPr sz="1000"/>
          </a:pPr>
          <a:endParaRPr lang="es-SV" sz="1200" b="0" i="0" u="none" strike="noStrike" baseline="0">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114300</xdr:colOff>
      <xdr:row>1</xdr:row>
      <xdr:rowOff>66675</xdr:rowOff>
    </xdr:from>
    <xdr:to>
      <xdr:col>1</xdr:col>
      <xdr:colOff>123825</xdr:colOff>
      <xdr:row>4</xdr:row>
      <xdr:rowOff>66675</xdr:rowOff>
    </xdr:to>
    <xdr:pic>
      <xdr:nvPicPr>
        <xdr:cNvPr id="10241" name="Picture 2">
          <a:extLst>
            <a:ext uri="{FF2B5EF4-FFF2-40B4-BE49-F238E27FC236}">
              <a16:creationId xmlns:a16="http://schemas.microsoft.com/office/drawing/2014/main" id="{9BF4DA7E-0CB1-4E01-B7CA-42F8726B6B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257175"/>
          <a:ext cx="619125" cy="9715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120659</xdr:colOff>
      <xdr:row>0</xdr:row>
      <xdr:rowOff>0</xdr:rowOff>
    </xdr:from>
    <xdr:to>
      <xdr:col>19</xdr:col>
      <xdr:colOff>139709</xdr:colOff>
      <xdr:row>25</xdr:row>
      <xdr:rowOff>63500</xdr:rowOff>
    </xdr:to>
    <xdr:graphicFrame macro="">
      <xdr:nvGraphicFramePr>
        <xdr:cNvPr id="3" name="Gráfico 2">
          <a:extLst>
            <a:ext uri="{FF2B5EF4-FFF2-40B4-BE49-F238E27FC236}">
              <a16:creationId xmlns:a16="http://schemas.microsoft.com/office/drawing/2014/main" id="{8DE989F8-D189-479B-9EC6-BE1D5F3B68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472280</xdr:colOff>
      <xdr:row>19</xdr:row>
      <xdr:rowOff>21431</xdr:rowOff>
    </xdr:from>
    <xdr:to>
      <xdr:col>14</xdr:col>
      <xdr:colOff>507999</xdr:colOff>
      <xdr:row>39</xdr:row>
      <xdr:rowOff>134937</xdr:rowOff>
    </xdr:to>
    <xdr:graphicFrame macro="">
      <xdr:nvGraphicFramePr>
        <xdr:cNvPr id="5" name="Gráfico 4">
          <a:extLst>
            <a:ext uri="{FF2B5EF4-FFF2-40B4-BE49-F238E27FC236}">
              <a16:creationId xmlns:a16="http://schemas.microsoft.com/office/drawing/2014/main" id="{C5FDF546-7E04-4CB2-803A-CA8FC9D5AB1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1133475</xdr:colOff>
      <xdr:row>1</xdr:row>
      <xdr:rowOff>9525</xdr:rowOff>
    </xdr:to>
    <xdr:sp macro="" textlink="" fLocksText="0">
      <xdr:nvSpPr>
        <xdr:cNvPr id="2049" name="AutoShape 50">
          <a:hlinkClick xmlns:r="http://schemas.openxmlformats.org/officeDocument/2006/relationships" r:id="rId1"/>
          <a:extLst>
            <a:ext uri="{FF2B5EF4-FFF2-40B4-BE49-F238E27FC236}">
              <a16:creationId xmlns:a16="http://schemas.microsoft.com/office/drawing/2014/main" id="{F891D5D0-F235-48A2-9952-EC873F97D75E}"/>
            </a:ext>
          </a:extLst>
        </xdr:cNvPr>
        <xdr:cNvSpPr>
          <a:spLocks noChangeArrowheads="1"/>
        </xdr:cNvSpPr>
      </xdr:nvSpPr>
      <xdr:spPr bwMode="auto">
        <a:xfrm>
          <a:off x="28575" y="28575"/>
          <a:ext cx="1285875" cy="419100"/>
        </a:xfrm>
        <a:prstGeom prst="leftArrow">
          <a:avLst>
            <a:gd name="adj1" fmla="val 50000"/>
            <a:gd name="adj2" fmla="val 76705"/>
          </a:avLst>
        </a:prstGeom>
        <a:solidFill>
          <a:srgbClr val="FFFF99"/>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0" rIns="18000" bIns="0" anchor="ctr"/>
        <a:lstStyle/>
        <a:p>
          <a:pPr algn="ctr" rtl="0">
            <a:defRPr sz="1000"/>
          </a:pPr>
          <a:r>
            <a:rPr lang="es-SV" sz="1000" b="0" i="0" u="none" strike="noStrike" baseline="0">
              <a:solidFill>
                <a:srgbClr val="000000"/>
              </a:solidFill>
              <a:latin typeface="Calibri"/>
              <a:cs typeface="Calibri"/>
            </a:rPr>
            <a:t>Menú</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1000125</xdr:colOff>
      <xdr:row>0</xdr:row>
      <xdr:rowOff>333375</xdr:rowOff>
    </xdr:to>
    <xdr:sp macro="" textlink="" fLocksText="0">
      <xdr:nvSpPr>
        <xdr:cNvPr id="3075" name="AutoShape 50">
          <a:hlinkClick xmlns:r="http://schemas.openxmlformats.org/officeDocument/2006/relationships" r:id="rId1"/>
          <a:extLst>
            <a:ext uri="{FF2B5EF4-FFF2-40B4-BE49-F238E27FC236}">
              <a16:creationId xmlns:a16="http://schemas.microsoft.com/office/drawing/2014/main" id="{B0F34DC3-3D87-4670-B91C-768D37A58248}"/>
            </a:ext>
          </a:extLst>
        </xdr:cNvPr>
        <xdr:cNvSpPr>
          <a:spLocks noChangeArrowheads="1"/>
        </xdr:cNvSpPr>
      </xdr:nvSpPr>
      <xdr:spPr bwMode="auto">
        <a:xfrm>
          <a:off x="180975" y="0"/>
          <a:ext cx="1000125" cy="333375"/>
        </a:xfrm>
        <a:prstGeom prst="leftArrow">
          <a:avLst>
            <a:gd name="adj1" fmla="val 50000"/>
            <a:gd name="adj2" fmla="val 84542"/>
          </a:avLst>
        </a:prstGeom>
        <a:solidFill>
          <a:srgbClr val="FFFF99"/>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0" rIns="18000" bIns="0" anchor="ctr"/>
        <a:lstStyle/>
        <a:p>
          <a:pPr algn="ctr" rtl="0">
            <a:defRPr sz="1000"/>
          </a:pPr>
          <a:r>
            <a:rPr lang="es-SV" sz="1000" b="0" i="0" u="none" strike="noStrike" baseline="0">
              <a:solidFill>
                <a:srgbClr val="000000"/>
              </a:solidFill>
              <a:latin typeface="Calibri"/>
              <a:cs typeface="Calibri"/>
            </a:rPr>
            <a:t>Menú</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200025</xdr:colOff>
      <xdr:row>2</xdr:row>
      <xdr:rowOff>0</xdr:rowOff>
    </xdr:from>
    <xdr:to>
      <xdr:col>0</xdr:col>
      <xdr:colOff>1181100</xdr:colOff>
      <xdr:row>2</xdr:row>
      <xdr:rowOff>447675</xdr:rowOff>
    </xdr:to>
    <xdr:sp macro="" textlink="" fLocksText="0">
      <xdr:nvSpPr>
        <xdr:cNvPr id="4097" name="Rectangle 117">
          <a:hlinkClick xmlns:r="http://schemas.openxmlformats.org/officeDocument/2006/relationships" r:id="rId1"/>
          <a:extLst>
            <a:ext uri="{FF2B5EF4-FFF2-40B4-BE49-F238E27FC236}">
              <a16:creationId xmlns:a16="http://schemas.microsoft.com/office/drawing/2014/main" id="{04F3E488-3EDF-45B0-92CF-BEDAA9040F16}"/>
            </a:ext>
          </a:extLst>
        </xdr:cNvPr>
        <xdr:cNvSpPr>
          <a:spLocks noChangeArrowheads="1"/>
        </xdr:cNvSpPr>
      </xdr:nvSpPr>
      <xdr:spPr bwMode="auto">
        <a:xfrm>
          <a:off x="200025" y="590550"/>
          <a:ext cx="981075" cy="447675"/>
        </a:xfrm>
        <a:prstGeom prst="rect">
          <a:avLst/>
        </a:prstGeom>
        <a:solidFill>
          <a:srgbClr val="FFFFFF"/>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0" bIns="0" anchor="t"/>
        <a:lstStyle/>
        <a:p>
          <a:pPr algn="l" rtl="0">
            <a:defRPr sz="1000"/>
          </a:pPr>
          <a:r>
            <a:rPr lang="es-SV" sz="900" b="0" i="0" u="none" strike="noStrike" baseline="0">
              <a:solidFill>
                <a:srgbClr val="000000"/>
              </a:solidFill>
              <a:latin typeface="Calibri"/>
              <a:cs typeface="Calibri"/>
            </a:rPr>
            <a:t>http://www.crwflags.com/fotw/flags/country.html</a:t>
          </a:r>
        </a:p>
      </xdr:txBody>
    </xdr:sp>
    <xdr:clientData/>
  </xdr:twoCellAnchor>
  <xdr:twoCellAnchor>
    <xdr:from>
      <xdr:col>0</xdr:col>
      <xdr:colOff>85725</xdr:colOff>
      <xdr:row>0</xdr:row>
      <xdr:rowOff>38100</xdr:rowOff>
    </xdr:from>
    <xdr:to>
      <xdr:col>0</xdr:col>
      <xdr:colOff>1009650</xdr:colOff>
      <xdr:row>1</xdr:row>
      <xdr:rowOff>104775</xdr:rowOff>
    </xdr:to>
    <xdr:sp macro="" textlink="" fLocksText="0">
      <xdr:nvSpPr>
        <xdr:cNvPr id="4098" name="AutoShape 50">
          <a:hlinkClick xmlns:r="http://schemas.openxmlformats.org/officeDocument/2006/relationships" r:id="rId2"/>
          <a:extLst>
            <a:ext uri="{FF2B5EF4-FFF2-40B4-BE49-F238E27FC236}">
              <a16:creationId xmlns:a16="http://schemas.microsoft.com/office/drawing/2014/main" id="{71974D74-1CD7-4002-9D92-3D6CA3260EE3}"/>
            </a:ext>
          </a:extLst>
        </xdr:cNvPr>
        <xdr:cNvSpPr>
          <a:spLocks noChangeArrowheads="1"/>
        </xdr:cNvSpPr>
      </xdr:nvSpPr>
      <xdr:spPr bwMode="auto">
        <a:xfrm>
          <a:off x="85725" y="38100"/>
          <a:ext cx="923925" cy="333375"/>
        </a:xfrm>
        <a:prstGeom prst="leftArrow">
          <a:avLst>
            <a:gd name="adj1" fmla="val 50000"/>
            <a:gd name="adj2" fmla="val 78100"/>
          </a:avLst>
        </a:prstGeom>
        <a:solidFill>
          <a:srgbClr val="FFFF99"/>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0" rIns="18000" bIns="0" anchor="ctr"/>
        <a:lstStyle/>
        <a:p>
          <a:pPr algn="ctr" rtl="0">
            <a:defRPr sz="1000"/>
          </a:pPr>
          <a:r>
            <a:rPr lang="es-SV" sz="1000" b="0" i="0" u="none" strike="noStrike" baseline="0">
              <a:solidFill>
                <a:srgbClr val="000000"/>
              </a:solidFill>
              <a:latin typeface="Calibri"/>
              <a:cs typeface="Calibri"/>
            </a:rPr>
            <a:t>Menú</a:t>
          </a:r>
        </a:p>
      </xdr:txBody>
    </xdr:sp>
    <xdr:clientData/>
  </xdr:twoCellAnchor>
  <xdr:twoCellAnchor>
    <xdr:from>
      <xdr:col>0</xdr:col>
      <xdr:colOff>219075</xdr:colOff>
      <xdr:row>1</xdr:row>
      <xdr:rowOff>276225</xdr:rowOff>
    </xdr:from>
    <xdr:to>
      <xdr:col>0</xdr:col>
      <xdr:colOff>1238250</xdr:colOff>
      <xdr:row>3</xdr:row>
      <xdr:rowOff>38100</xdr:rowOff>
    </xdr:to>
    <xdr:pic>
      <xdr:nvPicPr>
        <xdr:cNvPr id="4099" name="Picture 711">
          <a:extLst>
            <a:ext uri="{FF2B5EF4-FFF2-40B4-BE49-F238E27FC236}">
              <a16:creationId xmlns:a16="http://schemas.microsoft.com/office/drawing/2014/main" id="{A2C75169-C55B-47AC-A70B-5A93C0D18DFE}"/>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19075" y="542925"/>
          <a:ext cx="1019175" cy="5429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15875</xdr:colOff>
      <xdr:row>9</xdr:row>
      <xdr:rowOff>87312</xdr:rowOff>
    </xdr:from>
    <xdr:to>
      <xdr:col>21</xdr:col>
      <xdr:colOff>31749</xdr:colOff>
      <xdr:row>21</xdr:row>
      <xdr:rowOff>111125</xdr:rowOff>
    </xdr:to>
    <xdr:graphicFrame macro="">
      <xdr:nvGraphicFramePr>
        <xdr:cNvPr id="5122" name="Gráfico 2">
          <a:extLst>
            <a:ext uri="{FF2B5EF4-FFF2-40B4-BE49-F238E27FC236}">
              <a16:creationId xmlns:a16="http://schemas.microsoft.com/office/drawing/2014/main" id="{4BB96A60-2439-46DC-BB65-56844829FE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38099</xdr:colOff>
      <xdr:row>23</xdr:row>
      <xdr:rowOff>47625</xdr:rowOff>
    </xdr:from>
    <xdr:to>
      <xdr:col>6</xdr:col>
      <xdr:colOff>206375</xdr:colOff>
      <xdr:row>35</xdr:row>
      <xdr:rowOff>39687</xdr:rowOff>
    </xdr:to>
    <xdr:graphicFrame macro="">
      <xdr:nvGraphicFramePr>
        <xdr:cNvPr id="5123" name="Gráfico 3">
          <a:extLst>
            <a:ext uri="{FF2B5EF4-FFF2-40B4-BE49-F238E27FC236}">
              <a16:creationId xmlns:a16="http://schemas.microsoft.com/office/drawing/2014/main" id="{BE1859C3-9C7B-4984-9118-2697602CCF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0</xdr:row>
      <xdr:rowOff>0</xdr:rowOff>
    </xdr:from>
    <xdr:to>
      <xdr:col>1</xdr:col>
      <xdr:colOff>685800</xdr:colOff>
      <xdr:row>0</xdr:row>
      <xdr:rowOff>333375</xdr:rowOff>
    </xdr:to>
    <xdr:sp macro="" textlink="" fLocksText="0">
      <xdr:nvSpPr>
        <xdr:cNvPr id="5124" name="AutoShape 50">
          <a:hlinkClick xmlns:r="http://schemas.openxmlformats.org/officeDocument/2006/relationships" r:id="rId3"/>
          <a:extLst>
            <a:ext uri="{FF2B5EF4-FFF2-40B4-BE49-F238E27FC236}">
              <a16:creationId xmlns:a16="http://schemas.microsoft.com/office/drawing/2014/main" id="{695C6C44-93B3-4E2D-9920-A4B073A25CB5}"/>
            </a:ext>
          </a:extLst>
        </xdr:cNvPr>
        <xdr:cNvSpPr>
          <a:spLocks noChangeArrowheads="1"/>
        </xdr:cNvSpPr>
      </xdr:nvSpPr>
      <xdr:spPr bwMode="auto">
        <a:xfrm>
          <a:off x="0" y="0"/>
          <a:ext cx="923925" cy="333375"/>
        </a:xfrm>
        <a:prstGeom prst="leftArrow">
          <a:avLst>
            <a:gd name="adj1" fmla="val 50000"/>
            <a:gd name="adj2" fmla="val 78100"/>
          </a:avLst>
        </a:prstGeom>
        <a:solidFill>
          <a:srgbClr val="FFFF99"/>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0" rIns="18000" bIns="0" anchor="ctr"/>
        <a:lstStyle/>
        <a:p>
          <a:pPr algn="ctr" rtl="0">
            <a:defRPr sz="1000"/>
          </a:pPr>
          <a:r>
            <a:rPr lang="es-SV" sz="1000" b="0" i="0" u="none" strike="noStrike" baseline="0">
              <a:solidFill>
                <a:srgbClr val="000000"/>
              </a:solidFill>
              <a:latin typeface="Calibri"/>
              <a:cs typeface="Calibri"/>
            </a:rPr>
            <a:t>Menú</a:t>
          </a:r>
        </a:p>
      </xdr:txBody>
    </xdr:sp>
    <xdr:clientData/>
  </xdr:twoCellAnchor>
  <xdr:twoCellAnchor>
    <xdr:from>
      <xdr:col>1</xdr:col>
      <xdr:colOff>15875</xdr:colOff>
      <xdr:row>9</xdr:row>
      <xdr:rowOff>61118</xdr:rowOff>
    </xdr:from>
    <xdr:to>
      <xdr:col>5</xdr:col>
      <xdr:colOff>1674812</xdr:colOff>
      <xdr:row>20</xdr:row>
      <xdr:rowOff>119062</xdr:rowOff>
    </xdr:to>
    <xdr:graphicFrame macro="">
      <xdr:nvGraphicFramePr>
        <xdr:cNvPr id="3" name="Gráfico 2">
          <a:extLst>
            <a:ext uri="{FF2B5EF4-FFF2-40B4-BE49-F238E27FC236}">
              <a16:creationId xmlns:a16="http://schemas.microsoft.com/office/drawing/2014/main" id="{6AABA5BA-6C54-4116-8E32-8F24887B1B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1209675</xdr:colOff>
      <xdr:row>8</xdr:row>
      <xdr:rowOff>123825</xdr:rowOff>
    </xdr:from>
    <xdr:to>
      <xdr:col>12</xdr:col>
      <xdr:colOff>0</xdr:colOff>
      <xdr:row>16</xdr:row>
      <xdr:rowOff>76200</xdr:rowOff>
    </xdr:to>
    <xdr:graphicFrame macro="">
      <xdr:nvGraphicFramePr>
        <xdr:cNvPr id="6145" name="Gráfico 1">
          <a:extLst>
            <a:ext uri="{FF2B5EF4-FFF2-40B4-BE49-F238E27FC236}">
              <a16:creationId xmlns:a16="http://schemas.microsoft.com/office/drawing/2014/main" id="{65175A44-1AEB-4C10-BF71-D74C912620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209550</xdr:colOff>
      <xdr:row>18</xdr:row>
      <xdr:rowOff>76200</xdr:rowOff>
    </xdr:from>
    <xdr:to>
      <xdr:col>5</xdr:col>
      <xdr:colOff>733425</xdr:colOff>
      <xdr:row>26</xdr:row>
      <xdr:rowOff>285750</xdr:rowOff>
    </xdr:to>
    <xdr:graphicFrame macro="">
      <xdr:nvGraphicFramePr>
        <xdr:cNvPr id="6146" name="Gráfico 2">
          <a:extLst>
            <a:ext uri="{FF2B5EF4-FFF2-40B4-BE49-F238E27FC236}">
              <a16:creationId xmlns:a16="http://schemas.microsoft.com/office/drawing/2014/main" id="{9F507436-9867-4061-913C-32461520D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8</xdr:row>
      <xdr:rowOff>114300</xdr:rowOff>
    </xdr:from>
    <xdr:to>
      <xdr:col>6</xdr:col>
      <xdr:colOff>142875</xdr:colOff>
      <xdr:row>14</xdr:row>
      <xdr:rowOff>342900</xdr:rowOff>
    </xdr:to>
    <xdr:graphicFrame macro="">
      <xdr:nvGraphicFramePr>
        <xdr:cNvPr id="6147" name="Gráfico 3">
          <a:extLst>
            <a:ext uri="{FF2B5EF4-FFF2-40B4-BE49-F238E27FC236}">
              <a16:creationId xmlns:a16="http://schemas.microsoft.com/office/drawing/2014/main" id="{03FBB566-F4E0-4ACA-9A15-C545269FCA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314325</xdr:colOff>
      <xdr:row>20</xdr:row>
      <xdr:rowOff>28575</xdr:rowOff>
    </xdr:from>
    <xdr:to>
      <xdr:col>12</xdr:col>
      <xdr:colOff>38100</xdr:colOff>
      <xdr:row>27</xdr:row>
      <xdr:rowOff>85725</xdr:rowOff>
    </xdr:to>
    <xdr:graphicFrame macro="">
      <xdr:nvGraphicFramePr>
        <xdr:cNvPr id="6148" name="Gráfico 4">
          <a:extLst>
            <a:ext uri="{FF2B5EF4-FFF2-40B4-BE49-F238E27FC236}">
              <a16:creationId xmlns:a16="http://schemas.microsoft.com/office/drawing/2014/main" id="{6DC957E2-C7D6-4B77-A768-A3B571E1EF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28</xdr:row>
      <xdr:rowOff>76200</xdr:rowOff>
    </xdr:from>
    <xdr:to>
      <xdr:col>6</xdr:col>
      <xdr:colOff>304800</xdr:colOff>
      <xdr:row>33</xdr:row>
      <xdr:rowOff>95250</xdr:rowOff>
    </xdr:to>
    <xdr:graphicFrame macro="">
      <xdr:nvGraphicFramePr>
        <xdr:cNvPr id="6149" name="Gráfico 5">
          <a:extLst>
            <a:ext uri="{FF2B5EF4-FFF2-40B4-BE49-F238E27FC236}">
              <a16:creationId xmlns:a16="http://schemas.microsoft.com/office/drawing/2014/main" id="{F9BB63DD-32E6-4A1F-A174-D2B866CA08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0</xdr:row>
      <xdr:rowOff>9525</xdr:rowOff>
    </xdr:from>
    <xdr:to>
      <xdr:col>1</xdr:col>
      <xdr:colOff>704850</xdr:colOff>
      <xdr:row>0</xdr:row>
      <xdr:rowOff>342900</xdr:rowOff>
    </xdr:to>
    <xdr:sp macro="" textlink="" fLocksText="0">
      <xdr:nvSpPr>
        <xdr:cNvPr id="6150" name="AutoShape 50">
          <a:hlinkClick xmlns:r="http://schemas.openxmlformats.org/officeDocument/2006/relationships" r:id="rId6"/>
          <a:extLst>
            <a:ext uri="{FF2B5EF4-FFF2-40B4-BE49-F238E27FC236}">
              <a16:creationId xmlns:a16="http://schemas.microsoft.com/office/drawing/2014/main" id="{254F79F7-5AA1-4685-BC88-333911845F57}"/>
            </a:ext>
          </a:extLst>
        </xdr:cNvPr>
        <xdr:cNvSpPr>
          <a:spLocks noChangeArrowheads="1"/>
        </xdr:cNvSpPr>
      </xdr:nvSpPr>
      <xdr:spPr bwMode="auto">
        <a:xfrm>
          <a:off x="0" y="9525"/>
          <a:ext cx="923925" cy="333375"/>
        </a:xfrm>
        <a:prstGeom prst="leftArrow">
          <a:avLst>
            <a:gd name="adj1" fmla="val 50000"/>
            <a:gd name="adj2" fmla="val 78100"/>
          </a:avLst>
        </a:prstGeom>
        <a:solidFill>
          <a:srgbClr val="FFFF99"/>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0" rIns="18000" bIns="0" anchor="ctr"/>
        <a:lstStyle/>
        <a:p>
          <a:pPr algn="ctr" rtl="0">
            <a:defRPr sz="1000"/>
          </a:pPr>
          <a:r>
            <a:rPr lang="es-SV" sz="1000" b="0" i="0" u="none" strike="noStrike" baseline="0">
              <a:solidFill>
                <a:srgbClr val="000000"/>
              </a:solidFill>
              <a:latin typeface="Calibri"/>
              <a:cs typeface="Calibri"/>
            </a:rPr>
            <a:t>Menú</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161925</xdr:colOff>
      <xdr:row>9</xdr:row>
      <xdr:rowOff>47625</xdr:rowOff>
    </xdr:from>
    <xdr:to>
      <xdr:col>11</xdr:col>
      <xdr:colOff>66675</xdr:colOff>
      <xdr:row>17</xdr:row>
      <xdr:rowOff>0</xdr:rowOff>
    </xdr:to>
    <xdr:graphicFrame macro="">
      <xdr:nvGraphicFramePr>
        <xdr:cNvPr id="7169" name="Gráfico 1">
          <a:extLst>
            <a:ext uri="{FF2B5EF4-FFF2-40B4-BE49-F238E27FC236}">
              <a16:creationId xmlns:a16="http://schemas.microsoft.com/office/drawing/2014/main" id="{FCB8874B-A9C2-45A4-95F4-D7F7C25E27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161925</xdr:colOff>
      <xdr:row>9</xdr:row>
      <xdr:rowOff>57150</xdr:rowOff>
    </xdr:from>
    <xdr:to>
      <xdr:col>16</xdr:col>
      <xdr:colOff>762000</xdr:colOff>
      <xdr:row>16</xdr:row>
      <xdr:rowOff>219075</xdr:rowOff>
    </xdr:to>
    <xdr:graphicFrame macro="">
      <xdr:nvGraphicFramePr>
        <xdr:cNvPr id="7170" name="Gráfico 2">
          <a:extLst>
            <a:ext uri="{FF2B5EF4-FFF2-40B4-BE49-F238E27FC236}">
              <a16:creationId xmlns:a16="http://schemas.microsoft.com/office/drawing/2014/main" id="{5F2B93D5-C513-4A42-B271-EE73D05AD8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0</xdr:row>
      <xdr:rowOff>19050</xdr:rowOff>
    </xdr:from>
    <xdr:to>
      <xdr:col>1</xdr:col>
      <xdr:colOff>933450</xdr:colOff>
      <xdr:row>1</xdr:row>
      <xdr:rowOff>19050</xdr:rowOff>
    </xdr:to>
    <xdr:sp macro="" textlink="" fLocksText="0">
      <xdr:nvSpPr>
        <xdr:cNvPr id="7171" name="AutoShape 50">
          <a:hlinkClick xmlns:r="http://schemas.openxmlformats.org/officeDocument/2006/relationships" r:id="rId3"/>
          <a:extLst>
            <a:ext uri="{FF2B5EF4-FFF2-40B4-BE49-F238E27FC236}">
              <a16:creationId xmlns:a16="http://schemas.microsoft.com/office/drawing/2014/main" id="{0DC73104-8DC3-4A86-B77E-4E67AF068531}"/>
            </a:ext>
          </a:extLst>
        </xdr:cNvPr>
        <xdr:cNvSpPr>
          <a:spLocks noChangeArrowheads="1"/>
        </xdr:cNvSpPr>
      </xdr:nvSpPr>
      <xdr:spPr bwMode="auto">
        <a:xfrm>
          <a:off x="0" y="19050"/>
          <a:ext cx="933450" cy="333375"/>
        </a:xfrm>
        <a:prstGeom prst="leftArrow">
          <a:avLst>
            <a:gd name="adj1" fmla="val 50000"/>
            <a:gd name="adj2" fmla="val 78906"/>
          </a:avLst>
        </a:prstGeom>
        <a:solidFill>
          <a:srgbClr val="FFFF99"/>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0" rIns="18000" bIns="0" anchor="ctr"/>
        <a:lstStyle/>
        <a:p>
          <a:pPr algn="ctr" rtl="0">
            <a:defRPr sz="1000"/>
          </a:pPr>
          <a:r>
            <a:rPr lang="es-SV" sz="1000" b="0" i="0" u="none" strike="noStrike" baseline="0">
              <a:solidFill>
                <a:srgbClr val="000000"/>
              </a:solidFill>
              <a:latin typeface="Calibri"/>
              <a:cs typeface="Calibri"/>
            </a:rPr>
            <a:t>Menú</a:t>
          </a:r>
        </a:p>
      </xdr:txBody>
    </xdr:sp>
    <xdr:clientData/>
  </xdr:twoCellAnchor>
  <xdr:twoCellAnchor>
    <xdr:from>
      <xdr:col>1</xdr:col>
      <xdr:colOff>190500</xdr:colOff>
      <xdr:row>9</xdr:row>
      <xdr:rowOff>38100</xdr:rowOff>
    </xdr:from>
    <xdr:to>
      <xdr:col>4</xdr:col>
      <xdr:colOff>400050</xdr:colOff>
      <xdr:row>16</xdr:row>
      <xdr:rowOff>219075</xdr:rowOff>
    </xdr:to>
    <xdr:graphicFrame macro="">
      <xdr:nvGraphicFramePr>
        <xdr:cNvPr id="7172" name="Gráfico 4">
          <a:extLst>
            <a:ext uri="{FF2B5EF4-FFF2-40B4-BE49-F238E27FC236}">
              <a16:creationId xmlns:a16="http://schemas.microsoft.com/office/drawing/2014/main" id="{AD55FFFF-1A18-447C-9861-F3E5B45B24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0</xdr:row>
      <xdr:rowOff>47625</xdr:rowOff>
    </xdr:from>
    <xdr:to>
      <xdr:col>1</xdr:col>
      <xdr:colOff>914400</xdr:colOff>
      <xdr:row>0</xdr:row>
      <xdr:rowOff>381000</xdr:rowOff>
    </xdr:to>
    <xdr:sp macro="" textlink="" fLocksText="0">
      <xdr:nvSpPr>
        <xdr:cNvPr id="8193" name="AutoShape 50">
          <a:hlinkClick xmlns:r="http://schemas.openxmlformats.org/officeDocument/2006/relationships" r:id="rId1"/>
          <a:extLst>
            <a:ext uri="{FF2B5EF4-FFF2-40B4-BE49-F238E27FC236}">
              <a16:creationId xmlns:a16="http://schemas.microsoft.com/office/drawing/2014/main" id="{5C1D0094-6122-446E-9E1A-B928E99A1AAF}"/>
            </a:ext>
          </a:extLst>
        </xdr:cNvPr>
        <xdr:cNvSpPr>
          <a:spLocks noChangeArrowheads="1"/>
        </xdr:cNvSpPr>
      </xdr:nvSpPr>
      <xdr:spPr bwMode="auto">
        <a:xfrm>
          <a:off x="47625" y="47625"/>
          <a:ext cx="942975" cy="333375"/>
        </a:xfrm>
        <a:prstGeom prst="leftArrow">
          <a:avLst>
            <a:gd name="adj1" fmla="val 50000"/>
            <a:gd name="adj2" fmla="val 79711"/>
          </a:avLst>
        </a:prstGeom>
        <a:solidFill>
          <a:srgbClr val="FFFF99"/>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0" rIns="18000" bIns="0" anchor="ctr"/>
        <a:lstStyle/>
        <a:p>
          <a:pPr algn="ctr" rtl="0">
            <a:defRPr sz="1000"/>
          </a:pPr>
          <a:r>
            <a:rPr lang="es-SV" sz="1000" b="0" i="0" u="none" strike="noStrike" baseline="0">
              <a:solidFill>
                <a:srgbClr val="000000"/>
              </a:solidFill>
              <a:latin typeface="Calibri"/>
              <a:cs typeface="Calibri"/>
            </a:rPr>
            <a:t>Menú</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733425</xdr:colOff>
      <xdr:row>0</xdr:row>
      <xdr:rowOff>352425</xdr:rowOff>
    </xdr:to>
    <xdr:sp macro="" textlink="" fLocksText="0">
      <xdr:nvSpPr>
        <xdr:cNvPr id="9217" name="AutoShape 50">
          <a:hlinkClick xmlns:r="http://schemas.openxmlformats.org/officeDocument/2006/relationships" r:id="rId1"/>
          <a:extLst>
            <a:ext uri="{FF2B5EF4-FFF2-40B4-BE49-F238E27FC236}">
              <a16:creationId xmlns:a16="http://schemas.microsoft.com/office/drawing/2014/main" id="{452CCD07-FE56-46A0-8071-F77450FEACD7}"/>
            </a:ext>
          </a:extLst>
        </xdr:cNvPr>
        <xdr:cNvSpPr>
          <a:spLocks noChangeArrowheads="1"/>
        </xdr:cNvSpPr>
      </xdr:nvSpPr>
      <xdr:spPr bwMode="auto">
        <a:xfrm>
          <a:off x="28575" y="28575"/>
          <a:ext cx="2295525" cy="323850"/>
        </a:xfrm>
        <a:prstGeom prst="leftArrow">
          <a:avLst>
            <a:gd name="adj1" fmla="val 50000"/>
            <a:gd name="adj2" fmla="val 199750"/>
          </a:avLst>
        </a:prstGeom>
        <a:solidFill>
          <a:srgbClr val="FFFF99"/>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0" rIns="18000" bIns="0" anchor="ctr"/>
        <a:lstStyle/>
        <a:p>
          <a:pPr algn="ctr" rtl="0">
            <a:defRPr sz="1000"/>
          </a:pPr>
          <a:r>
            <a:rPr lang="es-SV" sz="1000" b="0" i="0" u="none" strike="noStrike" baseline="0">
              <a:solidFill>
                <a:srgbClr val="000000"/>
              </a:solidFill>
              <a:latin typeface="Calibri"/>
              <a:cs typeface="Calibri"/>
            </a:rPr>
            <a:t>Menú</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tmp\mozilla_mlgonzalez0\Users\gfuentes\AppData\Local\Microsoft\Windows\Temporary%20Internet%20Files\OLKA46A\Documents%20and%20Settings\Administrator\My%20Documents\Downloads\Ficticia%20HIV%20Dashboard_ES%20-%20Set%20Up%20and%20Maintenance%20Guid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fuentes\Desktop\SUBRECEPTOR-PLAN\Informe%20T&#233;cnico%20y%20Financiero%20Trimestre%20II%20SR%20Plan\Documentos%20financieros%20T2_2019\REVISION%20MINSAL\PUDR%20SR%20Plan%20%20al%2030_06_2019%20rev.31_07%20-%20REV.%20MINS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indicadores"/>
      <sheetName val="Introducción de datos"/>
      <sheetName val="Información de la subvención"/>
      <sheetName val="Financiamiento"/>
      <sheetName val="Gestión"/>
      <sheetName val="Programatico"/>
      <sheetName val="Recomendaciones"/>
      <sheetName val="Acciones"/>
      <sheetName val="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Conciliación del efectivo SR"/>
      <sheetName val="SSR conciliación del efectivo"/>
      <sheetName val="Variación presupuestaria"/>
      <sheetName val="Informe Mejorado"/>
      <sheetName val="Previsión del efectivo"/>
      <sheetName val="EJE FIN REV MINSAL"/>
      <sheetName val="EJECUCION FINANCIERA TRIMESTRAL"/>
      <sheetName val="EJECUCION FINANCIERA ACUMULADA"/>
      <sheetName val="COMPROMISOS"/>
    </sheetNames>
    <sheetDataSet>
      <sheetData sheetId="0"/>
      <sheetData sheetId="1">
        <row r="14">
          <cell r="C14">
            <v>1401</v>
          </cell>
          <cell r="D14">
            <v>1334.8600000000001</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1"/>
  </sheetPr>
  <dimension ref="B1:O4"/>
  <sheetViews>
    <sheetView showGridLines="0" workbookViewId="0"/>
  </sheetViews>
  <sheetFormatPr baseColWidth="10" defaultColWidth="9.1796875" defaultRowHeight="14.5"/>
  <cols>
    <col min="1" max="1" width="1.1796875" customWidth="1"/>
    <col min="11" max="11" width="1.7265625" customWidth="1"/>
  </cols>
  <sheetData>
    <row r="1" spans="2:15" ht="25.5" customHeight="1"/>
    <row r="2" spans="2:15" ht="36">
      <c r="B2" s="429" t="s">
        <v>0</v>
      </c>
      <c r="C2" s="429"/>
      <c r="D2" s="429"/>
      <c r="E2" s="429"/>
      <c r="F2" s="429"/>
      <c r="G2" s="429"/>
      <c r="H2" s="429"/>
      <c r="I2" s="429"/>
      <c r="J2" s="429"/>
      <c r="K2" s="429"/>
      <c r="L2" s="429"/>
      <c r="M2" s="1"/>
      <c r="N2" s="1"/>
      <c r="O2" s="1"/>
    </row>
    <row r="4" spans="2:15" ht="21">
      <c r="B4" s="430" t="s">
        <v>1</v>
      </c>
      <c r="C4" s="430"/>
      <c r="D4" s="430"/>
      <c r="E4" s="430"/>
      <c r="F4" s="2"/>
      <c r="G4" s="2"/>
      <c r="H4" s="3" t="s">
        <v>2</v>
      </c>
      <c r="I4" s="3"/>
      <c r="J4" s="3"/>
      <c r="K4" s="2"/>
      <c r="L4" s="2"/>
    </row>
  </sheetData>
  <sheetProtection selectLockedCells="1" selectUnlockedCells="1"/>
  <mergeCells count="2">
    <mergeCell ref="B2:L2"/>
    <mergeCell ref="B4:E4"/>
  </mergeCells>
  <pageMargins left="0.70833333333333337" right="0.70833333333333337" top="0.74791666666666667" bottom="0.74861111111111112" header="0.51180555555555551" footer="0.31527777777777777"/>
  <pageSetup paperSize="9" firstPageNumber="0" orientation="landscape" horizontalDpi="300" verticalDpi="300"/>
  <headerFooter alignWithMargins="0">
    <oddFooter>&amp;L&amp;F&amp;C&amp;A&amp;R&amp;D</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M48"/>
  <sheetViews>
    <sheetView showGridLines="0" topLeftCell="A16" zoomScale="80" zoomScaleNormal="80" workbookViewId="0">
      <selection activeCell="M18" sqref="M18"/>
    </sheetView>
  </sheetViews>
  <sheetFormatPr baseColWidth="10" defaultColWidth="9.1796875" defaultRowHeight="14.5"/>
  <cols>
    <col min="2" max="2" width="16.1796875" customWidth="1"/>
    <col min="3" max="3" width="14.7265625" customWidth="1"/>
    <col min="4" max="4" width="15.54296875" customWidth="1"/>
    <col min="7" max="7" width="14.453125" customWidth="1"/>
    <col min="8" max="8" width="35.54296875" customWidth="1"/>
    <col min="9" max="9" width="45.7265625" customWidth="1"/>
    <col min="10" max="10" width="33.54296875" customWidth="1"/>
    <col min="13" max="13" width="28.54296875" customWidth="1"/>
    <col min="14" max="14" width="46.453125" customWidth="1"/>
  </cols>
  <sheetData>
    <row r="2" spans="2:13" ht="25.5" customHeight="1"/>
    <row r="3" spans="2:13" ht="36">
      <c r="B3" s="506" t="str">
        <f>'Información de la subvención'!B3:J3</f>
        <v>Tablero de mando:  El Salvador - VIH / SIDA</v>
      </c>
      <c r="C3" s="506"/>
      <c r="D3" s="506"/>
      <c r="E3" s="506"/>
      <c r="F3" s="506"/>
      <c r="G3" s="506"/>
      <c r="H3" s="506"/>
      <c r="I3" s="261"/>
    </row>
    <row r="6" spans="2:13" ht="18.5">
      <c r="B6" s="612" t="s">
        <v>254</v>
      </c>
      <c r="C6" s="612"/>
      <c r="D6" s="612"/>
      <c r="E6" s="612"/>
      <c r="F6" s="612"/>
      <c r="G6" s="612"/>
      <c r="H6" s="612"/>
    </row>
    <row r="8" spans="2:13" ht="18.5">
      <c r="B8" s="377" t="s">
        <v>255</v>
      </c>
      <c r="C8" s="377" t="s">
        <v>256</v>
      </c>
      <c r="D8" s="377" t="s">
        <v>257</v>
      </c>
      <c r="E8" s="377" t="s">
        <v>258</v>
      </c>
      <c r="F8" s="377" t="s">
        <v>259</v>
      </c>
      <c r="G8" s="377" t="s">
        <v>260</v>
      </c>
      <c r="H8" s="377" t="s">
        <v>261</v>
      </c>
      <c r="I8" s="377" t="s">
        <v>262</v>
      </c>
      <c r="J8" s="377" t="s">
        <v>263</v>
      </c>
    </row>
    <row r="9" spans="2:13">
      <c r="B9" s="378" t="s">
        <v>264</v>
      </c>
      <c r="C9" s="378" t="s">
        <v>264</v>
      </c>
      <c r="D9" s="378" t="s">
        <v>264</v>
      </c>
      <c r="E9" s="378" t="s">
        <v>264</v>
      </c>
      <c r="F9" s="378" t="s">
        <v>264</v>
      </c>
      <c r="G9" s="378" t="s">
        <v>264</v>
      </c>
      <c r="H9" s="378" t="s">
        <v>264</v>
      </c>
      <c r="I9" s="379" t="s">
        <v>264</v>
      </c>
      <c r="J9" s="378" t="s">
        <v>264</v>
      </c>
    </row>
    <row r="10" spans="2:13">
      <c r="B10" s="380" t="s">
        <v>54</v>
      </c>
      <c r="C10" s="380" t="s">
        <v>82</v>
      </c>
      <c r="D10" s="380" t="s">
        <v>265</v>
      </c>
      <c r="E10" s="380" t="s">
        <v>266</v>
      </c>
      <c r="F10" s="380" t="s">
        <v>70</v>
      </c>
      <c r="G10" s="380" t="s">
        <v>267</v>
      </c>
      <c r="H10" s="381" t="s">
        <v>268</v>
      </c>
      <c r="I10" s="379" t="s">
        <v>269</v>
      </c>
      <c r="J10" s="378" t="s">
        <v>270</v>
      </c>
    </row>
    <row r="11" spans="2:13">
      <c r="B11" s="380" t="s">
        <v>271</v>
      </c>
      <c r="C11" s="380" t="s">
        <v>272</v>
      </c>
      <c r="D11" s="380" t="s">
        <v>273</v>
      </c>
      <c r="E11" s="380" t="s">
        <v>61</v>
      </c>
      <c r="F11" s="380" t="s">
        <v>86</v>
      </c>
      <c r="G11" s="380" t="s">
        <v>274</v>
      </c>
      <c r="H11" s="381" t="s">
        <v>275</v>
      </c>
      <c r="I11" s="379" t="s">
        <v>276</v>
      </c>
      <c r="J11" s="378" t="s">
        <v>277</v>
      </c>
    </row>
    <row r="12" spans="2:13">
      <c r="B12" s="380" t="s">
        <v>278</v>
      </c>
      <c r="D12" s="380" t="s">
        <v>279</v>
      </c>
      <c r="E12" s="380" t="s">
        <v>280</v>
      </c>
      <c r="F12" s="380" t="s">
        <v>87</v>
      </c>
      <c r="G12" s="380" t="s">
        <v>281</v>
      </c>
      <c r="H12" s="381" t="s">
        <v>282</v>
      </c>
      <c r="I12" s="379" t="s">
        <v>283</v>
      </c>
      <c r="J12" s="378" t="s">
        <v>284</v>
      </c>
      <c r="M12" s="382"/>
    </row>
    <row r="13" spans="2:13">
      <c r="B13" s="380" t="s">
        <v>285</v>
      </c>
      <c r="D13" s="380" t="s">
        <v>286</v>
      </c>
      <c r="E13" s="383"/>
      <c r="F13" s="380" t="s">
        <v>88</v>
      </c>
      <c r="G13" s="380" t="s">
        <v>66</v>
      </c>
      <c r="H13" s="381" t="s">
        <v>287</v>
      </c>
      <c r="I13" s="379" t="s">
        <v>288</v>
      </c>
      <c r="J13" s="378" t="s">
        <v>289</v>
      </c>
      <c r="M13" s="382"/>
    </row>
    <row r="14" spans="2:13">
      <c r="B14" s="380" t="s">
        <v>290</v>
      </c>
      <c r="D14" s="380" t="s">
        <v>291</v>
      </c>
      <c r="F14" s="380" t="s">
        <v>89</v>
      </c>
      <c r="G14" s="380" t="s">
        <v>292</v>
      </c>
      <c r="H14" s="381" t="s">
        <v>293</v>
      </c>
      <c r="I14" s="379" t="s">
        <v>294</v>
      </c>
      <c r="J14" s="378" t="s">
        <v>295</v>
      </c>
      <c r="M14" s="382"/>
    </row>
    <row r="15" spans="2:13">
      <c r="D15" s="380" t="s">
        <v>296</v>
      </c>
      <c r="F15" s="380" t="s">
        <v>90</v>
      </c>
      <c r="H15" s="381" t="s">
        <v>297</v>
      </c>
      <c r="I15" s="379" t="s">
        <v>298</v>
      </c>
      <c r="J15" s="378" t="s">
        <v>299</v>
      </c>
      <c r="M15" s="382"/>
    </row>
    <row r="16" spans="2:13">
      <c r="D16" s="380" t="s">
        <v>300</v>
      </c>
      <c r="F16" s="380" t="s">
        <v>91</v>
      </c>
      <c r="H16" s="381" t="s">
        <v>301</v>
      </c>
      <c r="I16" s="379" t="s">
        <v>302</v>
      </c>
      <c r="J16" s="378" t="s">
        <v>303</v>
      </c>
      <c r="M16" s="382"/>
    </row>
    <row r="17" spans="4:13">
      <c r="D17" s="380" t="s">
        <v>304</v>
      </c>
      <c r="F17" s="380" t="s">
        <v>92</v>
      </c>
      <c r="H17" s="381" t="s">
        <v>305</v>
      </c>
      <c r="I17" s="379" t="s">
        <v>306</v>
      </c>
      <c r="J17" s="378" t="s">
        <v>307</v>
      </c>
      <c r="M17" s="382"/>
    </row>
    <row r="18" spans="4:13">
      <c r="D18" s="380" t="s">
        <v>308</v>
      </c>
      <c r="F18" s="380" t="s">
        <v>93</v>
      </c>
      <c r="H18" s="381" t="s">
        <v>309</v>
      </c>
      <c r="I18" s="379" t="s">
        <v>310</v>
      </c>
      <c r="J18" s="378" t="s">
        <v>311</v>
      </c>
      <c r="M18" s="382"/>
    </row>
    <row r="19" spans="4:13">
      <c r="D19" s="380" t="s">
        <v>312</v>
      </c>
      <c r="F19" s="380" t="s">
        <v>94</v>
      </c>
      <c r="H19" s="381" t="s">
        <v>313</v>
      </c>
      <c r="I19" s="379" t="s">
        <v>314</v>
      </c>
      <c r="J19" s="378" t="s">
        <v>315</v>
      </c>
      <c r="M19" s="382"/>
    </row>
    <row r="20" spans="4:13">
      <c r="D20" s="384"/>
      <c r="F20" s="380" t="s">
        <v>95</v>
      </c>
      <c r="H20" s="381" t="s">
        <v>64</v>
      </c>
      <c r="I20" s="379" t="s">
        <v>316</v>
      </c>
      <c r="J20" s="378" t="s">
        <v>317</v>
      </c>
    </row>
    <row r="21" spans="4:13">
      <c r="D21" s="378"/>
      <c r="F21" s="380" t="s">
        <v>96</v>
      </c>
      <c r="H21" s="378"/>
      <c r="I21" s="379" t="s">
        <v>318</v>
      </c>
      <c r="J21" s="378" t="s">
        <v>319</v>
      </c>
    </row>
    <row r="22" spans="4:13">
      <c r="H22" s="378"/>
      <c r="I22" s="379" t="s">
        <v>320</v>
      </c>
      <c r="J22" s="378" t="s">
        <v>321</v>
      </c>
    </row>
    <row r="23" spans="4:13">
      <c r="I23" s="379" t="s">
        <v>322</v>
      </c>
      <c r="J23" s="378" t="s">
        <v>323</v>
      </c>
    </row>
    <row r="24" spans="4:13">
      <c r="I24" s="379" t="s">
        <v>324</v>
      </c>
      <c r="J24" s="378" t="s">
        <v>325</v>
      </c>
    </row>
    <row r="25" spans="4:13">
      <c r="I25" s="378"/>
      <c r="J25" s="378" t="s">
        <v>326</v>
      </c>
    </row>
    <row r="26" spans="4:13">
      <c r="I26" s="379" t="s">
        <v>327</v>
      </c>
      <c r="J26" s="378" t="s">
        <v>328</v>
      </c>
    </row>
    <row r="27" spans="4:13">
      <c r="I27" s="379" t="s">
        <v>329</v>
      </c>
      <c r="J27" s="378" t="s">
        <v>48</v>
      </c>
    </row>
    <row r="28" spans="4:13">
      <c r="I28" s="378" t="s">
        <v>330</v>
      </c>
      <c r="J28" s="378" t="s">
        <v>331</v>
      </c>
    </row>
    <row r="29" spans="4:13">
      <c r="I29" s="378" t="s">
        <v>332</v>
      </c>
      <c r="J29" s="378" t="s">
        <v>333</v>
      </c>
    </row>
    <row r="30" spans="4:13">
      <c r="I30" s="378" t="s">
        <v>334</v>
      </c>
      <c r="J30" s="378" t="s">
        <v>335</v>
      </c>
    </row>
    <row r="31" spans="4:13">
      <c r="J31" s="378" t="s">
        <v>336</v>
      </c>
    </row>
    <row r="32" spans="4:13">
      <c r="J32" s="378" t="s">
        <v>337</v>
      </c>
    </row>
    <row r="33" spans="10:10">
      <c r="J33" s="378" t="s">
        <v>338</v>
      </c>
    </row>
    <row r="34" spans="10:10">
      <c r="J34" s="378" t="s">
        <v>339</v>
      </c>
    </row>
    <row r="35" spans="10:10">
      <c r="J35" s="378" t="s">
        <v>340</v>
      </c>
    </row>
    <row r="36" spans="10:10">
      <c r="J36" s="378" t="s">
        <v>341</v>
      </c>
    </row>
    <row r="37" spans="10:10">
      <c r="J37" s="378" t="s">
        <v>342</v>
      </c>
    </row>
    <row r="38" spans="10:10">
      <c r="J38" s="378" t="s">
        <v>343</v>
      </c>
    </row>
    <row r="39" spans="10:10">
      <c r="J39" s="378" t="s">
        <v>344</v>
      </c>
    </row>
    <row r="40" spans="10:10">
      <c r="J40" s="378" t="s">
        <v>345</v>
      </c>
    </row>
    <row r="41" spans="10:10">
      <c r="J41" s="378" t="s">
        <v>346</v>
      </c>
    </row>
    <row r="42" spans="10:10">
      <c r="J42" s="378" t="s">
        <v>347</v>
      </c>
    </row>
    <row r="43" spans="10:10">
      <c r="J43" s="378" t="s">
        <v>348</v>
      </c>
    </row>
    <row r="44" spans="10:10">
      <c r="J44" s="378" t="s">
        <v>349</v>
      </c>
    </row>
    <row r="45" spans="10:10">
      <c r="J45" s="378" t="s">
        <v>350</v>
      </c>
    </row>
    <row r="46" spans="10:10">
      <c r="J46" s="378" t="s">
        <v>351</v>
      </c>
    </row>
    <row r="47" spans="10:10">
      <c r="J47" s="378" t="s">
        <v>352</v>
      </c>
    </row>
    <row r="48" spans="10:10">
      <c r="J48" s="378" t="s">
        <v>353</v>
      </c>
    </row>
  </sheetData>
  <sheetProtection selectLockedCells="1" selectUnlockedCells="1"/>
  <mergeCells count="2">
    <mergeCell ref="B3:H3"/>
    <mergeCell ref="B6:H6"/>
  </mergeCells>
  <dataValidations count="1">
    <dataValidation type="list" allowBlank="1" showErrorMessage="1" sqref="M28" xr:uid="{00000000-0002-0000-0900-000000000000}">
      <formula1>$J$10:$J$48</formula1>
      <formula2>0</formula2>
    </dataValidation>
  </dataValidations>
  <pageMargins left="0.7" right="0.7" top="0.75" bottom="0.75" header="0.51180555555555551" footer="0.3"/>
  <pageSetup firstPageNumber="0" orientation="landscape" horizontalDpi="300" verticalDpi="300"/>
  <headerFooter alignWithMargins="0">
    <oddFooter>&amp;L&amp;8&amp;F: &amp;A</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FD457-1964-400D-9513-01805869B6A1}">
  <dimension ref="E7:I37"/>
  <sheetViews>
    <sheetView topLeftCell="A12" zoomScale="80" zoomScaleNormal="80" workbookViewId="0">
      <selection activeCell="Q35" sqref="Q35"/>
    </sheetView>
  </sheetViews>
  <sheetFormatPr baseColWidth="10" defaultRowHeight="14.5"/>
  <cols>
    <col min="6" max="8" width="11.36328125" bestFit="1" customWidth="1"/>
  </cols>
  <sheetData>
    <row r="7" spans="5:9">
      <c r="F7" t="s">
        <v>432</v>
      </c>
    </row>
    <row r="8" spans="5:9">
      <c r="E8" s="617"/>
      <c r="F8" s="618" t="s">
        <v>425</v>
      </c>
      <c r="G8" s="618" t="s">
        <v>426</v>
      </c>
      <c r="H8" s="618" t="s">
        <v>427</v>
      </c>
      <c r="I8" s="617"/>
    </row>
    <row r="9" spans="5:9">
      <c r="E9" s="617" t="s">
        <v>428</v>
      </c>
      <c r="F9" s="619">
        <v>19761</v>
      </c>
      <c r="G9" s="619">
        <v>8275</v>
      </c>
      <c r="H9" s="619">
        <v>1207</v>
      </c>
      <c r="I9" s="617"/>
    </row>
    <row r="10" spans="5:9">
      <c r="E10" s="617" t="s">
        <v>429</v>
      </c>
      <c r="F10" s="619">
        <v>10003</v>
      </c>
      <c r="G10" s="619">
        <v>3217</v>
      </c>
      <c r="H10" s="617">
        <v>488</v>
      </c>
      <c r="I10" s="617"/>
    </row>
    <row r="11" spans="5:9">
      <c r="E11" s="617" t="s">
        <v>430</v>
      </c>
      <c r="F11" s="620">
        <f>F10/F9*100</f>
        <v>50.619907899397809</v>
      </c>
      <c r="G11" s="620">
        <f t="shared" ref="G11:H11" si="0">G10/G9*100</f>
        <v>38.876132930513599</v>
      </c>
      <c r="H11" s="620">
        <f t="shared" si="0"/>
        <v>40.430820215410108</v>
      </c>
      <c r="I11" s="617"/>
    </row>
    <row r="12" spans="5:9">
      <c r="E12" s="617"/>
      <c r="F12" s="617"/>
      <c r="G12" s="617"/>
      <c r="H12" s="617"/>
      <c r="I12" s="617"/>
    </row>
    <row r="13" spans="5:9">
      <c r="E13" s="617"/>
      <c r="F13" s="617"/>
      <c r="G13" s="617"/>
      <c r="H13" s="617"/>
      <c r="I13" s="617"/>
    </row>
    <row r="14" spans="5:9">
      <c r="E14" s="617"/>
      <c r="F14" s="617"/>
      <c r="G14" s="617"/>
      <c r="H14" s="617"/>
      <c r="I14" s="617"/>
    </row>
    <row r="15" spans="5:9">
      <c r="E15" s="617"/>
      <c r="F15" s="617"/>
      <c r="G15" s="617"/>
      <c r="H15" s="617"/>
      <c r="I15" s="617"/>
    </row>
    <row r="16" spans="5:9">
      <c r="E16" s="617"/>
      <c r="F16" s="617"/>
      <c r="G16" s="617"/>
      <c r="H16" s="617"/>
      <c r="I16" s="617"/>
    </row>
    <row r="17" spans="5:9">
      <c r="E17" s="617"/>
      <c r="F17" s="617"/>
      <c r="G17" s="617"/>
      <c r="H17" s="617"/>
      <c r="I17" s="617"/>
    </row>
    <row r="30" spans="5:9">
      <c r="E30" t="s">
        <v>433</v>
      </c>
    </row>
    <row r="31" spans="5:9">
      <c r="F31" t="s">
        <v>431</v>
      </c>
    </row>
    <row r="32" spans="5:9">
      <c r="E32" s="617"/>
      <c r="F32" s="618" t="s">
        <v>425</v>
      </c>
      <c r="G32" s="618" t="s">
        <v>426</v>
      </c>
      <c r="H32" s="618" t="s">
        <v>427</v>
      </c>
    </row>
    <row r="33" spans="5:8">
      <c r="E33" s="617" t="s">
        <v>428</v>
      </c>
      <c r="F33" s="619">
        <v>27070</v>
      </c>
      <c r="G33" s="619">
        <v>10644</v>
      </c>
      <c r="H33" s="619">
        <v>1709</v>
      </c>
    </row>
    <row r="34" spans="5:8">
      <c r="E34" s="617" t="s">
        <v>429</v>
      </c>
      <c r="F34" s="619">
        <v>11481</v>
      </c>
      <c r="G34" s="619">
        <v>3831</v>
      </c>
      <c r="H34" s="617">
        <v>791</v>
      </c>
    </row>
    <row r="35" spans="5:8">
      <c r="E35" s="617" t="s">
        <v>430</v>
      </c>
      <c r="F35" s="620">
        <f>F34/F33*100</f>
        <v>42.412264499445875</v>
      </c>
      <c r="G35" s="620">
        <f t="shared" ref="G35" si="1">G34/G33*100</f>
        <v>35.99210822998873</v>
      </c>
      <c r="H35" s="620">
        <f t="shared" ref="H35" si="2">H34/H33*100</f>
        <v>46.284376828554713</v>
      </c>
    </row>
    <row r="36" spans="5:8">
      <c r="E36" s="617"/>
      <c r="F36" s="617"/>
      <c r="G36" s="617"/>
      <c r="H36" s="617"/>
    </row>
    <row r="37" spans="5:8">
      <c r="E37" s="617"/>
      <c r="F37" s="617"/>
      <c r="G37" s="617"/>
      <c r="H37" s="61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1"/>
  </sheetPr>
  <dimension ref="B1:BH48"/>
  <sheetViews>
    <sheetView showGridLines="0" zoomScale="70" zoomScaleNormal="70" workbookViewId="0">
      <pane ySplit="2" topLeftCell="A3" activePane="bottomLeft" state="frozen"/>
      <selection pane="bottomLeft" activeCell="E11" sqref="E11:I11"/>
    </sheetView>
  </sheetViews>
  <sheetFormatPr baseColWidth="10" defaultColWidth="9.1796875" defaultRowHeight="14.5"/>
  <cols>
    <col min="1" max="1" width="2.7265625" customWidth="1"/>
    <col min="2" max="2" width="21.453125" customWidth="1"/>
    <col min="4" max="4" width="11.1796875" customWidth="1"/>
    <col min="5" max="5" width="16.453125" customWidth="1"/>
    <col min="6" max="6" width="15.7265625" customWidth="1"/>
    <col min="7" max="7" width="37.26953125" customWidth="1"/>
    <col min="8" max="8" width="17.26953125" customWidth="1"/>
    <col min="9" max="9" width="71" customWidth="1"/>
    <col min="10" max="10" width="14.1796875" customWidth="1"/>
    <col min="11" max="11" width="16" customWidth="1"/>
    <col min="12" max="12" width="13.1796875" customWidth="1"/>
    <col min="13" max="13" width="49.453125" customWidth="1"/>
    <col min="14" max="14" width="2.54296875" customWidth="1"/>
    <col min="15" max="15" width="3" customWidth="1"/>
    <col min="16" max="16" width="2.54296875" customWidth="1"/>
    <col min="17" max="17" width="16.1796875" customWidth="1"/>
    <col min="18" max="18" width="13.7265625" customWidth="1"/>
    <col min="20" max="20" width="14.81640625" customWidth="1"/>
    <col min="21" max="21" width="16" customWidth="1"/>
    <col min="22" max="22" width="0" hidden="1" customWidth="1"/>
    <col min="23" max="23" width="15.54296875" customWidth="1"/>
    <col min="25" max="25" width="2.26953125" customWidth="1"/>
    <col min="26" max="26" width="1.1796875" customWidth="1"/>
    <col min="27" max="27" width="3.26953125" customWidth="1"/>
    <col min="28" max="28" width="17" customWidth="1"/>
    <col min="29" max="29" width="15" customWidth="1"/>
    <col min="31" max="31" width="13.54296875" customWidth="1"/>
    <col min="32" max="32" width="16.81640625" customWidth="1"/>
    <col min="34" max="34" width="2" customWidth="1"/>
    <col min="35" max="35" width="3.26953125" customWidth="1"/>
    <col min="36" max="36" width="2.26953125" customWidth="1"/>
    <col min="37" max="37" width="40.7265625" customWidth="1"/>
    <col min="38" max="38" width="15.453125" customWidth="1"/>
  </cols>
  <sheetData>
    <row r="1" spans="2:60" ht="34.5" customHeight="1"/>
    <row r="2" spans="2:60" ht="36" customHeight="1">
      <c r="B2" s="431" t="s">
        <v>3</v>
      </c>
      <c r="C2" s="431"/>
      <c r="D2" s="431"/>
      <c r="E2" s="431"/>
      <c r="F2" s="431"/>
      <c r="G2" s="431"/>
      <c r="H2" s="431"/>
      <c r="I2" s="431"/>
      <c r="J2" s="431"/>
      <c r="K2" s="431"/>
      <c r="L2" s="431"/>
      <c r="M2" s="431"/>
    </row>
    <row r="3" spans="2:60" ht="15.75" customHeight="1">
      <c r="B3" s="4"/>
      <c r="C3" s="4"/>
      <c r="D3" s="4"/>
      <c r="E3" s="4"/>
      <c r="F3" s="4"/>
      <c r="G3" s="4"/>
      <c r="H3" s="4"/>
      <c r="I3" s="4"/>
      <c r="J3" s="4"/>
      <c r="K3" s="5"/>
      <c r="L3" s="5"/>
    </row>
    <row r="5" spans="2:60" ht="23.5">
      <c r="B5" s="432" t="s">
        <v>4</v>
      </c>
      <c r="C5" s="432"/>
      <c r="D5" s="432"/>
      <c r="E5" s="432"/>
      <c r="F5" s="432"/>
      <c r="G5" s="432"/>
      <c r="H5" s="432"/>
      <c r="I5" s="432"/>
      <c r="J5" s="432"/>
      <c r="K5" s="432"/>
      <c r="L5" s="432"/>
      <c r="M5" s="432"/>
      <c r="N5" s="432"/>
      <c r="O5" s="432"/>
    </row>
    <row r="7" spans="2:60" ht="21">
      <c r="B7" s="433" t="s">
        <v>5</v>
      </c>
      <c r="C7" s="433"/>
      <c r="D7" s="433"/>
      <c r="E7" s="433" t="s">
        <v>6</v>
      </c>
      <c r="F7" s="433"/>
      <c r="G7" s="433"/>
      <c r="H7" s="433"/>
      <c r="I7" s="433"/>
      <c r="J7" s="433" t="s">
        <v>7</v>
      </c>
      <c r="K7" s="433"/>
      <c r="L7" s="433"/>
      <c r="M7" s="433" t="s">
        <v>8</v>
      </c>
      <c r="N7" s="433"/>
      <c r="O7" s="433"/>
    </row>
    <row r="8" spans="2:60" ht="92.25" customHeight="1">
      <c r="B8" s="437" t="str">
        <f>+'Introducción de datos'!B27</f>
        <v>F1: Presupuesto y desembolsos del Fondo Mundial</v>
      </c>
      <c r="C8" s="437"/>
      <c r="D8" s="437"/>
      <c r="E8" s="438" t="s">
        <v>9</v>
      </c>
      <c r="F8" s="438"/>
      <c r="G8" s="438"/>
      <c r="H8" s="438"/>
      <c r="I8" s="438"/>
      <c r="J8" s="439" t="s">
        <v>10</v>
      </c>
      <c r="K8" s="439"/>
      <c r="L8" s="439"/>
      <c r="M8" s="439" t="s">
        <v>11</v>
      </c>
      <c r="N8" s="439"/>
      <c r="O8" s="439"/>
    </row>
    <row r="9" spans="2:60" ht="117.75" customHeight="1">
      <c r="B9" s="437" t="str">
        <f>+'Introducción de datos'!B36</f>
        <v>F2: Presupuesto y gastos reales por Módulo de la subvención</v>
      </c>
      <c r="C9" s="437"/>
      <c r="D9" s="437"/>
      <c r="E9" s="435" t="s">
        <v>12</v>
      </c>
      <c r="F9" s="435"/>
      <c r="G9" s="435"/>
      <c r="H9" s="435"/>
      <c r="I9" s="435"/>
      <c r="J9" s="436" t="s">
        <v>13</v>
      </c>
      <c r="K9" s="436"/>
      <c r="L9" s="436"/>
      <c r="M9" s="436" t="s">
        <v>11</v>
      </c>
      <c r="N9" s="436"/>
      <c r="O9" s="436"/>
    </row>
    <row r="10" spans="2:60" ht="233.25" customHeight="1">
      <c r="B10" s="434" t="str">
        <f>+'Introducción de datos'!B52</f>
        <v>F3: Desembolsos y gastos</v>
      </c>
      <c r="C10" s="434"/>
      <c r="D10" s="434"/>
      <c r="E10" s="435" t="s">
        <v>14</v>
      </c>
      <c r="F10" s="435"/>
      <c r="G10" s="435"/>
      <c r="H10" s="435"/>
      <c r="I10" s="435"/>
      <c r="J10" s="436" t="s">
        <v>15</v>
      </c>
      <c r="K10" s="436"/>
      <c r="L10" s="436"/>
      <c r="M10" s="436" t="s">
        <v>16</v>
      </c>
      <c r="N10" s="436"/>
      <c r="O10" s="436"/>
    </row>
    <row r="11" spans="2:60" ht="279.75" customHeight="1">
      <c r="B11" s="434" t="str">
        <f>+'Introducción de datos'!B70</f>
        <v>F4: Último ciclo de información y desembolso del RP</v>
      </c>
      <c r="C11" s="434"/>
      <c r="D11" s="434"/>
      <c r="E11" s="435" t="s">
        <v>17</v>
      </c>
      <c r="F11" s="435"/>
      <c r="G11" s="435"/>
      <c r="H11" s="435"/>
      <c r="I11" s="435"/>
      <c r="J11" s="436" t="s">
        <v>18</v>
      </c>
      <c r="K11" s="436"/>
      <c r="L11" s="436"/>
      <c r="M11" s="436" t="s">
        <v>19</v>
      </c>
      <c r="N11" s="436"/>
      <c r="O11" s="43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row>
    <row r="12" spans="2:60">
      <c r="B12" s="442"/>
      <c r="C12" s="442"/>
      <c r="D12" s="442"/>
      <c r="E12" s="443"/>
      <c r="F12" s="443"/>
      <c r="G12" s="443"/>
      <c r="H12" s="443"/>
      <c r="I12" s="443"/>
      <c r="J12" s="443"/>
      <c r="K12" s="443"/>
      <c r="L12" s="443"/>
      <c r="M12" s="443"/>
      <c r="N12" s="443"/>
      <c r="O12" s="443"/>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row>
    <row r="13" spans="2:60">
      <c r="B13" s="440"/>
      <c r="C13" s="440"/>
      <c r="D13" s="440"/>
      <c r="E13" s="441"/>
      <c r="F13" s="441"/>
      <c r="G13" s="441"/>
      <c r="H13" s="441"/>
      <c r="I13" s="441"/>
      <c r="J13" s="441"/>
      <c r="K13" s="441"/>
      <c r="L13" s="441"/>
      <c r="M13" s="441"/>
      <c r="N13" s="441"/>
      <c r="O13" s="441"/>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row>
    <row r="14" spans="2:60">
      <c r="B14" s="440"/>
      <c r="C14" s="440"/>
      <c r="D14" s="440"/>
      <c r="E14" s="441"/>
      <c r="F14" s="441"/>
      <c r="G14" s="441"/>
      <c r="H14" s="441"/>
      <c r="I14" s="441"/>
      <c r="J14" s="441"/>
      <c r="K14" s="441"/>
      <c r="L14" s="441"/>
      <c r="M14" s="441"/>
      <c r="N14" s="441"/>
      <c r="O14" s="441"/>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row>
    <row r="15" spans="2:60">
      <c r="B15" s="440"/>
      <c r="C15" s="440"/>
      <c r="D15" s="440"/>
      <c r="E15" s="441"/>
      <c r="F15" s="441"/>
      <c r="G15" s="441"/>
      <c r="H15" s="441"/>
      <c r="I15" s="441"/>
      <c r="J15" s="441"/>
      <c r="K15" s="441"/>
      <c r="L15" s="441"/>
      <c r="M15" s="441"/>
      <c r="N15" s="441"/>
      <c r="O15" s="441"/>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row>
    <row r="16" spans="2:60" ht="23.5">
      <c r="B16" s="432" t="s">
        <v>20</v>
      </c>
      <c r="C16" s="432"/>
      <c r="D16" s="432"/>
      <c r="E16" s="432"/>
      <c r="F16" s="432"/>
      <c r="G16" s="432"/>
      <c r="H16" s="432"/>
      <c r="I16" s="432"/>
      <c r="J16" s="432"/>
      <c r="K16" s="432"/>
      <c r="L16" s="432"/>
      <c r="M16" s="432"/>
      <c r="N16" s="432"/>
      <c r="O16" s="432"/>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row>
    <row r="17" spans="2:60">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row>
    <row r="18" spans="2:60" ht="21">
      <c r="B18" s="445" t="s">
        <v>5</v>
      </c>
      <c r="C18" s="445"/>
      <c r="D18" s="445"/>
      <c r="E18" s="445" t="s">
        <v>6</v>
      </c>
      <c r="F18" s="445"/>
      <c r="G18" s="445"/>
      <c r="H18" s="445"/>
      <c r="I18" s="445"/>
      <c r="J18" s="445" t="s">
        <v>7</v>
      </c>
      <c r="K18" s="445"/>
      <c r="L18" s="445"/>
      <c r="M18" s="445" t="s">
        <v>21</v>
      </c>
      <c r="N18" s="445"/>
      <c r="O18" s="445"/>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row>
    <row r="19" spans="2:60" ht="149.25" customHeight="1">
      <c r="B19" s="437" t="str">
        <f>+'Introducción de datos'!B81</f>
        <v>M1: Estado de las condiciones precedentes y acciones con fecha límite</v>
      </c>
      <c r="C19" s="437"/>
      <c r="D19" s="437"/>
      <c r="E19" s="435" t="s">
        <v>22</v>
      </c>
      <c r="F19" s="435"/>
      <c r="G19" s="435"/>
      <c r="H19" s="435"/>
      <c r="I19" s="435"/>
      <c r="J19" s="436" t="s">
        <v>23</v>
      </c>
      <c r="K19" s="436"/>
      <c r="L19" s="436"/>
      <c r="M19" s="436" t="s">
        <v>24</v>
      </c>
      <c r="N19" s="436"/>
      <c r="O19" s="43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row>
    <row r="20" spans="2:60" ht="102.75" customHeight="1">
      <c r="B20" s="437" t="str">
        <f>+'Introducción de datos'!B88</f>
        <v>M2: Estado de los principales puestos directivos del RP</v>
      </c>
      <c r="C20" s="437"/>
      <c r="D20" s="437"/>
      <c r="E20" s="435" t="s">
        <v>25</v>
      </c>
      <c r="F20" s="435"/>
      <c r="G20" s="435"/>
      <c r="H20" s="435"/>
      <c r="I20" s="435"/>
      <c r="J20" s="436" t="s">
        <v>26</v>
      </c>
      <c r="K20" s="436"/>
      <c r="L20" s="436"/>
      <c r="M20" s="436" t="s">
        <v>27</v>
      </c>
      <c r="N20" s="436"/>
      <c r="O20" s="43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row>
    <row r="21" spans="2:60" ht="137.25" customHeight="1">
      <c r="B21" s="437" t="str">
        <f>+'Introducción de datos'!B93</f>
        <v xml:space="preserve">M3: Acuerdos contractuales (gestores de compra de bienes y servicios) </v>
      </c>
      <c r="C21" s="437"/>
      <c r="D21" s="437"/>
      <c r="E21" s="444" t="s">
        <v>28</v>
      </c>
      <c r="F21" s="444"/>
      <c r="G21" s="444"/>
      <c r="H21" s="444"/>
      <c r="I21" s="444"/>
      <c r="J21" s="436" t="s">
        <v>29</v>
      </c>
      <c r="K21" s="436"/>
      <c r="L21" s="436"/>
      <c r="M21" s="436" t="s">
        <v>30</v>
      </c>
      <c r="N21" s="436"/>
      <c r="O21" s="43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row>
    <row r="22" spans="2:60" ht="74.25" customHeight="1">
      <c r="B22" s="437" t="str">
        <f>+'Introducción de datos'!B98</f>
        <v>M4: Número de informes completos recibidos a tiempo</v>
      </c>
      <c r="C22" s="437"/>
      <c r="D22" s="437"/>
      <c r="E22" s="444" t="s">
        <v>31</v>
      </c>
      <c r="F22" s="444"/>
      <c r="G22" s="444"/>
      <c r="H22" s="444"/>
      <c r="I22" s="444"/>
      <c r="J22" s="436" t="s">
        <v>32</v>
      </c>
      <c r="K22" s="436"/>
      <c r="L22" s="436"/>
      <c r="M22" s="436" t="s">
        <v>33</v>
      </c>
      <c r="N22" s="436"/>
      <c r="O22" s="43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row>
    <row r="23" spans="2:60" ht="207.75" customHeight="1">
      <c r="B23" s="434" t="str">
        <f>+'Introducción de datos'!B104</f>
        <v>M5: Presupuesto y compra de productos y equipo sanitario, medicamentos y productos farmacéuticos</v>
      </c>
      <c r="C23" s="434"/>
      <c r="D23" s="434"/>
      <c r="E23" s="446" t="s">
        <v>34</v>
      </c>
      <c r="F23" s="446"/>
      <c r="G23" s="446"/>
      <c r="H23" s="446"/>
      <c r="I23" s="446"/>
      <c r="J23" s="436" t="s">
        <v>35</v>
      </c>
      <c r="K23" s="436"/>
      <c r="L23" s="436"/>
      <c r="M23" s="436" t="s">
        <v>36</v>
      </c>
      <c r="N23" s="436"/>
      <c r="O23" s="43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row>
    <row r="24" spans="2:60" ht="114.75" customHeight="1">
      <c r="B24" s="434"/>
      <c r="C24" s="434"/>
      <c r="D24" s="434"/>
      <c r="E24" s="447" t="s">
        <v>37</v>
      </c>
      <c r="F24" s="447"/>
      <c r="G24" s="447"/>
      <c r="H24" s="447"/>
      <c r="I24" s="447"/>
      <c r="J24" s="436"/>
      <c r="K24" s="436"/>
      <c r="L24" s="436"/>
      <c r="M24" s="436"/>
      <c r="N24" s="436"/>
      <c r="O24" s="43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row>
    <row r="25" spans="2:60" ht="206.25" customHeight="1">
      <c r="B25" s="437" t="str">
        <f>+'Introducción de datos'!B117</f>
        <v>M6: Diferencia entre existencias actuales y existencias de seguridad</v>
      </c>
      <c r="C25" s="437"/>
      <c r="D25" s="437"/>
      <c r="E25" s="448" t="s">
        <v>38</v>
      </c>
      <c r="F25" s="448"/>
      <c r="G25" s="448"/>
      <c r="H25" s="448"/>
      <c r="I25" s="448"/>
      <c r="J25" s="449" t="s">
        <v>39</v>
      </c>
      <c r="K25" s="449"/>
      <c r="L25" s="449"/>
      <c r="M25" s="450" t="s">
        <v>40</v>
      </c>
      <c r="N25" s="450"/>
      <c r="O25" s="450"/>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row>
    <row r="26" spans="2:60">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row>
    <row r="27" spans="2:60">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row>
    <row r="28" spans="2:60">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row>
    <row r="29" spans="2:60" ht="18.5">
      <c r="B29" s="8"/>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row>
    <row r="30" spans="2:60" ht="23.5">
      <c r="B30" s="432" t="s">
        <v>41</v>
      </c>
      <c r="C30" s="432"/>
      <c r="D30" s="432"/>
      <c r="E30" s="432"/>
      <c r="F30" s="432"/>
      <c r="G30" s="432"/>
      <c r="H30" s="432"/>
      <c r="I30" s="432"/>
      <c r="J30" s="432"/>
      <c r="K30" s="432"/>
      <c r="L30" s="432"/>
      <c r="M30" s="432"/>
      <c r="N30" s="432"/>
      <c r="O30" s="432"/>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row>
    <row r="31" spans="2:60">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row>
    <row r="32" spans="2:60" ht="28.5" customHeight="1">
      <c r="B32" s="451" t="s">
        <v>42</v>
      </c>
      <c r="C32" s="451"/>
      <c r="D32" s="451"/>
      <c r="E32" s="452" t="s">
        <v>43</v>
      </c>
      <c r="F32" s="452"/>
      <c r="G32" s="452"/>
      <c r="H32" s="452"/>
      <c r="I32" s="452"/>
      <c r="J32" s="452" t="s">
        <v>7</v>
      </c>
      <c r="K32" s="452"/>
      <c r="L32" s="452"/>
      <c r="M32" s="452" t="s">
        <v>21</v>
      </c>
      <c r="N32" s="452"/>
      <c r="O32" s="452"/>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row>
    <row r="33" spans="2:60" ht="47.25" customHeight="1">
      <c r="B33" s="453"/>
      <c r="C33" s="453"/>
      <c r="D33" s="453"/>
      <c r="E33" s="456"/>
      <c r="F33" s="456"/>
      <c r="G33" s="456"/>
      <c r="H33" s="456"/>
      <c r="I33" s="456"/>
      <c r="J33" s="454"/>
      <c r="K33" s="454"/>
      <c r="L33" s="454"/>
      <c r="M33" s="454"/>
      <c r="N33" s="454"/>
      <c r="O33" s="454"/>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row>
    <row r="34" spans="2:60" ht="59.25" customHeight="1">
      <c r="B34" s="453"/>
      <c r="C34" s="453"/>
      <c r="D34" s="453"/>
      <c r="E34" s="456"/>
      <c r="F34" s="456"/>
      <c r="G34" s="456"/>
      <c r="H34" s="456"/>
      <c r="I34" s="456"/>
      <c r="J34" s="454"/>
      <c r="K34" s="454"/>
      <c r="L34" s="454"/>
      <c r="M34" s="454"/>
      <c r="N34" s="454"/>
      <c r="O34" s="454"/>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row>
    <row r="35" spans="2:60" ht="57.75" customHeight="1">
      <c r="B35" s="453"/>
      <c r="C35" s="453"/>
      <c r="D35" s="453"/>
      <c r="E35" s="454"/>
      <c r="F35" s="454"/>
      <c r="G35" s="454"/>
      <c r="H35" s="454"/>
      <c r="I35" s="454"/>
      <c r="J35" s="454"/>
      <c r="K35" s="454"/>
      <c r="L35" s="454"/>
      <c r="M35" s="454"/>
      <c r="N35" s="454"/>
      <c r="O35" s="454"/>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row>
    <row r="36" spans="2:60" ht="9.75" customHeight="1">
      <c r="B36" s="455"/>
      <c r="C36" s="455"/>
      <c r="D36" s="455"/>
      <c r="E36" s="9"/>
      <c r="F36" s="10"/>
      <c r="G36" s="10"/>
      <c r="H36" s="10"/>
      <c r="I36" s="11"/>
      <c r="J36" s="12"/>
      <c r="K36" s="13"/>
      <c r="L36" s="14"/>
      <c r="M36" s="12"/>
      <c r="N36" s="13"/>
      <c r="O36" s="14"/>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row>
    <row r="37" spans="2:60" ht="46.5" customHeight="1">
      <c r="B37" s="453"/>
      <c r="C37" s="453"/>
      <c r="D37" s="453"/>
      <c r="E37" s="454"/>
      <c r="F37" s="454"/>
      <c r="G37" s="454"/>
      <c r="H37" s="454"/>
      <c r="I37" s="454"/>
      <c r="J37" s="15"/>
      <c r="K37" s="16"/>
      <c r="L37" s="17"/>
      <c r="M37" s="15"/>
      <c r="N37" s="16"/>
      <c r="O37" s="17"/>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row>
    <row r="38" spans="2:60" ht="69" customHeight="1">
      <c r="B38" s="453"/>
      <c r="C38" s="453"/>
      <c r="D38" s="453"/>
      <c r="E38" s="456"/>
      <c r="F38" s="456"/>
      <c r="G38" s="456"/>
      <c r="H38" s="456"/>
      <c r="I38" s="456"/>
      <c r="J38" s="454"/>
      <c r="K38" s="454"/>
      <c r="L38" s="454"/>
      <c r="M38" s="454"/>
      <c r="N38" s="454"/>
      <c r="O38" s="454"/>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row>
    <row r="39" spans="2:60" ht="64.5" customHeight="1">
      <c r="B39" s="458"/>
      <c r="C39" s="458"/>
      <c r="D39" s="458"/>
      <c r="E39" s="454"/>
      <c r="F39" s="454"/>
      <c r="G39" s="454"/>
      <c r="H39" s="454"/>
      <c r="I39" s="454"/>
      <c r="J39" s="15"/>
      <c r="K39" s="16"/>
      <c r="L39" s="17"/>
      <c r="M39" s="15"/>
      <c r="N39" s="16"/>
      <c r="O39" s="17"/>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row>
    <row r="40" spans="2:60" ht="45" customHeight="1">
      <c r="B40" s="457"/>
      <c r="C40" s="457"/>
      <c r="D40" s="457"/>
      <c r="E40" s="454"/>
      <c r="F40" s="454"/>
      <c r="G40" s="454"/>
      <c r="H40" s="454"/>
      <c r="I40" s="454"/>
      <c r="J40" s="454"/>
      <c r="K40" s="454"/>
      <c r="L40" s="454"/>
      <c r="M40" s="454"/>
      <c r="N40" s="454"/>
      <c r="O40" s="454"/>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row>
    <row r="41" spans="2:60" ht="62.25" customHeight="1">
      <c r="B41" s="458"/>
      <c r="C41" s="458"/>
      <c r="D41" s="458"/>
      <c r="E41" s="456"/>
      <c r="F41" s="456"/>
      <c r="G41" s="456"/>
      <c r="H41" s="456"/>
      <c r="I41" s="456"/>
      <c r="J41" s="454"/>
      <c r="K41" s="454"/>
      <c r="L41" s="454"/>
      <c r="M41" s="454"/>
      <c r="N41" s="454"/>
      <c r="O41" s="454"/>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row>
    <row r="42" spans="2:60" ht="84" customHeight="1">
      <c r="B42" s="458"/>
      <c r="C42" s="458"/>
      <c r="D42" s="458"/>
      <c r="E42" s="454"/>
      <c r="F42" s="454"/>
      <c r="G42" s="454"/>
      <c r="H42" s="454"/>
      <c r="I42" s="454"/>
      <c r="J42" s="15"/>
      <c r="K42" s="16"/>
      <c r="L42" s="17"/>
      <c r="M42" s="15"/>
      <c r="N42" s="16"/>
      <c r="O42" s="17"/>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row>
    <row r="43" spans="2:60" ht="45" customHeight="1">
      <c r="B43" s="458"/>
      <c r="C43" s="458"/>
      <c r="D43" s="458"/>
      <c r="E43" s="456"/>
      <c r="F43" s="456"/>
      <c r="G43" s="456"/>
      <c r="H43" s="456"/>
      <c r="I43" s="456"/>
      <c r="J43" s="454"/>
      <c r="K43" s="454"/>
      <c r="L43" s="454"/>
      <c r="M43" s="15"/>
      <c r="N43" s="16"/>
      <c r="O43" s="17"/>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row>
    <row r="44" spans="2:60" ht="64.5" customHeight="1">
      <c r="B44" s="457"/>
      <c r="C44" s="457"/>
      <c r="D44" s="457"/>
      <c r="E44" s="456"/>
      <c r="F44" s="456"/>
      <c r="G44" s="456"/>
      <c r="H44" s="456"/>
      <c r="I44" s="456"/>
      <c r="J44" s="454"/>
      <c r="K44" s="454"/>
      <c r="L44" s="454"/>
      <c r="M44" s="15"/>
      <c r="N44" s="16"/>
      <c r="O44" s="17"/>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row>
    <row r="45" spans="2:60" ht="49.5" customHeight="1">
      <c r="B45" s="457"/>
      <c r="C45" s="457"/>
      <c r="D45" s="457"/>
      <c r="E45" s="456"/>
      <c r="F45" s="456"/>
      <c r="G45" s="456"/>
      <c r="H45" s="456"/>
      <c r="I45" s="456"/>
      <c r="J45" s="454"/>
      <c r="K45" s="454"/>
      <c r="L45" s="454"/>
      <c r="M45" s="15"/>
      <c r="N45" s="16"/>
      <c r="O45" s="17"/>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row>
    <row r="46" spans="2:60" ht="30" customHeight="1">
      <c r="B46" s="459"/>
      <c r="C46" s="459"/>
      <c r="D46" s="459"/>
      <c r="E46" s="18"/>
      <c r="F46" s="19"/>
      <c r="G46" s="19"/>
      <c r="H46" s="19"/>
      <c r="I46" s="20"/>
      <c r="J46" s="15"/>
      <c r="K46" s="16"/>
      <c r="L46" s="17"/>
      <c r="M46" s="15"/>
      <c r="N46" s="16"/>
      <c r="O46" s="17"/>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row>
    <row r="47" spans="2:60" ht="33.75" customHeight="1">
      <c r="B47" s="21"/>
      <c r="C47" s="22"/>
      <c r="D47" s="22"/>
      <c r="E47" s="23"/>
      <c r="F47" s="24"/>
      <c r="G47" s="24"/>
      <c r="H47" s="24"/>
      <c r="I47" s="24"/>
      <c r="J47" s="23"/>
      <c r="K47" s="23"/>
      <c r="L47" s="25"/>
      <c r="M47" s="26"/>
      <c r="N47" s="23"/>
      <c r="O47" s="25"/>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row>
    <row r="48" spans="2:60" ht="15.75" customHeight="1">
      <c r="B48" s="460" t="s">
        <v>44</v>
      </c>
      <c r="C48" s="460"/>
      <c r="D48" s="460"/>
      <c r="E48" s="460"/>
      <c r="F48" s="460"/>
      <c r="G48" s="460"/>
      <c r="H48" s="460"/>
      <c r="I48" s="460"/>
      <c r="J48" s="460"/>
      <c r="K48" s="460"/>
      <c r="L48" s="460"/>
      <c r="M48" s="461" t="s">
        <v>45</v>
      </c>
      <c r="N48" s="461"/>
      <c r="O48" s="461"/>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row>
  </sheetData>
  <sheetProtection password="CFC9" sheet="1"/>
  <mergeCells count="116">
    <mergeCell ref="B45:D45"/>
    <mergeCell ref="E45:I45"/>
    <mergeCell ref="J45:L45"/>
    <mergeCell ref="B46:D46"/>
    <mergeCell ref="B48:L48"/>
    <mergeCell ref="M48:O48"/>
    <mergeCell ref="B42:D42"/>
    <mergeCell ref="E42:I42"/>
    <mergeCell ref="B43:D43"/>
    <mergeCell ref="E43:I43"/>
    <mergeCell ref="J43:L43"/>
    <mergeCell ref="B44:D44"/>
    <mergeCell ref="E44:I44"/>
    <mergeCell ref="J44:L44"/>
    <mergeCell ref="B40:D40"/>
    <mergeCell ref="E40:I40"/>
    <mergeCell ref="J40:L40"/>
    <mergeCell ref="M40:O40"/>
    <mergeCell ref="B41:D41"/>
    <mergeCell ref="E41:I41"/>
    <mergeCell ref="J41:L41"/>
    <mergeCell ref="M41:O41"/>
    <mergeCell ref="B38:D38"/>
    <mergeCell ref="E38:I38"/>
    <mergeCell ref="J38:L38"/>
    <mergeCell ref="M38:O38"/>
    <mergeCell ref="B39:D39"/>
    <mergeCell ref="E39:I39"/>
    <mergeCell ref="B35:D35"/>
    <mergeCell ref="E35:I35"/>
    <mergeCell ref="J35:L35"/>
    <mergeCell ref="M35:O35"/>
    <mergeCell ref="B36:D36"/>
    <mergeCell ref="B37:D37"/>
    <mergeCell ref="E37:I37"/>
    <mergeCell ref="B33:D33"/>
    <mergeCell ref="E33:I33"/>
    <mergeCell ref="J33:L33"/>
    <mergeCell ref="M33:O33"/>
    <mergeCell ref="B34:D34"/>
    <mergeCell ref="E34:I34"/>
    <mergeCell ref="J34:L34"/>
    <mergeCell ref="M34:O34"/>
    <mergeCell ref="B25:D25"/>
    <mergeCell ref="E25:I25"/>
    <mergeCell ref="J25:L25"/>
    <mergeCell ref="M25:O25"/>
    <mergeCell ref="B30:O30"/>
    <mergeCell ref="B32:D32"/>
    <mergeCell ref="E32:I32"/>
    <mergeCell ref="J32:L32"/>
    <mergeCell ref="M32:O32"/>
    <mergeCell ref="B22:D22"/>
    <mergeCell ref="E22:I22"/>
    <mergeCell ref="J22:L22"/>
    <mergeCell ref="M22:O22"/>
    <mergeCell ref="B23:D24"/>
    <mergeCell ref="E23:I23"/>
    <mergeCell ref="J23:L24"/>
    <mergeCell ref="M23:O24"/>
    <mergeCell ref="E24:I24"/>
    <mergeCell ref="B20:D20"/>
    <mergeCell ref="E20:I20"/>
    <mergeCell ref="J20:L20"/>
    <mergeCell ref="M20:O20"/>
    <mergeCell ref="B21:D21"/>
    <mergeCell ref="E21:I21"/>
    <mergeCell ref="J21:L21"/>
    <mergeCell ref="M21:O21"/>
    <mergeCell ref="B16:O16"/>
    <mergeCell ref="B18:D18"/>
    <mergeCell ref="E18:I18"/>
    <mergeCell ref="J18:L18"/>
    <mergeCell ref="M18:O18"/>
    <mergeCell ref="B19:D19"/>
    <mergeCell ref="E19:I19"/>
    <mergeCell ref="J19:L19"/>
    <mergeCell ref="M19:O19"/>
    <mergeCell ref="B14:D14"/>
    <mergeCell ref="E14:I14"/>
    <mergeCell ref="J14:L14"/>
    <mergeCell ref="M14:O14"/>
    <mergeCell ref="B15:D15"/>
    <mergeCell ref="E15:I15"/>
    <mergeCell ref="J15:L15"/>
    <mergeCell ref="M15:O15"/>
    <mergeCell ref="B12:D12"/>
    <mergeCell ref="E12:I12"/>
    <mergeCell ref="J12:L12"/>
    <mergeCell ref="M12:O12"/>
    <mergeCell ref="B13:D13"/>
    <mergeCell ref="E13:I13"/>
    <mergeCell ref="J13:L13"/>
    <mergeCell ref="M13:O13"/>
    <mergeCell ref="B11:D11"/>
    <mergeCell ref="E11:I11"/>
    <mergeCell ref="J11:L11"/>
    <mergeCell ref="M11:O11"/>
    <mergeCell ref="B8:D8"/>
    <mergeCell ref="E8:I8"/>
    <mergeCell ref="J8:L8"/>
    <mergeCell ref="M8:O8"/>
    <mergeCell ref="B9:D9"/>
    <mergeCell ref="E9:I9"/>
    <mergeCell ref="J9:L9"/>
    <mergeCell ref="M9:O9"/>
    <mergeCell ref="B2:M2"/>
    <mergeCell ref="B5:O5"/>
    <mergeCell ref="B7:D7"/>
    <mergeCell ref="E7:I7"/>
    <mergeCell ref="J7:L7"/>
    <mergeCell ref="M7:O7"/>
    <mergeCell ref="B10:D10"/>
    <mergeCell ref="E10:I10"/>
    <mergeCell ref="J10:L10"/>
    <mergeCell ref="M10:O10"/>
  </mergeCells>
  <pageMargins left="0.70833333333333337" right="0.70833333333333337" top="0.74791666666666667" bottom="0.74861111111111112" header="0.51180555555555551" footer="0.31527777777777777"/>
  <pageSetup paperSize="9" firstPageNumber="0" orientation="landscape" horizontalDpi="300" verticalDpi="300"/>
  <headerFooter alignWithMargins="0">
    <oddFooter>&amp;L&amp;F&amp;C&amp;A&amp;R&amp;D</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1"/>
    <pageSetUpPr fitToPage="1"/>
  </sheetPr>
  <dimension ref="A1:AI161"/>
  <sheetViews>
    <sheetView showGridLines="0" topLeftCell="C1" zoomScale="60" zoomScaleNormal="60" workbookViewId="0">
      <selection activeCell="E36" sqref="E36"/>
    </sheetView>
  </sheetViews>
  <sheetFormatPr baseColWidth="10" defaultColWidth="9.1796875" defaultRowHeight="14.5"/>
  <cols>
    <col min="1" max="1" width="2.7265625" customWidth="1"/>
    <col min="2" max="2" width="69.81640625" customWidth="1"/>
    <col min="3" max="3" width="23" customWidth="1"/>
    <col min="4" max="4" width="22.26953125" customWidth="1"/>
    <col min="5" max="5" width="29.81640625" customWidth="1"/>
    <col min="6" max="6" width="18" customWidth="1"/>
    <col min="7" max="7" width="35.1796875" customWidth="1"/>
    <col min="8" max="8" width="26.7265625" customWidth="1"/>
    <col min="9" max="9" width="19.7265625" customWidth="1"/>
    <col min="10" max="10" width="28.54296875" customWidth="1"/>
    <col min="11" max="11" width="18.54296875" customWidth="1"/>
    <col min="12" max="12" width="15.26953125" customWidth="1"/>
    <col min="13" max="13" width="20.54296875" customWidth="1"/>
    <col min="14" max="14" width="14.26953125" customWidth="1"/>
    <col min="15" max="15" width="15.54296875" customWidth="1"/>
    <col min="16" max="16" width="19.453125" customWidth="1"/>
    <col min="17" max="17" width="16.1796875" customWidth="1"/>
    <col min="18" max="18" width="13.7265625" customWidth="1"/>
    <col min="19" max="19" width="13.453125" customWidth="1"/>
    <col min="20" max="20" width="74.26953125" customWidth="1"/>
    <col min="21" max="21" width="16" customWidth="1"/>
    <col min="22" max="22" width="0" hidden="1" customWidth="1"/>
    <col min="23" max="23" width="15.54296875" customWidth="1"/>
    <col min="25" max="25" width="2.26953125" customWidth="1"/>
    <col min="26" max="26" width="1.1796875" customWidth="1"/>
    <col min="27" max="27" width="3.26953125" customWidth="1"/>
    <col min="28" max="28" width="17" customWidth="1"/>
    <col min="29" max="29" width="15" customWidth="1"/>
    <col min="31" max="31" width="13.54296875" customWidth="1"/>
    <col min="32" max="32" width="16.81640625" customWidth="1"/>
    <col min="34" max="34" width="2" customWidth="1"/>
    <col min="35" max="35" width="3.26953125" customWidth="1"/>
    <col min="36" max="36" width="2.26953125" customWidth="1"/>
    <col min="37" max="37" width="40.7265625" customWidth="1"/>
    <col min="38" max="38" width="15.453125" customWidth="1"/>
  </cols>
  <sheetData>
    <row r="1" spans="2:13" ht="29.25" customHeight="1"/>
    <row r="2" spans="2:13" ht="15.75" customHeight="1">
      <c r="B2" s="464" t="s">
        <v>46</v>
      </c>
      <c r="C2" s="464"/>
      <c r="D2" s="464"/>
      <c r="E2" s="464"/>
      <c r="F2" s="464"/>
      <c r="G2" s="464"/>
      <c r="H2" s="464"/>
      <c r="I2" s="464"/>
      <c r="J2" s="464"/>
      <c r="K2" s="27"/>
      <c r="L2" s="27"/>
      <c r="M2" s="27"/>
    </row>
    <row r="3" spans="2:13" ht="26.5" customHeight="1"/>
    <row r="4" spans="2:13">
      <c r="B4" s="28" t="s">
        <v>47</v>
      </c>
      <c r="C4" s="465" t="s">
        <v>48</v>
      </c>
      <c r="D4" s="465"/>
      <c r="E4" s="466" t="s">
        <v>49</v>
      </c>
      <c r="F4" s="466"/>
      <c r="G4" s="467" t="s">
        <v>50</v>
      </c>
      <c r="H4" s="467"/>
      <c r="I4" s="467"/>
      <c r="J4" s="467"/>
    </row>
    <row r="5" spans="2:13" ht="3" customHeight="1">
      <c r="B5" s="30"/>
      <c r="E5" s="31"/>
      <c r="F5" s="31"/>
    </row>
    <row r="6" spans="2:13">
      <c r="B6" s="28" t="s">
        <v>51</v>
      </c>
      <c r="C6" s="467" t="s">
        <v>52</v>
      </c>
      <c r="D6" s="467"/>
      <c r="E6" s="466" t="s">
        <v>53</v>
      </c>
      <c r="F6" s="466"/>
      <c r="G6" s="29" t="s">
        <v>54</v>
      </c>
      <c r="H6" s="32" t="s">
        <v>55</v>
      </c>
      <c r="I6" s="468">
        <v>5151144</v>
      </c>
      <c r="J6" s="468"/>
    </row>
    <row r="7" spans="2:13" ht="3" customHeight="1">
      <c r="B7" s="30"/>
      <c r="E7" s="31"/>
      <c r="F7" s="31"/>
      <c r="H7" s="30"/>
    </row>
    <row r="8" spans="2:13">
      <c r="B8" s="28" t="s">
        <v>56</v>
      </c>
      <c r="C8" s="467" t="s">
        <v>57</v>
      </c>
      <c r="D8" s="467"/>
      <c r="E8" s="31"/>
      <c r="F8" s="28" t="s">
        <v>58</v>
      </c>
      <c r="G8" s="29" t="s">
        <v>59</v>
      </c>
      <c r="H8" s="28" t="s">
        <v>60</v>
      </c>
      <c r="I8" s="465" t="s">
        <v>61</v>
      </c>
      <c r="J8" s="465"/>
    </row>
    <row r="9" spans="2:13" ht="3" customHeight="1">
      <c r="B9" s="31"/>
      <c r="C9" s="33">
        <v>39825</v>
      </c>
      <c r="E9" s="31"/>
      <c r="F9" s="31"/>
    </row>
    <row r="10" spans="2:13">
      <c r="B10" s="28" t="s">
        <v>62</v>
      </c>
      <c r="C10" s="470" t="s">
        <v>362</v>
      </c>
      <c r="D10" s="470"/>
      <c r="E10" s="471" t="s">
        <v>63</v>
      </c>
      <c r="F10" s="471"/>
      <c r="G10" s="465" t="s">
        <v>64</v>
      </c>
      <c r="H10" s="465"/>
      <c r="I10" s="465"/>
      <c r="J10" s="465"/>
    </row>
    <row r="11" spans="2:13" ht="5.25" customHeight="1"/>
    <row r="12" spans="2:13" ht="15" customHeight="1">
      <c r="B12" s="28" t="s">
        <v>65</v>
      </c>
      <c r="C12" s="472" t="s">
        <v>274</v>
      </c>
      <c r="D12" s="472"/>
      <c r="E12" s="473" t="s">
        <v>67</v>
      </c>
      <c r="F12" s="473"/>
      <c r="G12" s="467" t="s">
        <v>354</v>
      </c>
      <c r="H12" s="467"/>
      <c r="I12" s="467"/>
      <c r="J12" s="467"/>
    </row>
    <row r="13" spans="2:13" ht="5.25" customHeight="1"/>
    <row r="14" spans="2:13" ht="15.75" customHeight="1">
      <c r="B14" s="464" t="s">
        <v>68</v>
      </c>
      <c r="C14" s="464"/>
      <c r="D14" s="464"/>
      <c r="E14" s="464"/>
      <c r="F14" s="464"/>
      <c r="G14" s="464"/>
      <c r="H14" s="464"/>
      <c r="I14" s="464"/>
      <c r="J14" s="464"/>
    </row>
    <row r="15" spans="2:13" ht="3" customHeight="1"/>
    <row r="16" spans="2:13">
      <c r="B16" s="28" t="s">
        <v>69</v>
      </c>
      <c r="C16" s="29" t="s">
        <v>70</v>
      </c>
      <c r="D16" s="28" t="s">
        <v>71</v>
      </c>
      <c r="E16" s="34" t="s">
        <v>363</v>
      </c>
      <c r="F16" s="35" t="s">
        <v>72</v>
      </c>
      <c r="G16" s="34" t="s">
        <v>364</v>
      </c>
      <c r="H16" s="474" t="s">
        <v>73</v>
      </c>
      <c r="I16" s="474"/>
      <c r="J16" s="34" t="s">
        <v>365</v>
      </c>
    </row>
    <row r="17" spans="2:35" ht="3" customHeight="1"/>
    <row r="18" spans="2:35">
      <c r="B18" s="475" t="s">
        <v>74</v>
      </c>
      <c r="C18" s="475"/>
      <c r="D18" s="467" t="s">
        <v>360</v>
      </c>
      <c r="E18" s="467"/>
      <c r="F18" s="467"/>
    </row>
    <row r="19" spans="2:35" ht="3" customHeight="1"/>
    <row r="20" spans="2:35" ht="5.25" customHeight="1"/>
    <row r="21" spans="2:35" ht="15.75" customHeight="1">
      <c r="B21" s="464" t="s">
        <v>75</v>
      </c>
      <c r="C21" s="464"/>
      <c r="D21" s="464"/>
      <c r="E21" s="464"/>
      <c r="F21" s="464"/>
      <c r="G21" s="464"/>
      <c r="H21" s="464"/>
      <c r="I21" s="464"/>
      <c r="J21" s="464"/>
    </row>
    <row r="22" spans="2:35">
      <c r="B22" s="36" t="s">
        <v>76</v>
      </c>
    </row>
    <row r="23" spans="2:35" ht="3" customHeight="1"/>
    <row r="24" spans="2:35">
      <c r="B24" s="28" t="s">
        <v>77</v>
      </c>
      <c r="C24" s="37"/>
      <c r="D24" s="466" t="s">
        <v>78</v>
      </c>
      <c r="E24" s="466"/>
      <c r="F24" s="38"/>
      <c r="G24" s="466" t="s">
        <v>79</v>
      </c>
      <c r="H24" s="466"/>
      <c r="I24" s="469"/>
      <c r="J24" s="469"/>
    </row>
    <row r="25" spans="2:35" ht="18.5">
      <c r="B25" s="39" t="s">
        <v>77</v>
      </c>
      <c r="C25" s="40"/>
      <c r="D25" s="40"/>
      <c r="E25" s="40"/>
      <c r="F25" s="40"/>
      <c r="G25" s="40"/>
      <c r="H25" s="41"/>
      <c r="I25" s="41"/>
      <c r="J25" s="41" t="s">
        <v>80</v>
      </c>
      <c r="K25" s="41"/>
      <c r="L25" s="40"/>
      <c r="M25" s="40"/>
      <c r="N25" s="42"/>
      <c r="O25" s="43"/>
      <c r="AI25" s="44"/>
    </row>
    <row r="26" spans="2:35">
      <c r="B26" s="478" t="s">
        <v>81</v>
      </c>
      <c r="C26" s="478"/>
      <c r="D26" s="45" t="s">
        <v>82</v>
      </c>
      <c r="E26" s="46"/>
      <c r="F26" s="46"/>
      <c r="G26" s="46"/>
      <c r="H26" s="46"/>
      <c r="I26" s="46"/>
      <c r="J26" s="47"/>
      <c r="K26" s="46"/>
      <c r="L26" s="46"/>
      <c r="M26" s="46"/>
      <c r="N26" s="43"/>
      <c r="O26" s="43"/>
      <c r="AI26" s="44"/>
    </row>
    <row r="27" spans="2:35" ht="18.5">
      <c r="B27" s="48" t="s">
        <v>83</v>
      </c>
      <c r="C27" s="46"/>
      <c r="D27" s="46"/>
      <c r="E27" s="46"/>
      <c r="F27" s="46"/>
      <c r="G27" s="46"/>
      <c r="H27" s="46"/>
      <c r="I27" s="46"/>
      <c r="J27" s="47"/>
      <c r="K27" s="46"/>
      <c r="L27" s="46"/>
      <c r="M27" s="46"/>
      <c r="N27" s="43"/>
      <c r="O27" s="43"/>
      <c r="AI27" s="44"/>
    </row>
    <row r="29" spans="2:35">
      <c r="B29" s="479" t="s">
        <v>84</v>
      </c>
      <c r="C29" s="479"/>
      <c r="D29" s="479"/>
      <c r="E29" s="479"/>
      <c r="F29" s="479"/>
      <c r="G29" s="479"/>
      <c r="H29" s="479"/>
      <c r="I29" s="479"/>
      <c r="J29" s="479"/>
      <c r="K29" s="479"/>
      <c r="L29" s="479"/>
      <c r="M29" s="479"/>
      <c r="N29" s="479"/>
      <c r="P29" s="49"/>
      <c r="Q29" s="50"/>
      <c r="R29" s="51">
        <f>+C33</f>
        <v>5151443.74</v>
      </c>
      <c r="S29" s="49"/>
    </row>
    <row r="30" spans="2:35" ht="66.75" customHeight="1">
      <c r="B30" s="52" t="s">
        <v>85</v>
      </c>
      <c r="C30" s="53" t="s">
        <v>70</v>
      </c>
      <c r="D30" s="53" t="s">
        <v>86</v>
      </c>
      <c r="E30" s="53" t="s">
        <v>87</v>
      </c>
      <c r="F30" s="53" t="s">
        <v>88</v>
      </c>
      <c r="G30" s="53" t="s">
        <v>89</v>
      </c>
      <c r="H30" s="53" t="s">
        <v>90</v>
      </c>
      <c r="I30" s="53" t="s">
        <v>91</v>
      </c>
      <c r="J30" s="53" t="s">
        <v>92</v>
      </c>
      <c r="K30" s="53" t="s">
        <v>93</v>
      </c>
      <c r="L30" s="53" t="s">
        <v>94</v>
      </c>
      <c r="M30" s="53" t="s">
        <v>95</v>
      </c>
      <c r="N30" s="54" t="s">
        <v>96</v>
      </c>
      <c r="O30" s="55" t="s">
        <v>97</v>
      </c>
      <c r="P30" s="49"/>
      <c r="Q30" s="50"/>
      <c r="R30" s="51">
        <f>+D33</f>
        <v>0</v>
      </c>
      <c r="S30" s="49"/>
    </row>
    <row r="31" spans="2:35">
      <c r="B31" s="394" t="str">
        <f>CONCATENATE("Presupuesto (en ",'Introducción de datos'!$D$26,")")</f>
        <v>Presupuesto (en $)</v>
      </c>
      <c r="C31" s="56">
        <v>5151443.74</v>
      </c>
      <c r="D31" s="57"/>
      <c r="E31" s="57"/>
      <c r="F31" s="57"/>
      <c r="G31" s="57"/>
      <c r="H31" s="57"/>
      <c r="I31" s="58"/>
      <c r="J31" s="58"/>
      <c r="K31" s="58"/>
      <c r="L31" s="58"/>
      <c r="M31" s="58"/>
      <c r="N31" s="58"/>
      <c r="O31" s="486">
        <f>+SUM(C35:N35)</f>
        <v>0</v>
      </c>
      <c r="P31" s="49"/>
      <c r="Q31" s="50"/>
      <c r="R31" s="51">
        <f>+E33</f>
        <v>0</v>
      </c>
      <c r="S31" s="49"/>
    </row>
    <row r="32" spans="2:35">
      <c r="B32" s="395" t="str">
        <f>CONCATENATE("Desembolsos por el Fondo Mundial (en ",$D$26,")")</f>
        <v>Desembolsos por el Fondo Mundial (en $)</v>
      </c>
      <c r="C32" s="56">
        <v>4086490</v>
      </c>
      <c r="D32" s="59"/>
      <c r="E32" s="59"/>
      <c r="F32" s="60"/>
      <c r="G32" s="60"/>
      <c r="H32" s="60"/>
      <c r="I32" s="58"/>
      <c r="J32" s="58"/>
      <c r="K32" s="58"/>
      <c r="L32" s="58"/>
      <c r="M32" s="58"/>
      <c r="N32" s="58"/>
      <c r="O32" s="486"/>
      <c r="P32" s="49"/>
      <c r="Q32" s="50"/>
      <c r="R32" s="51">
        <f>+F33</f>
        <v>0</v>
      </c>
      <c r="S32" s="49"/>
    </row>
    <row r="33" spans="2:19">
      <c r="B33" s="396" t="s">
        <v>98</v>
      </c>
      <c r="C33" s="61">
        <f>+C31</f>
        <v>5151443.74</v>
      </c>
      <c r="D33" s="62"/>
      <c r="E33" s="62"/>
      <c r="F33" s="62"/>
      <c r="G33" s="62"/>
      <c r="H33" s="62"/>
      <c r="I33" s="63"/>
      <c r="J33" s="63"/>
      <c r="K33" s="63"/>
      <c r="L33" s="63"/>
      <c r="M33" s="63"/>
      <c r="N33" s="63"/>
      <c r="O33" s="486"/>
      <c r="P33" s="64"/>
      <c r="Q33" s="50"/>
      <c r="R33" s="51">
        <f>+G33</f>
        <v>0</v>
      </c>
      <c r="S33" s="49"/>
    </row>
    <row r="34" spans="2:19">
      <c r="B34" s="397" t="s">
        <v>99</v>
      </c>
      <c r="C34" s="65"/>
      <c r="D34" s="66"/>
      <c r="E34" s="66"/>
      <c r="F34" s="66"/>
      <c r="G34" s="66"/>
      <c r="H34" s="66"/>
      <c r="I34" s="67"/>
      <c r="J34" s="67"/>
      <c r="K34" s="67"/>
      <c r="L34" s="67"/>
      <c r="M34" s="67"/>
      <c r="N34" s="67"/>
      <c r="O34" s="486"/>
      <c r="P34" s="64"/>
      <c r="Q34" s="50"/>
      <c r="R34" s="51">
        <f>+H33</f>
        <v>0</v>
      </c>
      <c r="S34" s="49"/>
    </row>
    <row r="35" spans="2:19">
      <c r="C35" s="68">
        <f>+IF(AND(C30=$C$16,C33&lt;&gt;0),C34/C33,0)</f>
        <v>0</v>
      </c>
      <c r="D35" s="68">
        <f>+IF(AND(D30=$C$16,D33&lt;&gt;0),D34/D33,0)</f>
        <v>0</v>
      </c>
      <c r="E35" s="405"/>
      <c r="F35" s="68">
        <f t="shared" ref="F35:N35" si="0">+IF(AND(F30=$C$16,F33&lt;&gt;0),F34/F33,0)</f>
        <v>0</v>
      </c>
      <c r="G35" s="68">
        <f t="shared" si="0"/>
        <v>0</v>
      </c>
      <c r="H35" s="68">
        <f t="shared" si="0"/>
        <v>0</v>
      </c>
      <c r="I35" s="68">
        <f t="shared" si="0"/>
        <v>0</v>
      </c>
      <c r="J35" s="68">
        <f t="shared" si="0"/>
        <v>0</v>
      </c>
      <c r="K35" s="68">
        <f t="shared" si="0"/>
        <v>0</v>
      </c>
      <c r="L35" s="68">
        <f t="shared" si="0"/>
        <v>0</v>
      </c>
      <c r="M35" s="68">
        <f t="shared" si="0"/>
        <v>0</v>
      </c>
      <c r="N35" s="68">
        <f t="shared" si="0"/>
        <v>0</v>
      </c>
      <c r="O35" s="69"/>
      <c r="P35" s="70"/>
      <c r="Q35" s="50"/>
      <c r="R35" s="51">
        <f>+I33</f>
        <v>0</v>
      </c>
      <c r="S35" s="49"/>
    </row>
    <row r="36" spans="2:19" ht="18.5">
      <c r="B36" s="48" t="s">
        <v>358</v>
      </c>
      <c r="E36" s="71"/>
      <c r="G36" s="72"/>
      <c r="N36" s="73"/>
      <c r="O36" s="73"/>
    </row>
    <row r="37" spans="2:19" ht="15" thickBot="1">
      <c r="N37" s="74"/>
      <c r="O37" s="74"/>
    </row>
    <row r="38" spans="2:19" ht="30" customHeight="1">
      <c r="B38" s="75" t="s">
        <v>359</v>
      </c>
      <c r="C38" s="76" t="str">
        <f>CONCATENATE("Presupuesto acumulado (en ",'Introducción de datos'!$D$26,")")</f>
        <v>Presupuesto acumulado (en $)</v>
      </c>
      <c r="D38" s="77" t="str">
        <f>CONCATENATE("Gastos acumulados (en ",'Introducción de datos'!$D$26,")")</f>
        <v>Gastos acumulados (en $)</v>
      </c>
      <c r="E38" s="77" t="s">
        <v>357</v>
      </c>
      <c r="F38" s="78"/>
      <c r="J38" s="79"/>
      <c r="K38" s="79"/>
    </row>
    <row r="39" spans="2:19" ht="33.75" customHeight="1">
      <c r="B39" s="398" t="s">
        <v>372</v>
      </c>
      <c r="C39" s="80">
        <v>633746.77</v>
      </c>
      <c r="D39" s="80">
        <f>34536.2+6459.06</f>
        <v>40995.259999999995</v>
      </c>
      <c r="E39" s="399">
        <f>+D39/C39</f>
        <v>6.4687130476420412E-2</v>
      </c>
      <c r="F39" s="81"/>
      <c r="G39" s="82"/>
      <c r="J39" s="7"/>
      <c r="K39" s="7"/>
    </row>
    <row r="40" spans="2:19" ht="29">
      <c r="B40" s="398" t="s">
        <v>373</v>
      </c>
      <c r="C40" s="80">
        <v>1869219.4</v>
      </c>
      <c r="D40" s="80">
        <f>63203.66-23613.29+61168.66</f>
        <v>100759.03</v>
      </c>
      <c r="E40" s="399">
        <f t="shared" ref="E40:E47" si="1">+D40/C40</f>
        <v>5.3904335681514967E-2</v>
      </c>
      <c r="F40" s="81"/>
      <c r="G40" s="82"/>
      <c r="K40" s="7"/>
    </row>
    <row r="41" spans="2:19">
      <c r="B41" s="398" t="s">
        <v>374</v>
      </c>
      <c r="C41" s="80">
        <v>115337.92</v>
      </c>
      <c r="D41" s="80">
        <v>3561.55</v>
      </c>
      <c r="E41" s="399">
        <f t="shared" si="1"/>
        <v>3.087926329866188E-2</v>
      </c>
      <c r="F41" s="81"/>
      <c r="G41" s="82"/>
      <c r="K41" s="7"/>
    </row>
    <row r="42" spans="2:19" ht="29">
      <c r="B42" s="398" t="s">
        <v>375</v>
      </c>
      <c r="C42" s="80">
        <v>609151.27</v>
      </c>
      <c r="D42" s="80">
        <v>20477.36</v>
      </c>
      <c r="E42" s="399">
        <f t="shared" si="1"/>
        <v>3.361621490175995E-2</v>
      </c>
      <c r="F42" s="81"/>
      <c r="G42" s="82"/>
      <c r="K42" s="7"/>
    </row>
    <row r="43" spans="2:19" ht="29">
      <c r="B43" s="398" t="s">
        <v>376</v>
      </c>
      <c r="C43" s="80">
        <v>157236.20000000001</v>
      </c>
      <c r="D43" s="80">
        <v>0</v>
      </c>
      <c r="E43" s="399">
        <f t="shared" si="1"/>
        <v>0</v>
      </c>
      <c r="F43" s="81"/>
      <c r="G43" s="82"/>
      <c r="K43" s="7"/>
    </row>
    <row r="44" spans="2:19" ht="14.25" customHeight="1">
      <c r="B44" s="398" t="s">
        <v>355</v>
      </c>
      <c r="C44" s="80">
        <v>117390</v>
      </c>
      <c r="D44" s="80">
        <v>0</v>
      </c>
      <c r="E44" s="399">
        <f t="shared" si="1"/>
        <v>0</v>
      </c>
      <c r="F44" s="81"/>
      <c r="G44" s="82"/>
      <c r="K44" s="7"/>
    </row>
    <row r="45" spans="2:19">
      <c r="B45" s="398" t="s">
        <v>377</v>
      </c>
      <c r="C45" s="80">
        <v>172865.71</v>
      </c>
      <c r="D45" s="80">
        <v>5579.84</v>
      </c>
      <c r="E45" s="399">
        <f t="shared" si="1"/>
        <v>3.2278466330887719E-2</v>
      </c>
      <c r="F45" s="81"/>
      <c r="G45" s="82"/>
      <c r="K45" s="7"/>
    </row>
    <row r="46" spans="2:19" ht="14.25" customHeight="1">
      <c r="B46" s="398" t="s">
        <v>356</v>
      </c>
      <c r="C46" s="80">
        <v>9980</v>
      </c>
      <c r="D46" s="80">
        <v>0</v>
      </c>
      <c r="E46" s="399">
        <f t="shared" si="1"/>
        <v>0</v>
      </c>
      <c r="F46" s="81"/>
      <c r="G46" s="82"/>
      <c r="K46" s="7"/>
    </row>
    <row r="47" spans="2:19" ht="14.25" customHeight="1">
      <c r="B47" s="398" t="s">
        <v>378</v>
      </c>
      <c r="C47" s="80">
        <v>1466516.47</v>
      </c>
      <c r="D47" s="80">
        <f>19090.31+2.5</f>
        <v>19092.810000000001</v>
      </c>
      <c r="E47" s="399">
        <f t="shared" si="1"/>
        <v>1.3019158250571847E-2</v>
      </c>
      <c r="F47" s="81"/>
      <c r="G47" s="82"/>
      <c r="K47" s="7"/>
    </row>
    <row r="48" spans="2:19">
      <c r="B48" s="398"/>
      <c r="C48" s="80"/>
      <c r="D48" s="80"/>
      <c r="E48" s="80"/>
      <c r="F48" s="83"/>
    </row>
    <row r="49" spans="2:19" ht="15" thickBot="1">
      <c r="B49" s="84"/>
      <c r="C49" s="80"/>
      <c r="D49" s="80"/>
      <c r="E49" s="80"/>
    </row>
    <row r="50" spans="2:19" ht="15" thickBot="1">
      <c r="B50" s="85" t="s">
        <v>100</v>
      </c>
      <c r="C50" s="409">
        <f>SUM(C39:C48)</f>
        <v>5151443.74</v>
      </c>
      <c r="D50" s="409">
        <f>SUM(D39:D48)</f>
        <v>190465.84999999995</v>
      </c>
      <c r="E50" s="418">
        <f>+D50/C50</f>
        <v>3.697329517957619E-2</v>
      </c>
      <c r="F50" s="487" t="str">
        <f ca="1">+IF((ROUND(C50,0)=ROUND(OFFSET(B33,0,RIGHT('Introducción de datos'!$C$16,LEN('Introducción de datos'!$C$16)-1),1,1),0)),"OK: Datos corresponden","Atención: Datos no corresponden")</f>
        <v>OK: Datos corresponden</v>
      </c>
      <c r="G50" s="487"/>
      <c r="H50" s="487"/>
      <c r="I50" s="487"/>
      <c r="J50" s="69"/>
      <c r="K50" s="69"/>
      <c r="L50" s="69"/>
      <c r="M50" s="70"/>
      <c r="N50" s="50"/>
      <c r="O50" s="51"/>
      <c r="P50" s="49"/>
    </row>
    <row r="51" spans="2:19">
      <c r="C51" s="69"/>
      <c r="D51" s="69"/>
      <c r="E51" s="86"/>
      <c r="F51" s="69"/>
      <c r="G51" s="69"/>
      <c r="H51" s="69"/>
      <c r="I51" s="69"/>
      <c r="J51" s="69"/>
      <c r="K51" s="69"/>
      <c r="L51" s="69"/>
      <c r="M51" s="69"/>
      <c r="N51" s="69"/>
      <c r="O51" s="69"/>
      <c r="P51" s="70"/>
      <c r="Q51" s="50"/>
      <c r="R51" s="51"/>
      <c r="S51" s="49"/>
    </row>
    <row r="52" spans="2:19" ht="18.5">
      <c r="B52" s="48" t="s">
        <v>101</v>
      </c>
      <c r="P52" s="49"/>
      <c r="Q52" s="50"/>
      <c r="R52" s="51">
        <f>+J33</f>
        <v>0</v>
      </c>
      <c r="S52" s="49"/>
    </row>
    <row r="53" spans="2:19">
      <c r="C53" s="82"/>
      <c r="P53" s="49"/>
      <c r="Q53" s="50"/>
      <c r="R53" s="51">
        <f>+K33</f>
        <v>0</v>
      </c>
      <c r="S53" s="49"/>
    </row>
    <row r="54" spans="2:19" ht="35.25" customHeight="1">
      <c r="B54" s="87"/>
      <c r="C54" s="88" t="s">
        <v>102</v>
      </c>
      <c r="D54" s="88" t="s">
        <v>103</v>
      </c>
      <c r="E54" s="89" t="str">
        <f>CONCATENATE("Total gastado y desembolso (en ",D26,")")</f>
        <v>Total gastado y desembolso (en $)</v>
      </c>
      <c r="G54" s="90"/>
      <c r="H54" s="78"/>
      <c r="I54" s="91"/>
      <c r="J54" s="91"/>
      <c r="K54" s="91"/>
      <c r="L54" s="91"/>
      <c r="M54" s="92"/>
      <c r="N54" s="92"/>
      <c r="O54" s="49"/>
      <c r="P54" s="50"/>
      <c r="Q54" s="51">
        <f>+M33</f>
        <v>0</v>
      </c>
      <c r="R54" s="49"/>
    </row>
    <row r="55" spans="2:19">
      <c r="B55" s="393" t="s">
        <v>104</v>
      </c>
      <c r="C55" s="80"/>
      <c r="D55" s="80">
        <f>+C32</f>
        <v>4086490</v>
      </c>
      <c r="E55" s="80">
        <f>SUM(C55:D55)</f>
        <v>4086490</v>
      </c>
      <c r="F55" s="403"/>
      <c r="G55" s="93"/>
      <c r="H55" s="94"/>
      <c r="I55" s="95"/>
      <c r="J55" s="96"/>
      <c r="K55" s="96"/>
      <c r="L55" s="97"/>
      <c r="M55" s="97"/>
      <c r="N55" s="97"/>
      <c r="O55" s="49"/>
      <c r="P55" s="49"/>
      <c r="Q55" s="49"/>
      <c r="R55" s="49"/>
    </row>
    <row r="56" spans="2:19">
      <c r="B56" s="393" t="s">
        <v>388</v>
      </c>
      <c r="C56" s="80"/>
      <c r="D56" s="80">
        <v>17500.940000000002</v>
      </c>
      <c r="E56" s="80">
        <f>+D56</f>
        <v>17500.940000000002</v>
      </c>
      <c r="F56" s="403"/>
      <c r="G56" s="93"/>
      <c r="H56" s="94"/>
      <c r="I56" s="95"/>
      <c r="J56" s="96"/>
      <c r="K56" s="96"/>
      <c r="L56" s="97"/>
      <c r="M56" s="97"/>
      <c r="N56" s="97"/>
      <c r="O56" s="49"/>
      <c r="P56" s="49"/>
      <c r="Q56" s="49"/>
      <c r="R56" s="49"/>
    </row>
    <row r="57" spans="2:19">
      <c r="B57" s="393" t="s">
        <v>379</v>
      </c>
      <c r="C57" s="80"/>
      <c r="D57" s="80">
        <v>1120587</v>
      </c>
      <c r="E57" s="80">
        <f t="shared" ref="E57:E60" si="2">+D57</f>
        <v>1120587</v>
      </c>
      <c r="G57" s="93"/>
      <c r="H57" s="94"/>
      <c r="I57" s="95"/>
      <c r="J57" s="96"/>
      <c r="K57" s="96"/>
      <c r="L57" s="97"/>
      <c r="M57" s="97"/>
      <c r="N57" s="97"/>
      <c r="O57" s="49"/>
      <c r="P57" s="49"/>
      <c r="Q57" s="49"/>
      <c r="R57" s="49"/>
    </row>
    <row r="58" spans="2:19">
      <c r="B58" s="393" t="s">
        <v>383</v>
      </c>
      <c r="C58" s="404"/>
      <c r="D58" s="80">
        <v>93216.88</v>
      </c>
      <c r="E58" s="404">
        <f t="shared" si="2"/>
        <v>93216.88</v>
      </c>
      <c r="F58" s="403"/>
      <c r="G58" s="98"/>
      <c r="H58" s="94"/>
      <c r="I58" s="95"/>
      <c r="J58" s="96"/>
      <c r="K58" s="96"/>
      <c r="L58" s="97"/>
      <c r="M58" s="99"/>
      <c r="N58" s="99"/>
      <c r="O58" s="49"/>
      <c r="P58" s="49"/>
      <c r="Q58" s="49"/>
      <c r="R58" s="49"/>
    </row>
    <row r="59" spans="2:19">
      <c r="B59" s="412" t="s">
        <v>380</v>
      </c>
      <c r="C59" s="413"/>
      <c r="D59" s="413">
        <f>+D55+D56-D57-D58</f>
        <v>2890187.06</v>
      </c>
      <c r="E59" s="413">
        <f t="shared" si="2"/>
        <v>2890187.06</v>
      </c>
      <c r="F59" s="403"/>
      <c r="G59" s="408"/>
      <c r="H59" s="94"/>
      <c r="I59" s="95"/>
      <c r="J59" s="96"/>
      <c r="K59" s="96"/>
      <c r="L59" s="97"/>
      <c r="M59" s="99"/>
      <c r="N59" s="99"/>
      <c r="O59" s="49"/>
      <c r="P59" s="49"/>
      <c r="Q59" s="49"/>
      <c r="R59" s="49"/>
    </row>
    <row r="60" spans="2:19" ht="15" thickBot="1">
      <c r="B60" s="100" t="s">
        <v>381</v>
      </c>
      <c r="C60" s="419"/>
      <c r="D60" s="419">
        <f>3423523.21-D57</f>
        <v>2302936.21</v>
      </c>
      <c r="E60" s="419">
        <f t="shared" si="2"/>
        <v>2302936.21</v>
      </c>
      <c r="F60" s="403"/>
      <c r="G60" s="93"/>
      <c r="H60" s="94"/>
      <c r="I60" s="95"/>
      <c r="J60" s="96"/>
      <c r="K60" s="96"/>
      <c r="L60" s="97"/>
      <c r="M60" s="97"/>
      <c r="N60" s="97"/>
    </row>
    <row r="61" spans="2:19" ht="15" thickBot="1">
      <c r="B61" s="417" t="s">
        <v>382</v>
      </c>
      <c r="C61" s="411"/>
      <c r="D61" s="411">
        <f>+D59-D60</f>
        <v>587250.85000000009</v>
      </c>
      <c r="E61" s="411">
        <f>+D61</f>
        <v>587250.85000000009</v>
      </c>
      <c r="F61" s="403"/>
      <c r="G61" s="93"/>
      <c r="H61" s="94"/>
      <c r="I61" s="95"/>
      <c r="J61" s="96"/>
      <c r="K61" s="96"/>
      <c r="L61" s="97"/>
      <c r="M61" s="97"/>
      <c r="N61" s="97"/>
    </row>
    <row r="62" spans="2:19">
      <c r="B62" s="414" t="s">
        <v>384</v>
      </c>
      <c r="C62" s="80"/>
      <c r="D62" s="416">
        <f>+D57</f>
        <v>1120587</v>
      </c>
      <c r="E62" s="410">
        <f>+D62</f>
        <v>1120587</v>
      </c>
      <c r="F62" s="403"/>
      <c r="G62" s="93"/>
      <c r="H62" s="94"/>
      <c r="I62" s="95"/>
      <c r="J62" s="96"/>
      <c r="K62" s="96"/>
      <c r="L62" s="97"/>
      <c r="M62" s="97"/>
      <c r="N62" s="97"/>
    </row>
    <row r="63" spans="2:19">
      <c r="B63" s="393" t="s">
        <v>389</v>
      </c>
      <c r="C63" s="80"/>
      <c r="D63" s="416">
        <f>+'[2]Conciliación del efectivo SR'!$C$14+'[2]Conciliación del efectivo SR'!$D$14</f>
        <v>2735.86</v>
      </c>
      <c r="E63" s="410">
        <f t="shared" ref="E63:E65" si="3">+D63</f>
        <v>2735.86</v>
      </c>
      <c r="F63" s="403"/>
      <c r="G63" s="93"/>
      <c r="H63" s="94"/>
      <c r="I63" s="95"/>
      <c r="J63" s="96"/>
      <c r="K63" s="96"/>
      <c r="L63" s="97"/>
      <c r="M63" s="97"/>
      <c r="N63" s="97"/>
    </row>
    <row r="64" spans="2:19">
      <c r="B64" s="393" t="s">
        <v>385</v>
      </c>
      <c r="C64" s="80"/>
      <c r="D64" s="80">
        <v>97248.97</v>
      </c>
      <c r="E64" s="410">
        <f t="shared" si="3"/>
        <v>97248.97</v>
      </c>
      <c r="F64" s="403"/>
      <c r="G64" s="93"/>
      <c r="H64" s="94"/>
      <c r="I64" s="95"/>
      <c r="J64" s="96"/>
      <c r="K64" s="96"/>
      <c r="L64" s="97"/>
      <c r="M64" s="97"/>
      <c r="N64" s="97"/>
    </row>
    <row r="65" spans="2:19">
      <c r="B65" s="393" t="s">
        <v>387</v>
      </c>
      <c r="C65" s="80"/>
      <c r="D65" s="415">
        <v>372206.84</v>
      </c>
      <c r="E65" s="410">
        <f t="shared" si="3"/>
        <v>372206.84</v>
      </c>
      <c r="F65" s="403"/>
      <c r="G65" s="93"/>
      <c r="H65" s="94"/>
      <c r="I65" s="95"/>
      <c r="J65" s="96"/>
      <c r="K65" s="96"/>
      <c r="L65" s="97"/>
      <c r="M65" s="97"/>
      <c r="N65" s="97"/>
    </row>
    <row r="66" spans="2:19" ht="15" thickBot="1">
      <c r="B66" s="417" t="s">
        <v>386</v>
      </c>
      <c r="C66" s="411"/>
      <c r="D66" s="411">
        <f>+D62+D63-D64-D65</f>
        <v>653867.05000000005</v>
      </c>
      <c r="E66" s="411">
        <f>+D66</f>
        <v>653867.05000000005</v>
      </c>
      <c r="F66" s="403"/>
      <c r="G66" s="93"/>
      <c r="H66" s="94"/>
      <c r="I66" s="95"/>
      <c r="J66" s="96"/>
      <c r="K66" s="96"/>
      <c r="L66" s="97"/>
      <c r="M66" s="97"/>
      <c r="N66" s="97"/>
    </row>
    <row r="67" spans="2:19">
      <c r="F67" s="101"/>
      <c r="G67" s="488"/>
      <c r="H67" s="488"/>
      <c r="I67" s="102"/>
      <c r="J67" s="102"/>
      <c r="K67" s="102"/>
      <c r="L67" s="97"/>
      <c r="M67" s="99"/>
      <c r="N67" s="99"/>
    </row>
    <row r="68" spans="2:19" ht="15.75" customHeight="1">
      <c r="C68" s="403"/>
      <c r="D68" s="103"/>
      <c r="E68" s="103"/>
      <c r="F68" s="104"/>
    </row>
    <row r="69" spans="2:19">
      <c r="D69" s="103"/>
      <c r="E69" s="105"/>
    </row>
    <row r="70" spans="2:19" ht="18.5">
      <c r="B70" s="48" t="s">
        <v>105</v>
      </c>
      <c r="E70" s="106"/>
    </row>
    <row r="72" spans="2:19" ht="15" customHeight="1">
      <c r="B72" s="489" t="s">
        <v>106</v>
      </c>
      <c r="C72" s="489"/>
      <c r="D72" s="489"/>
    </row>
    <row r="73" spans="2:19">
      <c r="B73" s="107"/>
      <c r="C73" s="108" t="s">
        <v>107</v>
      </c>
      <c r="D73" s="109" t="s">
        <v>108</v>
      </c>
    </row>
    <row r="74" spans="2:19" ht="29.25" customHeight="1">
      <c r="B74" s="392" t="s">
        <v>109</v>
      </c>
      <c r="C74" s="110">
        <v>60</v>
      </c>
      <c r="D74" s="111">
        <v>60</v>
      </c>
    </row>
    <row r="75" spans="2:19">
      <c r="B75" s="112" t="s">
        <v>110</v>
      </c>
      <c r="C75" s="110">
        <v>0</v>
      </c>
      <c r="D75" s="111">
        <v>0</v>
      </c>
      <c r="H75" s="94"/>
      <c r="I75" s="94"/>
    </row>
    <row r="76" spans="2:19">
      <c r="B76" s="113" t="s">
        <v>111</v>
      </c>
      <c r="C76" s="114">
        <v>60</v>
      </c>
      <c r="D76" s="115">
        <v>56</v>
      </c>
      <c r="H76" s="94"/>
      <c r="I76" s="94"/>
    </row>
    <row r="78" spans="2:19">
      <c r="L78" s="116"/>
    </row>
    <row r="79" spans="2:19" ht="18.5">
      <c r="B79" s="117" t="s">
        <v>112</v>
      </c>
      <c r="C79" s="118"/>
      <c r="D79" s="118"/>
      <c r="E79" s="118"/>
      <c r="F79" s="118"/>
      <c r="G79" s="118"/>
      <c r="H79" s="119" t="s">
        <v>113</v>
      </c>
      <c r="I79" s="118"/>
      <c r="J79" s="120"/>
      <c r="K79" s="120"/>
      <c r="L79" s="121"/>
      <c r="M79" s="122"/>
      <c r="N79" s="123"/>
      <c r="O79" s="123"/>
      <c r="P79" s="123"/>
      <c r="S79" s="44"/>
    </row>
    <row r="80" spans="2:19" ht="18.5">
      <c r="B80" s="124"/>
      <c r="C80" s="125"/>
      <c r="D80" s="125"/>
      <c r="E80" s="125"/>
      <c r="F80" s="125"/>
      <c r="G80" s="125"/>
      <c r="H80" s="125"/>
      <c r="I80" s="125"/>
      <c r="J80" s="125"/>
      <c r="K80" s="126"/>
      <c r="L80" s="126"/>
      <c r="M80" s="125"/>
      <c r="N80" s="123"/>
      <c r="O80" s="123"/>
      <c r="P80" s="123"/>
      <c r="S80" s="44"/>
    </row>
    <row r="81" spans="2:19" ht="18.5">
      <c r="B81" s="127" t="s">
        <v>114</v>
      </c>
      <c r="C81" s="128"/>
      <c r="D81" s="128"/>
      <c r="E81" s="128"/>
      <c r="F81" s="125"/>
      <c r="G81" s="125"/>
      <c r="H81" s="125"/>
      <c r="I81" s="125"/>
      <c r="J81" s="125"/>
      <c r="K81" s="126"/>
      <c r="L81" s="126"/>
      <c r="M81" s="125"/>
      <c r="N81" s="123"/>
      <c r="O81" s="123"/>
      <c r="P81" s="123"/>
      <c r="S81" s="44"/>
    </row>
    <row r="82" spans="2:19">
      <c r="C82" s="129"/>
      <c r="D82" s="129"/>
      <c r="E82" s="129"/>
      <c r="F82" s="129"/>
      <c r="G82" s="129"/>
      <c r="I82" s="129"/>
    </row>
    <row r="83" spans="2:19" ht="69.75" customHeight="1">
      <c r="B83" s="490"/>
      <c r="C83" s="490"/>
      <c r="D83" s="130" t="s">
        <v>115</v>
      </c>
      <c r="E83" s="131" t="s">
        <v>116</v>
      </c>
      <c r="F83" s="131" t="s">
        <v>117</v>
      </c>
      <c r="G83" s="132" t="s">
        <v>100</v>
      </c>
      <c r="H83" s="7"/>
      <c r="I83" s="133"/>
    </row>
    <row r="84" spans="2:19">
      <c r="B84" s="480" t="s">
        <v>118</v>
      </c>
      <c r="C84" s="480"/>
      <c r="D84" s="135">
        <v>2</v>
      </c>
      <c r="E84" s="135">
        <v>0</v>
      </c>
      <c r="F84" s="135">
        <v>0</v>
      </c>
      <c r="G84" s="136">
        <v>2</v>
      </c>
      <c r="H84" s="83"/>
      <c r="I84" s="137"/>
      <c r="J84" s="137"/>
    </row>
    <row r="85" spans="2:19" ht="15.75" customHeight="1">
      <c r="B85" s="481" t="s">
        <v>119</v>
      </c>
      <c r="C85" s="481"/>
      <c r="D85" s="139">
        <v>0</v>
      </c>
      <c r="E85" s="139">
        <v>0</v>
      </c>
      <c r="F85" s="139">
        <v>0</v>
      </c>
      <c r="G85" s="140">
        <f t="shared" ref="G85" si="4">SUM(D85:F85)</f>
        <v>0</v>
      </c>
      <c r="H85" s="83"/>
    </row>
    <row r="86" spans="2:19">
      <c r="D86" t="s">
        <v>120</v>
      </c>
    </row>
    <row r="88" spans="2:19" ht="18.5">
      <c r="B88" s="127" t="s">
        <v>121</v>
      </c>
      <c r="C88" s="141"/>
      <c r="D88" s="141"/>
    </row>
    <row r="90" spans="2:19">
      <c r="B90" s="142"/>
      <c r="C90" s="143" t="s">
        <v>122</v>
      </c>
      <c r="D90" s="143" t="s">
        <v>123</v>
      </c>
      <c r="E90" s="144" t="s">
        <v>124</v>
      </c>
      <c r="I90" s="133"/>
    </row>
    <row r="91" spans="2:19">
      <c r="B91" s="138" t="s">
        <v>125</v>
      </c>
      <c r="C91" s="145">
        <v>0</v>
      </c>
      <c r="D91" s="145">
        <v>0</v>
      </c>
      <c r="E91" s="146">
        <f>+C91-D91</f>
        <v>0</v>
      </c>
      <c r="F91" s="30"/>
      <c r="G91" s="147"/>
      <c r="I91" s="137"/>
    </row>
    <row r="93" spans="2:19" ht="18.5">
      <c r="B93" s="127" t="s">
        <v>126</v>
      </c>
      <c r="C93" s="141"/>
    </row>
    <row r="95" spans="2:19">
      <c r="B95" s="142"/>
      <c r="C95" s="143" t="s">
        <v>127</v>
      </c>
      <c r="D95" s="143" t="s">
        <v>128</v>
      </c>
      <c r="E95" s="143" t="s">
        <v>129</v>
      </c>
      <c r="F95" s="143" t="s">
        <v>130</v>
      </c>
      <c r="G95" s="148" t="s">
        <v>131</v>
      </c>
      <c r="H95" s="149"/>
      <c r="I95" s="133"/>
    </row>
    <row r="96" spans="2:19">
      <c r="B96" s="138" t="s">
        <v>132</v>
      </c>
      <c r="C96" s="145" t="s">
        <v>133</v>
      </c>
      <c r="D96" s="145" t="s">
        <v>133</v>
      </c>
      <c r="E96" s="145" t="s">
        <v>133</v>
      </c>
      <c r="F96" s="145" t="s">
        <v>133</v>
      </c>
      <c r="G96" s="150" t="s">
        <v>133</v>
      </c>
      <c r="H96" s="151"/>
      <c r="I96" s="83"/>
    </row>
    <row r="98" spans="2:14" ht="18.5">
      <c r="B98" s="127" t="s">
        <v>134</v>
      </c>
      <c r="C98" s="141"/>
      <c r="D98" s="141"/>
    </row>
    <row r="100" spans="2:14">
      <c r="B100" s="142"/>
      <c r="C100" s="152" t="s">
        <v>135</v>
      </c>
      <c r="D100" s="152" t="s">
        <v>136</v>
      </c>
      <c r="E100" s="153" t="s">
        <v>137</v>
      </c>
    </row>
    <row r="101" spans="2:14">
      <c r="B101" s="134" t="s">
        <v>138</v>
      </c>
      <c r="C101" s="135">
        <v>2</v>
      </c>
      <c r="D101" s="154">
        <v>2</v>
      </c>
      <c r="E101" s="155">
        <v>0</v>
      </c>
    </row>
    <row r="102" spans="2:14">
      <c r="B102" s="138" t="s">
        <v>139</v>
      </c>
      <c r="C102" s="139" t="s">
        <v>133</v>
      </c>
      <c r="D102" s="156" t="s">
        <v>133</v>
      </c>
      <c r="E102" s="155" t="s">
        <v>133</v>
      </c>
    </row>
    <row r="104" spans="2:14" ht="18.5">
      <c r="B104" s="127" t="s">
        <v>140</v>
      </c>
      <c r="C104" s="141"/>
      <c r="D104" s="141"/>
      <c r="E104" s="141"/>
      <c r="F104" s="141"/>
      <c r="G104" s="141"/>
    </row>
    <row r="106" spans="2:14">
      <c r="B106" s="157"/>
      <c r="C106" s="158" t="s">
        <v>70</v>
      </c>
      <c r="D106" s="158" t="s">
        <v>86</v>
      </c>
      <c r="E106" s="158" t="s">
        <v>87</v>
      </c>
      <c r="F106" s="158" t="s">
        <v>88</v>
      </c>
      <c r="G106" s="158" t="s">
        <v>89</v>
      </c>
      <c r="H106" s="158" t="s">
        <v>90</v>
      </c>
      <c r="I106" s="158" t="s">
        <v>91</v>
      </c>
      <c r="J106" s="158" t="s">
        <v>92</v>
      </c>
      <c r="K106" s="158" t="s">
        <v>93</v>
      </c>
      <c r="L106" s="158" t="s">
        <v>94</v>
      </c>
      <c r="M106" s="158" t="s">
        <v>95</v>
      </c>
      <c r="N106" s="159" t="s">
        <v>96</v>
      </c>
    </row>
    <row r="107" spans="2:14" ht="15" customHeight="1">
      <c r="B107" s="160" t="s">
        <v>141</v>
      </c>
      <c r="C107" s="161">
        <f>230682.2+2029469.86</f>
        <v>2260152.06</v>
      </c>
      <c r="D107" s="161"/>
      <c r="E107" s="161"/>
      <c r="F107" s="161"/>
      <c r="G107" s="161"/>
      <c r="H107" s="162"/>
      <c r="I107" s="162"/>
      <c r="J107" s="162"/>
      <c r="K107" s="162"/>
      <c r="L107" s="162"/>
      <c r="M107" s="162"/>
      <c r="N107" s="162"/>
    </row>
    <row r="108" spans="2:14" ht="15" customHeight="1">
      <c r="B108" s="160" t="s">
        <v>142</v>
      </c>
      <c r="C108" s="161">
        <f>1642550.19+244107.2</f>
        <v>1886657.39</v>
      </c>
      <c r="D108" s="420"/>
      <c r="E108" s="161"/>
      <c r="F108" s="161"/>
      <c r="G108" s="161"/>
      <c r="H108" s="162"/>
      <c r="I108" s="162"/>
      <c r="J108" s="162"/>
      <c r="K108" s="162"/>
      <c r="L108" s="162"/>
      <c r="M108" s="162"/>
      <c r="N108" s="162"/>
    </row>
    <row r="109" spans="2:14" ht="15" customHeight="1">
      <c r="B109" s="160" t="s">
        <v>143</v>
      </c>
      <c r="C109" s="161">
        <v>0</v>
      </c>
      <c r="D109" s="161"/>
      <c r="E109" s="161"/>
      <c r="F109" s="161"/>
      <c r="G109" s="161"/>
      <c r="H109" s="161"/>
      <c r="I109" s="162"/>
      <c r="J109" s="162"/>
      <c r="K109" s="162"/>
      <c r="L109" s="162"/>
      <c r="M109" s="162"/>
      <c r="N109" s="162"/>
    </row>
    <row r="110" spans="2:14" ht="15" customHeight="1">
      <c r="B110" s="163" t="s">
        <v>144</v>
      </c>
      <c r="C110" s="164">
        <f>+C107</f>
        <v>2260152.06</v>
      </c>
      <c r="D110" s="164"/>
      <c r="E110" s="164"/>
      <c r="F110" s="164"/>
      <c r="G110" s="164"/>
      <c r="H110" s="164"/>
      <c r="I110" s="165"/>
      <c r="J110" s="165"/>
      <c r="K110" s="165"/>
      <c r="L110" s="165"/>
      <c r="M110" s="165"/>
      <c r="N110" s="165"/>
    </row>
    <row r="111" spans="2:14" ht="15" customHeight="1">
      <c r="B111" s="163" t="s">
        <v>145</v>
      </c>
      <c r="C111" s="164">
        <v>1886657.39</v>
      </c>
      <c r="D111" s="164"/>
      <c r="E111" s="164"/>
      <c r="F111" s="164"/>
      <c r="G111" s="164"/>
      <c r="H111" s="164"/>
      <c r="I111" s="166"/>
      <c r="J111" s="166"/>
      <c r="K111" s="166"/>
      <c r="L111" s="166"/>
      <c r="M111" s="166"/>
      <c r="N111" s="166"/>
    </row>
    <row r="112" spans="2:14">
      <c r="B112" s="167" t="s">
        <v>146</v>
      </c>
      <c r="C112" s="164">
        <v>0</v>
      </c>
      <c r="D112" s="164"/>
      <c r="E112" s="164"/>
      <c r="F112" s="164"/>
      <c r="G112" s="164"/>
      <c r="H112" s="164"/>
      <c r="I112" s="166"/>
      <c r="J112" s="166"/>
      <c r="K112" s="166"/>
      <c r="L112" s="166"/>
      <c r="M112" s="166"/>
      <c r="N112" s="166"/>
    </row>
    <row r="113" spans="1:20">
      <c r="J113" s="168"/>
      <c r="K113" s="169"/>
      <c r="M113" s="170"/>
    </row>
    <row r="114" spans="1:20">
      <c r="B114" s="171" t="s">
        <v>147</v>
      </c>
      <c r="J114" s="168"/>
      <c r="K114" s="169"/>
      <c r="M114" s="170"/>
    </row>
    <row r="115" spans="1:20">
      <c r="J115" s="168"/>
      <c r="K115" s="170"/>
      <c r="M115" s="170"/>
    </row>
    <row r="117" spans="1:20" ht="18.5">
      <c r="B117" s="127" t="s">
        <v>148</v>
      </c>
      <c r="C117" s="141"/>
      <c r="D117" s="141"/>
      <c r="E117" s="141"/>
    </row>
    <row r="119" spans="1:20" ht="135" customHeight="1">
      <c r="B119" s="172" t="s">
        <v>149</v>
      </c>
      <c r="C119" s="173" t="s">
        <v>150</v>
      </c>
      <c r="D119" s="174" t="s">
        <v>151</v>
      </c>
      <c r="E119" s="174" t="s">
        <v>152</v>
      </c>
      <c r="F119" s="173" t="s">
        <v>153</v>
      </c>
      <c r="G119" s="173" t="s">
        <v>154</v>
      </c>
      <c r="H119" s="174" t="s">
        <v>155</v>
      </c>
      <c r="I119" s="174" t="s">
        <v>156</v>
      </c>
      <c r="J119" s="174" t="s">
        <v>157</v>
      </c>
      <c r="K119" s="175" t="s">
        <v>158</v>
      </c>
    </row>
    <row r="120" spans="1:20" ht="49.5" customHeight="1">
      <c r="B120" s="482" t="s">
        <v>159</v>
      </c>
      <c r="C120" s="176" t="s">
        <v>160</v>
      </c>
      <c r="D120" s="177">
        <v>1</v>
      </c>
      <c r="E120" s="178">
        <v>30</v>
      </c>
      <c r="F120" s="177">
        <v>4592</v>
      </c>
      <c r="G120" s="387">
        <f>E120*F120</f>
        <v>137760</v>
      </c>
      <c r="H120" s="177">
        <v>716970</v>
      </c>
      <c r="I120" s="179">
        <f>H120/G120</f>
        <v>5.2044860627177698</v>
      </c>
      <c r="J120" s="177">
        <v>3</v>
      </c>
      <c r="K120" s="179">
        <f>I120-J120</f>
        <v>2.2044860627177698</v>
      </c>
    </row>
    <row r="121" spans="1:20">
      <c r="B121" s="482"/>
      <c r="C121" s="180"/>
      <c r="D121" s="181"/>
      <c r="E121" s="182"/>
      <c r="F121" s="183"/>
      <c r="G121" s="184"/>
      <c r="H121" s="183"/>
      <c r="I121" s="185"/>
      <c r="J121" s="177"/>
      <c r="K121" s="186"/>
    </row>
    <row r="123" spans="1:20">
      <c r="J123" s="125"/>
      <c r="K123" s="125"/>
    </row>
    <row r="124" spans="1:20" ht="18.5">
      <c r="B124" s="187" t="s">
        <v>161</v>
      </c>
      <c r="C124" s="188"/>
      <c r="D124" s="188"/>
      <c r="E124" s="189"/>
      <c r="F124" s="189"/>
      <c r="G124" s="189"/>
      <c r="H124" s="190"/>
      <c r="I124" s="191"/>
      <c r="J124" s="192"/>
      <c r="K124" s="193" t="s">
        <v>162</v>
      </c>
      <c r="L124" s="189"/>
      <c r="M124" s="192"/>
      <c r="N124" s="192"/>
      <c r="O124" s="192"/>
      <c r="P124" s="194"/>
    </row>
    <row r="126" spans="1:20" ht="42.65" customHeight="1">
      <c r="B126" s="483" t="s">
        <v>163</v>
      </c>
      <c r="C126" s="483"/>
      <c r="D126" s="483"/>
      <c r="E126" s="195" t="s">
        <v>164</v>
      </c>
      <c r="F126" s="196" t="s">
        <v>165</v>
      </c>
      <c r="G126" s="197"/>
      <c r="H126" s="198" t="s">
        <v>70</v>
      </c>
      <c r="I126" s="198" t="s">
        <v>86</v>
      </c>
      <c r="J126" s="198" t="s">
        <v>87</v>
      </c>
      <c r="K126" s="198" t="s">
        <v>88</v>
      </c>
      <c r="L126" s="198" t="s">
        <v>89</v>
      </c>
      <c r="M126" s="198" t="s">
        <v>90</v>
      </c>
      <c r="N126" s="198" t="s">
        <v>91</v>
      </c>
      <c r="O126" s="198" t="s">
        <v>92</v>
      </c>
      <c r="P126" s="198" t="s">
        <v>93</v>
      </c>
      <c r="Q126" s="198" t="s">
        <v>94</v>
      </c>
      <c r="R126" s="198" t="s">
        <v>95</v>
      </c>
      <c r="S126" s="199" t="s">
        <v>96</v>
      </c>
      <c r="T126" s="199" t="s">
        <v>166</v>
      </c>
    </row>
    <row r="127" spans="1:20">
      <c r="B127" s="200"/>
      <c r="C127" s="201"/>
      <c r="D127" s="201"/>
      <c r="E127" s="202"/>
      <c r="F127" s="203"/>
      <c r="G127" s="204"/>
      <c r="H127" s="205"/>
      <c r="I127" s="205"/>
      <c r="J127" s="205"/>
      <c r="K127" s="205"/>
      <c r="L127" s="205"/>
      <c r="M127" s="205"/>
      <c r="N127" s="205"/>
      <c r="O127" s="205"/>
      <c r="P127" s="205"/>
      <c r="Q127" s="205"/>
      <c r="R127" s="205"/>
      <c r="S127" s="206"/>
      <c r="T127" s="206"/>
    </row>
    <row r="128" spans="1:20" ht="93" customHeight="1">
      <c r="A128" s="476" t="s">
        <v>167</v>
      </c>
      <c r="B128" s="477" t="s">
        <v>168</v>
      </c>
      <c r="C128" s="477"/>
      <c r="D128" s="477"/>
      <c r="E128" s="484" t="s">
        <v>169</v>
      </c>
      <c r="F128" s="485" t="s">
        <v>170</v>
      </c>
      <c r="G128" s="207" t="s">
        <v>171</v>
      </c>
      <c r="H128" s="208">
        <v>13650</v>
      </c>
      <c r="I128" s="209"/>
      <c r="J128" s="210"/>
      <c r="K128" s="211"/>
      <c r="L128" s="208"/>
      <c r="M128" s="208"/>
      <c r="N128" s="208"/>
      <c r="O128" s="212"/>
      <c r="P128" s="212"/>
      <c r="Q128" s="212"/>
      <c r="R128" s="212"/>
      <c r="S128" s="213"/>
      <c r="T128" s="491" t="s">
        <v>404</v>
      </c>
    </row>
    <row r="129" spans="1:20" ht="105.75" customHeight="1">
      <c r="A129" s="476"/>
      <c r="B129" s="477"/>
      <c r="C129" s="477"/>
      <c r="D129" s="477"/>
      <c r="E129" s="484"/>
      <c r="F129" s="485"/>
      <c r="G129" s="207" t="s">
        <v>172</v>
      </c>
      <c r="H129" s="208">
        <v>10117</v>
      </c>
      <c r="I129" s="209"/>
      <c r="J129" s="210"/>
      <c r="K129" s="211"/>
      <c r="L129" s="208"/>
      <c r="M129" s="208"/>
      <c r="N129" s="208"/>
      <c r="O129" s="212"/>
      <c r="P129" s="212"/>
      <c r="Q129" s="212"/>
      <c r="R129" s="212"/>
      <c r="S129" s="213"/>
      <c r="T129" s="491"/>
    </row>
    <row r="130" spans="1:20" ht="123.75" customHeight="1" thickBot="1">
      <c r="A130" s="476"/>
      <c r="B130" s="477" t="s">
        <v>173</v>
      </c>
      <c r="C130" s="477"/>
      <c r="D130" s="477"/>
      <c r="E130" s="484" t="s">
        <v>169</v>
      </c>
      <c r="F130" s="485" t="s">
        <v>170</v>
      </c>
      <c r="G130" s="207" t="s">
        <v>171</v>
      </c>
      <c r="H130" s="208">
        <v>19761</v>
      </c>
      <c r="I130" s="209"/>
      <c r="J130" s="210"/>
      <c r="K130" s="211"/>
      <c r="L130" s="208"/>
      <c r="M130" s="214"/>
      <c r="N130" s="214"/>
      <c r="O130" s="212"/>
      <c r="P130" s="212"/>
      <c r="Q130" s="212"/>
      <c r="R130" s="212"/>
      <c r="S130" s="213"/>
      <c r="T130" s="462" t="s">
        <v>398</v>
      </c>
    </row>
    <row r="131" spans="1:20" ht="201" customHeight="1" thickBot="1">
      <c r="A131" s="476"/>
      <c r="B131" s="477"/>
      <c r="C131" s="477"/>
      <c r="D131" s="477"/>
      <c r="E131" s="484"/>
      <c r="F131" s="485"/>
      <c r="G131" s="207" t="s">
        <v>172</v>
      </c>
      <c r="H131" s="208">
        <v>10013</v>
      </c>
      <c r="I131" s="209"/>
      <c r="J131" s="210"/>
      <c r="K131" s="211"/>
      <c r="L131" s="208"/>
      <c r="M131" s="214"/>
      <c r="N131" s="214"/>
      <c r="O131" s="212"/>
      <c r="P131" s="212"/>
      <c r="Q131" s="212"/>
      <c r="R131" s="212"/>
      <c r="S131" s="213"/>
      <c r="T131" s="462"/>
    </row>
    <row r="132" spans="1:20" ht="132.75" customHeight="1" thickBot="1">
      <c r="B132" s="492" t="s">
        <v>174</v>
      </c>
      <c r="C132" s="492"/>
      <c r="D132" s="492"/>
      <c r="E132" s="484" t="s">
        <v>175</v>
      </c>
      <c r="F132" s="485" t="s">
        <v>170</v>
      </c>
      <c r="G132" s="215" t="s">
        <v>171</v>
      </c>
      <c r="H132" s="208">
        <v>8275</v>
      </c>
      <c r="I132" s="385"/>
      <c r="J132" s="210"/>
      <c r="K132" s="217"/>
      <c r="L132" s="214"/>
      <c r="M132" s="214"/>
      <c r="N132" s="214"/>
      <c r="O132" s="216"/>
      <c r="P132" s="216"/>
      <c r="Q132" s="216"/>
      <c r="R132" s="216"/>
      <c r="S132" s="218"/>
      <c r="T132" s="462" t="s">
        <v>399</v>
      </c>
    </row>
    <row r="133" spans="1:20" ht="195.75" customHeight="1" thickBot="1">
      <c r="B133" s="492"/>
      <c r="C133" s="492"/>
      <c r="D133" s="492"/>
      <c r="E133" s="484"/>
      <c r="F133" s="485"/>
      <c r="G133" s="215" t="s">
        <v>172</v>
      </c>
      <c r="H133" s="208">
        <v>3217</v>
      </c>
      <c r="I133" s="385"/>
      <c r="J133" s="210"/>
      <c r="K133" s="217"/>
      <c r="L133" s="214"/>
      <c r="M133" s="214"/>
      <c r="N133" s="214"/>
      <c r="O133" s="216"/>
      <c r="P133" s="216"/>
      <c r="Q133" s="216"/>
      <c r="R133" s="216"/>
      <c r="S133" s="218"/>
      <c r="T133" s="462"/>
    </row>
    <row r="134" spans="1:20" ht="165.75" customHeight="1" thickBot="1">
      <c r="B134" s="477" t="s">
        <v>176</v>
      </c>
      <c r="C134" s="477"/>
      <c r="D134" s="477"/>
      <c r="E134" s="484" t="s">
        <v>175</v>
      </c>
      <c r="F134" s="485" t="s">
        <v>170</v>
      </c>
      <c r="G134" s="207" t="s">
        <v>171</v>
      </c>
      <c r="H134" s="208">
        <v>1207</v>
      </c>
      <c r="I134" s="386"/>
      <c r="J134" s="210"/>
      <c r="K134" s="217"/>
      <c r="L134" s="208"/>
      <c r="M134" s="214"/>
      <c r="N134" s="214"/>
      <c r="O134" s="212"/>
      <c r="P134" s="212"/>
      <c r="Q134" s="212"/>
      <c r="R134" s="212"/>
      <c r="S134" s="213"/>
      <c r="T134" s="462" t="s">
        <v>400</v>
      </c>
    </row>
    <row r="135" spans="1:20" ht="146.25" customHeight="1" thickBot="1">
      <c r="B135" s="477"/>
      <c r="C135" s="477"/>
      <c r="D135" s="477"/>
      <c r="E135" s="484"/>
      <c r="F135" s="485"/>
      <c r="G135" s="207" t="s">
        <v>172</v>
      </c>
      <c r="H135" s="208">
        <v>488</v>
      </c>
      <c r="I135" s="385"/>
      <c r="J135" s="210"/>
      <c r="K135" s="217"/>
      <c r="L135" s="208"/>
      <c r="M135" s="214"/>
      <c r="N135" s="214"/>
      <c r="O135" s="212"/>
      <c r="P135" s="212"/>
      <c r="Q135" s="212"/>
      <c r="R135" s="212"/>
      <c r="S135" s="213"/>
      <c r="T135" s="462"/>
    </row>
    <row r="136" spans="1:20" ht="130.5" customHeight="1" thickBot="1">
      <c r="B136" s="492" t="s">
        <v>368</v>
      </c>
      <c r="C136" s="492"/>
      <c r="D136" s="492"/>
      <c r="E136" s="484" t="s">
        <v>175</v>
      </c>
      <c r="F136" s="499" t="s">
        <v>170</v>
      </c>
      <c r="G136" s="215" t="s">
        <v>171</v>
      </c>
      <c r="H136" s="208">
        <v>27070</v>
      </c>
      <c r="I136" s="209"/>
      <c r="J136" s="209"/>
      <c r="K136" s="209"/>
      <c r="L136" s="209"/>
      <c r="M136" s="209"/>
      <c r="N136" s="209"/>
      <c r="O136" s="212"/>
      <c r="P136" s="212"/>
      <c r="Q136" s="212"/>
      <c r="R136" s="212"/>
      <c r="S136" s="213"/>
      <c r="T136" s="462" t="s">
        <v>403</v>
      </c>
    </row>
    <row r="137" spans="1:20" ht="146.25" customHeight="1">
      <c r="B137" s="492"/>
      <c r="C137" s="492"/>
      <c r="D137" s="492"/>
      <c r="E137" s="484"/>
      <c r="F137" s="499"/>
      <c r="G137" s="207" t="s">
        <v>172</v>
      </c>
      <c r="H137" s="208">
        <v>11481</v>
      </c>
      <c r="I137" s="209"/>
      <c r="J137" s="209"/>
      <c r="K137" s="209"/>
      <c r="L137" s="209"/>
      <c r="M137" s="209"/>
      <c r="N137" s="209"/>
      <c r="O137" s="212"/>
      <c r="P137" s="212"/>
      <c r="Q137" s="212"/>
      <c r="R137" s="212"/>
      <c r="S137" s="213"/>
      <c r="T137" s="503"/>
    </row>
    <row r="138" spans="1:20" ht="102.75" customHeight="1" thickBot="1">
      <c r="B138" s="493" t="s">
        <v>370</v>
      </c>
      <c r="C138" s="494"/>
      <c r="D138" s="495"/>
      <c r="E138" s="484" t="s">
        <v>175</v>
      </c>
      <c r="F138" s="499" t="s">
        <v>170</v>
      </c>
      <c r="G138" s="215" t="s">
        <v>171</v>
      </c>
      <c r="H138" s="208">
        <v>1709</v>
      </c>
      <c r="I138" s="209"/>
      <c r="J138" s="209"/>
      <c r="K138" s="217"/>
      <c r="L138" s="209"/>
      <c r="M138" s="209"/>
      <c r="N138" s="209"/>
      <c r="O138" s="212"/>
      <c r="P138" s="212"/>
      <c r="Q138" s="212"/>
      <c r="R138" s="212"/>
      <c r="S138" s="421"/>
      <c r="T138" s="462" t="s">
        <v>402</v>
      </c>
    </row>
    <row r="139" spans="1:20" ht="170.25" customHeight="1" thickBot="1">
      <c r="B139" s="496"/>
      <c r="C139" s="497"/>
      <c r="D139" s="498"/>
      <c r="E139" s="484"/>
      <c r="F139" s="499"/>
      <c r="G139" s="207" t="s">
        <v>172</v>
      </c>
      <c r="H139" s="208">
        <v>791</v>
      </c>
      <c r="I139" s="209"/>
      <c r="J139" s="209"/>
      <c r="K139" s="217"/>
      <c r="L139" s="209"/>
      <c r="M139" s="209"/>
      <c r="N139" s="209"/>
      <c r="O139" s="212"/>
      <c r="P139" s="212"/>
      <c r="Q139" s="212"/>
      <c r="R139" s="212"/>
      <c r="S139" s="421"/>
      <c r="T139" s="462"/>
    </row>
    <row r="140" spans="1:20" ht="99.75" customHeight="1" thickBot="1">
      <c r="B140" s="493" t="s">
        <v>369</v>
      </c>
      <c r="C140" s="494"/>
      <c r="D140" s="495"/>
      <c r="E140" s="484" t="s">
        <v>175</v>
      </c>
      <c r="F140" s="499" t="s">
        <v>170</v>
      </c>
      <c r="G140" s="215" t="s">
        <v>171</v>
      </c>
      <c r="H140" s="208">
        <v>10644</v>
      </c>
      <c r="I140" s="209"/>
      <c r="J140" s="209"/>
      <c r="K140" s="209"/>
      <c r="L140" s="209"/>
      <c r="M140" s="209"/>
      <c r="N140" s="209"/>
      <c r="O140" s="212"/>
      <c r="P140" s="212"/>
      <c r="Q140" s="212"/>
      <c r="R140" s="212"/>
      <c r="S140" s="421"/>
      <c r="T140" s="462" t="s">
        <v>401</v>
      </c>
    </row>
    <row r="141" spans="1:20" ht="161.25" customHeight="1" thickBot="1">
      <c r="B141" s="496"/>
      <c r="C141" s="497"/>
      <c r="D141" s="498"/>
      <c r="E141" s="484"/>
      <c r="F141" s="499"/>
      <c r="G141" s="207" t="s">
        <v>172</v>
      </c>
      <c r="H141" s="208">
        <v>3831</v>
      </c>
      <c r="I141" s="209"/>
      <c r="J141" s="209"/>
      <c r="K141" s="209"/>
      <c r="L141" s="209"/>
      <c r="M141" s="209"/>
      <c r="N141" s="209"/>
      <c r="O141" s="212"/>
      <c r="P141" s="212"/>
      <c r="Q141" s="212"/>
      <c r="R141" s="212"/>
      <c r="S141" s="421"/>
      <c r="T141" s="462"/>
    </row>
    <row r="142" spans="1:20" ht="96" customHeight="1" thickBot="1">
      <c r="B142" s="493" t="s">
        <v>177</v>
      </c>
      <c r="C142" s="494"/>
      <c r="D142" s="495"/>
      <c r="E142" s="484" t="s">
        <v>175</v>
      </c>
      <c r="F142" s="499" t="s">
        <v>170</v>
      </c>
      <c r="G142" s="215" t="s">
        <v>171</v>
      </c>
      <c r="H142" s="208">
        <v>32500</v>
      </c>
      <c r="I142" s="209"/>
      <c r="J142" s="209"/>
      <c r="K142" s="217"/>
      <c r="L142" s="209"/>
      <c r="M142" s="209"/>
      <c r="N142" s="209"/>
      <c r="O142" s="212"/>
      <c r="P142" s="212"/>
      <c r="Q142" s="212"/>
      <c r="R142" s="212"/>
      <c r="S142" s="213"/>
      <c r="T142" s="462" t="s">
        <v>395</v>
      </c>
    </row>
    <row r="143" spans="1:20" ht="116.25" customHeight="1" thickBot="1">
      <c r="B143" s="496"/>
      <c r="C143" s="497"/>
      <c r="D143" s="498"/>
      <c r="E143" s="484"/>
      <c r="F143" s="499"/>
      <c r="G143" s="207" t="s">
        <v>172</v>
      </c>
      <c r="H143" s="208">
        <v>3274</v>
      </c>
      <c r="I143" s="209"/>
      <c r="J143" s="209"/>
      <c r="K143" s="217"/>
      <c r="L143" s="209"/>
      <c r="M143" s="209"/>
      <c r="N143" s="209"/>
      <c r="O143" s="212"/>
      <c r="P143" s="212"/>
      <c r="Q143" s="212"/>
      <c r="R143" s="212"/>
      <c r="S143" s="213"/>
      <c r="T143" s="462"/>
    </row>
    <row r="144" spans="1:20" ht="47.25" customHeight="1" thickBot="1">
      <c r="B144" s="492" t="s">
        <v>371</v>
      </c>
      <c r="C144" s="492"/>
      <c r="D144" s="492"/>
      <c r="E144" s="484" t="s">
        <v>175</v>
      </c>
      <c r="F144" s="485" t="s">
        <v>170</v>
      </c>
      <c r="G144" s="215" t="s">
        <v>171</v>
      </c>
      <c r="H144" s="208"/>
      <c r="I144" s="385"/>
      <c r="J144" s="210"/>
      <c r="K144" s="217"/>
      <c r="L144" s="214"/>
      <c r="M144" s="208"/>
      <c r="N144" s="208"/>
      <c r="O144" s="216"/>
      <c r="P144" s="216"/>
      <c r="Q144" s="216"/>
      <c r="R144" s="216"/>
      <c r="S144" s="218"/>
      <c r="T144" s="500" t="s">
        <v>397</v>
      </c>
    </row>
    <row r="145" spans="2:20" ht="54" customHeight="1" thickBot="1">
      <c r="B145" s="492"/>
      <c r="C145" s="492"/>
      <c r="D145" s="492"/>
      <c r="E145" s="484"/>
      <c r="F145" s="485"/>
      <c r="G145" s="219" t="s">
        <v>172</v>
      </c>
      <c r="H145" s="220" t="s">
        <v>366</v>
      </c>
      <c r="I145" s="385"/>
      <c r="J145" s="210"/>
      <c r="K145" s="217"/>
      <c r="L145" s="221"/>
      <c r="M145" s="208"/>
      <c r="N145" s="208"/>
      <c r="O145" s="221"/>
      <c r="P145" s="221"/>
      <c r="Q145" s="221"/>
      <c r="R145" s="221"/>
      <c r="S145" s="222"/>
      <c r="T145" s="501"/>
    </row>
    <row r="146" spans="2:20" ht="69.25" customHeight="1" thickBot="1"/>
    <row r="147" spans="2:20" ht="40.75" customHeight="1" thickBot="1">
      <c r="B147" s="502" t="s">
        <v>178</v>
      </c>
      <c r="C147" s="502"/>
      <c r="D147" s="502"/>
      <c r="E147" s="502"/>
      <c r="F147" s="502"/>
      <c r="G147" s="502"/>
      <c r="H147" s="502"/>
      <c r="I147" s="502"/>
      <c r="J147" s="502"/>
      <c r="K147" s="502"/>
      <c r="L147" s="502"/>
      <c r="M147" s="502"/>
      <c r="N147" s="502"/>
      <c r="O147" s="502"/>
      <c r="P147" s="502"/>
      <c r="Q147" s="502"/>
      <c r="R147" s="502"/>
      <c r="S147" s="502"/>
      <c r="T147" s="502"/>
    </row>
    <row r="148" spans="2:20" ht="102" customHeight="1" thickBot="1">
      <c r="B148" s="492" t="s">
        <v>179</v>
      </c>
      <c r="C148" s="492"/>
      <c r="D148" s="492"/>
      <c r="E148" s="484" t="s">
        <v>180</v>
      </c>
      <c r="F148" s="485" t="s">
        <v>170</v>
      </c>
      <c r="G148" s="215" t="s">
        <v>171</v>
      </c>
      <c r="H148" s="406">
        <v>7.1999999999999995E-2</v>
      </c>
      <c r="I148" s="223"/>
      <c r="J148" s="401"/>
      <c r="K148" s="224"/>
      <c r="L148" s="216"/>
      <c r="M148" s="225"/>
      <c r="O148" s="216"/>
      <c r="P148" s="216"/>
      <c r="Q148" s="216"/>
      <c r="R148" s="216"/>
      <c r="S148" s="218"/>
      <c r="T148" s="463" t="s">
        <v>412</v>
      </c>
    </row>
    <row r="149" spans="2:20" ht="70.5" customHeight="1" thickBot="1">
      <c r="B149" s="492"/>
      <c r="C149" s="492"/>
      <c r="D149" s="492"/>
      <c r="E149" s="484"/>
      <c r="F149" s="485"/>
      <c r="G149" s="215" t="s">
        <v>172</v>
      </c>
      <c r="H149" s="406">
        <v>0.13300000000000001</v>
      </c>
      <c r="I149" s="389"/>
      <c r="J149" s="400"/>
      <c r="K149" s="224"/>
      <c r="L149" s="216"/>
      <c r="M149" s="225"/>
      <c r="O149" s="216"/>
      <c r="P149" s="216"/>
      <c r="Q149" s="216"/>
      <c r="R149" s="216"/>
      <c r="S149" s="218"/>
      <c r="T149" s="463"/>
    </row>
    <row r="150" spans="2:20" ht="102" customHeight="1" thickBot="1">
      <c r="B150" s="492" t="s">
        <v>181</v>
      </c>
      <c r="C150" s="492"/>
      <c r="D150" s="492"/>
      <c r="E150" s="484" t="s">
        <v>180</v>
      </c>
      <c r="F150" s="485" t="s">
        <v>170</v>
      </c>
      <c r="G150" s="207" t="s">
        <v>171</v>
      </c>
      <c r="H150" s="226">
        <v>3.6999999999999998E-2</v>
      </c>
      <c r="I150" s="226"/>
      <c r="J150" s="225"/>
      <c r="K150" s="227"/>
      <c r="L150" s="212"/>
      <c r="M150" s="228"/>
      <c r="O150" s="212"/>
      <c r="P150" s="212"/>
      <c r="Q150" s="212"/>
      <c r="R150" s="212"/>
      <c r="S150" s="213"/>
      <c r="T150" s="463" t="s">
        <v>405</v>
      </c>
    </row>
    <row r="151" spans="2:20" ht="94.5" customHeight="1" thickBot="1">
      <c r="B151" s="492"/>
      <c r="C151" s="492"/>
      <c r="D151" s="492"/>
      <c r="E151" s="484"/>
      <c r="F151" s="485"/>
      <c r="G151" s="207" t="s">
        <v>172</v>
      </c>
      <c r="H151" s="406">
        <v>3.4000000000000002E-2</v>
      </c>
      <c r="I151" s="226"/>
      <c r="J151" s="401"/>
      <c r="K151" s="227"/>
      <c r="L151" s="212"/>
      <c r="M151" s="228"/>
      <c r="O151" s="212"/>
      <c r="P151" s="212"/>
      <c r="Q151" s="212"/>
      <c r="R151" s="212"/>
      <c r="S151" s="213"/>
      <c r="T151" s="463"/>
    </row>
    <row r="152" spans="2:20" ht="66" customHeight="1" thickBot="1">
      <c r="B152" s="492" t="s">
        <v>182</v>
      </c>
      <c r="C152" s="492"/>
      <c r="D152" s="492"/>
      <c r="E152" s="484" t="s">
        <v>180</v>
      </c>
      <c r="F152" s="485" t="s">
        <v>170</v>
      </c>
      <c r="G152" s="215" t="s">
        <v>171</v>
      </c>
      <c r="H152" s="406">
        <v>6.9000000000000006E-2</v>
      </c>
      <c r="I152" s="229"/>
      <c r="J152" s="401"/>
      <c r="K152" s="224"/>
      <c r="L152" s="216"/>
      <c r="M152" s="216"/>
      <c r="O152" s="216"/>
      <c r="P152" s="216"/>
      <c r="Q152" s="216"/>
      <c r="R152" s="216"/>
      <c r="S152" s="218"/>
      <c r="T152" s="463" t="s">
        <v>406</v>
      </c>
    </row>
    <row r="153" spans="2:20" ht="88.5" customHeight="1" thickBot="1">
      <c r="B153" s="492"/>
      <c r="C153" s="492"/>
      <c r="D153" s="492"/>
      <c r="E153" s="484"/>
      <c r="F153" s="485"/>
      <c r="G153" s="215" t="s">
        <v>172</v>
      </c>
      <c r="H153" s="406">
        <v>3.3000000000000002E-2</v>
      </c>
      <c r="I153" s="388"/>
      <c r="J153" s="401"/>
      <c r="K153" s="224"/>
      <c r="L153" s="216"/>
      <c r="M153" s="216"/>
      <c r="O153" s="216"/>
      <c r="P153" s="216"/>
      <c r="Q153" s="216"/>
      <c r="R153" s="216"/>
      <c r="S153" s="218"/>
      <c r="T153" s="463"/>
    </row>
    <row r="154" spans="2:20" ht="99" customHeight="1" thickBot="1">
      <c r="B154" s="492" t="s">
        <v>183</v>
      </c>
      <c r="C154" s="492"/>
      <c r="D154" s="492"/>
      <c r="E154" s="484" t="s">
        <v>184</v>
      </c>
      <c r="F154" s="485" t="s">
        <v>170</v>
      </c>
      <c r="G154" s="207" t="s">
        <v>171</v>
      </c>
      <c r="H154" s="229">
        <v>0.626</v>
      </c>
      <c r="I154" s="229"/>
      <c r="J154" s="402"/>
      <c r="K154" s="211"/>
      <c r="L154" s="212"/>
      <c r="M154" s="230"/>
      <c r="O154" s="212"/>
      <c r="P154" s="212"/>
      <c r="Q154" s="212"/>
      <c r="R154" s="212"/>
      <c r="S154" s="213"/>
      <c r="T154" s="463" t="s">
        <v>407</v>
      </c>
    </row>
    <row r="155" spans="2:20" ht="81" customHeight="1" thickBot="1">
      <c r="B155" s="492"/>
      <c r="C155" s="492"/>
      <c r="D155" s="492"/>
      <c r="E155" s="484" t="s">
        <v>184</v>
      </c>
      <c r="F155" s="485"/>
      <c r="G155" s="207" t="s">
        <v>172</v>
      </c>
      <c r="H155" s="229">
        <v>0.53</v>
      </c>
      <c r="I155" s="229"/>
      <c r="J155" s="401"/>
      <c r="K155" s="211"/>
      <c r="L155" s="212"/>
      <c r="M155" s="208"/>
      <c r="O155" s="212"/>
      <c r="P155" s="212"/>
      <c r="Q155" s="212"/>
      <c r="R155" s="212"/>
      <c r="S155" s="213"/>
      <c r="T155" s="463"/>
    </row>
    <row r="156" spans="2:20" ht="38.25" customHeight="1" thickBot="1">
      <c r="B156" s="492" t="s">
        <v>186</v>
      </c>
      <c r="C156" s="492"/>
      <c r="D156" s="492"/>
      <c r="E156" s="484" t="s">
        <v>185</v>
      </c>
      <c r="F156" s="485" t="s">
        <v>170</v>
      </c>
      <c r="G156" s="215" t="s">
        <v>171</v>
      </c>
      <c r="H156" s="229">
        <v>0.88</v>
      </c>
      <c r="I156" s="229"/>
      <c r="J156" s="402"/>
      <c r="K156" s="231"/>
      <c r="L156" s="216"/>
      <c r="M156" s="225"/>
      <c r="O156" s="216"/>
      <c r="P156" s="216"/>
      <c r="Q156" s="216"/>
      <c r="R156" s="216"/>
      <c r="S156" s="218"/>
      <c r="T156" s="504" t="s">
        <v>397</v>
      </c>
    </row>
    <row r="157" spans="2:20" ht="36" customHeight="1">
      <c r="B157" s="492"/>
      <c r="C157" s="492"/>
      <c r="D157" s="492"/>
      <c r="E157" s="484"/>
      <c r="F157" s="485"/>
      <c r="G157" s="207" t="s">
        <v>172</v>
      </c>
      <c r="H157" s="223" t="s">
        <v>366</v>
      </c>
      <c r="I157" s="223"/>
      <c r="J157" s="401"/>
      <c r="K157" s="232"/>
      <c r="L157" s="221"/>
      <c r="M157" s="233"/>
      <c r="O157" s="221"/>
      <c r="P157" s="221"/>
      <c r="Q157" s="221"/>
      <c r="R157" s="221"/>
      <c r="S157" s="222"/>
      <c r="T157" s="505"/>
    </row>
    <row r="161" spans="10:10">
      <c r="J161" t="s">
        <v>187</v>
      </c>
    </row>
  </sheetData>
  <sheetProtection selectLockedCells="1" selectUnlockedCells="1"/>
  <mergeCells count="92">
    <mergeCell ref="F154:F155"/>
    <mergeCell ref="T154:T155"/>
    <mergeCell ref="T156:T157"/>
    <mergeCell ref="B156:D157"/>
    <mergeCell ref="E156:E157"/>
    <mergeCell ref="F156:F157"/>
    <mergeCell ref="B154:D155"/>
    <mergeCell ref="E154:E155"/>
    <mergeCell ref="F150:F151"/>
    <mergeCell ref="B152:D153"/>
    <mergeCell ref="E152:E153"/>
    <mergeCell ref="F152:F153"/>
    <mergeCell ref="B136:D137"/>
    <mergeCell ref="E136:E137"/>
    <mergeCell ref="F136:F137"/>
    <mergeCell ref="F138:F139"/>
    <mergeCell ref="B147:T147"/>
    <mergeCell ref="B148:D149"/>
    <mergeCell ref="E148:E149"/>
    <mergeCell ref="F148:F149"/>
    <mergeCell ref="B150:D151"/>
    <mergeCell ref="E150:E151"/>
    <mergeCell ref="T136:T137"/>
    <mergeCell ref="B144:D145"/>
    <mergeCell ref="E144:E145"/>
    <mergeCell ref="F144:F145"/>
    <mergeCell ref="T144:T145"/>
    <mergeCell ref="B142:D143"/>
    <mergeCell ref="E142:E143"/>
    <mergeCell ref="F142:F143"/>
    <mergeCell ref="B140:D141"/>
    <mergeCell ref="E140:E141"/>
    <mergeCell ref="F140:F141"/>
    <mergeCell ref="B138:D139"/>
    <mergeCell ref="E138:E139"/>
    <mergeCell ref="B132:D133"/>
    <mergeCell ref="E132:E133"/>
    <mergeCell ref="F132:F133"/>
    <mergeCell ref="T132:T133"/>
    <mergeCell ref="B134:D135"/>
    <mergeCell ref="E134:E135"/>
    <mergeCell ref="F134:F135"/>
    <mergeCell ref="T134:T135"/>
    <mergeCell ref="T128:T129"/>
    <mergeCell ref="B130:D131"/>
    <mergeCell ref="E130:E131"/>
    <mergeCell ref="F130:F131"/>
    <mergeCell ref="T130:T131"/>
    <mergeCell ref="O31:O34"/>
    <mergeCell ref="F50:I50"/>
    <mergeCell ref="G67:H67"/>
    <mergeCell ref="B72:D72"/>
    <mergeCell ref="B83:C83"/>
    <mergeCell ref="B18:C18"/>
    <mergeCell ref="D18:F18"/>
    <mergeCell ref="B21:J21"/>
    <mergeCell ref="A128:A131"/>
    <mergeCell ref="B128:D129"/>
    <mergeCell ref="B26:C26"/>
    <mergeCell ref="B29:N29"/>
    <mergeCell ref="B84:C84"/>
    <mergeCell ref="B85:C85"/>
    <mergeCell ref="B120:B121"/>
    <mergeCell ref="B126:D126"/>
    <mergeCell ref="E128:E129"/>
    <mergeCell ref="F128:F129"/>
    <mergeCell ref="C12:D12"/>
    <mergeCell ref="E12:F12"/>
    <mergeCell ref="G12:J12"/>
    <mergeCell ref="B14:J14"/>
    <mergeCell ref="H16:I16"/>
    <mergeCell ref="T152:T153"/>
    <mergeCell ref="B2:J2"/>
    <mergeCell ref="C4:D4"/>
    <mergeCell ref="E4:F4"/>
    <mergeCell ref="G4:J4"/>
    <mergeCell ref="C6:D6"/>
    <mergeCell ref="E6:F6"/>
    <mergeCell ref="I6:J6"/>
    <mergeCell ref="D24:E24"/>
    <mergeCell ref="G24:H24"/>
    <mergeCell ref="I24:J24"/>
    <mergeCell ref="C8:D8"/>
    <mergeCell ref="I8:J8"/>
    <mergeCell ref="C10:D10"/>
    <mergeCell ref="E10:F10"/>
    <mergeCell ref="G10:J10"/>
    <mergeCell ref="T138:T139"/>
    <mergeCell ref="T140:T141"/>
    <mergeCell ref="T142:T143"/>
    <mergeCell ref="T148:T149"/>
    <mergeCell ref="T150:T151"/>
  </mergeCells>
  <phoneticPr fontId="70" type="noConversion"/>
  <conditionalFormatting sqref="C106:N106 C30:N30">
    <cfRule type="cellIs" dxfId="36" priority="1" stopIfTrue="1" operator="equal">
      <formula>$C$16</formula>
    </cfRule>
  </conditionalFormatting>
  <conditionalFormatting sqref="C12:D12">
    <cfRule type="cellIs" dxfId="35" priority="2" stopIfTrue="1" operator="equal">
      <formula>"C"</formula>
    </cfRule>
    <cfRule type="cellIs" dxfId="34" priority="3" stopIfTrue="1" operator="equal">
      <formula>"B2"</formula>
    </cfRule>
    <cfRule type="cellIs" dxfId="33" priority="4" stopIfTrue="1" operator="equal">
      <formula>"B1"</formula>
    </cfRule>
  </conditionalFormatting>
  <conditionalFormatting sqref="H126:T127">
    <cfRule type="cellIs" dxfId="32" priority="5" stopIfTrue="1" operator="equal">
      <formula>$C$16</formula>
    </cfRule>
  </conditionalFormatting>
  <conditionalFormatting sqref="F50:I50">
    <cfRule type="expression" dxfId="31" priority="6" stopIfTrue="1">
      <formula>LEFT($F$50,2)="OK"</formula>
    </cfRule>
  </conditionalFormatting>
  <dataValidations count="9">
    <dataValidation type="list" allowBlank="1" showErrorMessage="1" sqref="G6" xr:uid="{00000000-0002-0000-0200-000000000000}">
      <formula1>Component</formula1>
      <formula2>0</formula2>
    </dataValidation>
    <dataValidation type="list" allowBlank="1" showErrorMessage="1" sqref="C16" xr:uid="{00000000-0002-0000-0200-000001000000}">
      <formula1>PERIOD</formula1>
      <formula2>0</formula2>
    </dataValidation>
    <dataValidation type="list" allowBlank="1" showErrorMessage="1" sqref="G10:J10" xr:uid="{00000000-0002-0000-0200-000002000000}">
      <formula1>LFA</formula1>
      <formula2>0</formula2>
    </dataValidation>
    <dataValidation type="list" allowBlank="1" showErrorMessage="1" sqref="C12:D12" xr:uid="{00000000-0002-0000-0200-000003000000}">
      <formula1>Rating</formula1>
      <formula2>0</formula2>
    </dataValidation>
    <dataValidation type="list" allowBlank="1" showErrorMessage="1" sqref="I8:J8" xr:uid="{00000000-0002-0000-0200-000004000000}">
      <formula1>Phase</formula1>
      <formula2>0</formula2>
    </dataValidation>
    <dataValidation type="list" allowBlank="1" showErrorMessage="1" sqref="G8" xr:uid="{00000000-0002-0000-0200-000005000000}">
      <formula1>Round</formula1>
      <formula2>0</formula2>
    </dataValidation>
    <dataValidation type="list" allowBlank="1" showErrorMessage="1" sqref="D26" xr:uid="{00000000-0002-0000-0200-000006000000}">
      <formula1>Currency</formula1>
      <formula2>0</formula2>
    </dataValidation>
    <dataValidation type="list" allowBlank="1" showErrorMessage="1" sqref="C4:D4" xr:uid="{00000000-0002-0000-0200-000007000000}">
      <formula1>Ciudades</formula1>
      <formula2>0</formula2>
    </dataValidation>
    <dataValidation type="list" allowBlank="1" showErrorMessage="1" sqref="B120 C121" xr:uid="{00000000-0002-0000-0200-000008000000}">
      <formula1>NA()</formula1>
      <formula2>0</formula2>
    </dataValidation>
  </dataValidations>
  <pageMargins left="0.70833333333333337" right="0.70833333333333337" top="0.74791666666666667" bottom="0.74861111111111112" header="0.51180555555555551" footer="0.31527777777777777"/>
  <pageSetup paperSize="9" scale="28" firstPageNumber="0" fitToHeight="8" orientation="landscape" r:id="rId1"/>
  <headerFooter alignWithMargins="0">
    <oddFooter>&amp;L&amp;F&amp;C&amp;A&amp;R&amp;D</oddFooter>
  </headerFooter>
  <rowBreaks count="1" manualBreakCount="1">
    <brk id="51"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1"/>
    <pageSetUpPr fitToPage="1"/>
  </sheetPr>
  <dimension ref="A1:X13"/>
  <sheetViews>
    <sheetView showGridLines="0" tabSelected="1" topLeftCell="B1" zoomScale="90" zoomScaleNormal="90" zoomScaleSheetLayoutView="100" workbookViewId="0">
      <selection activeCell="B3" sqref="B3:J13"/>
    </sheetView>
  </sheetViews>
  <sheetFormatPr baseColWidth="10" defaultRowHeight="14.5"/>
  <cols>
    <col min="1" max="1" width="21.1796875" customWidth="1"/>
    <col min="2" max="2" width="12.54296875" customWidth="1"/>
    <col min="3" max="3" width="20.54296875" customWidth="1"/>
    <col min="4" max="4" width="19.26953125" customWidth="1"/>
    <col min="5" max="5" width="11.7265625" customWidth="1"/>
    <col min="6" max="6" width="18.7265625" customWidth="1"/>
    <col min="7" max="7" width="11.7265625" customWidth="1"/>
    <col min="8" max="8" width="18.453125" customWidth="1"/>
    <col min="9" max="9" width="9.453125" customWidth="1"/>
    <col min="10" max="10" width="13" customWidth="1"/>
    <col min="12" max="12" width="8.1796875" customWidth="1"/>
    <col min="13" max="13" width="9.7265625" customWidth="1"/>
    <col min="14" max="14" width="8.54296875" customWidth="1"/>
    <col min="15" max="15" width="7.1796875" customWidth="1"/>
  </cols>
  <sheetData>
    <row r="1" spans="1:24" ht="21" customHeight="1">
      <c r="G1" s="31"/>
    </row>
    <row r="2" spans="1:24" ht="25.5" customHeight="1"/>
    <row r="3" spans="1:24" ht="36">
      <c r="B3" s="506" t="str">
        <f>+"Tablero de mando: "&amp;" "&amp;+'Introducción de datos'!C4&amp;" - "&amp;+'Introducción de datos'!G6</f>
        <v>Tablero de mando:  El Salvador - VIH / SIDA</v>
      </c>
      <c r="C3" s="506"/>
      <c r="D3" s="506"/>
      <c r="E3" s="506"/>
      <c r="F3" s="506"/>
      <c r="G3" s="506"/>
      <c r="H3" s="506"/>
      <c r="I3" s="506"/>
      <c r="J3" s="506"/>
      <c r="K3" s="234"/>
      <c r="L3" s="234"/>
      <c r="M3" s="234"/>
      <c r="N3" s="141"/>
      <c r="O3" s="141"/>
      <c r="P3" s="141"/>
      <c r="Q3" s="141"/>
      <c r="R3" s="141"/>
      <c r="S3" s="141"/>
      <c r="T3" s="141"/>
    </row>
    <row r="4" spans="1:24" ht="15" customHeight="1">
      <c r="L4" s="141"/>
      <c r="M4" s="141"/>
      <c r="N4" s="141"/>
      <c r="O4" s="141"/>
      <c r="P4" s="141"/>
      <c r="Q4" s="141"/>
      <c r="R4" s="141"/>
      <c r="S4" s="141"/>
      <c r="T4" s="141"/>
    </row>
    <row r="5" spans="1:24">
      <c r="L5" s="141"/>
      <c r="M5" s="141"/>
      <c r="N5" s="141"/>
      <c r="O5" s="141"/>
      <c r="P5" s="141"/>
      <c r="Q5" s="141"/>
      <c r="R5" s="141"/>
      <c r="S5" s="141"/>
      <c r="T5" s="141"/>
    </row>
    <row r="6" spans="1:24" ht="32.25" customHeight="1">
      <c r="A6" s="235" t="s">
        <v>47</v>
      </c>
      <c r="B6" s="507" t="str">
        <f>+'Introducción de datos'!C4</f>
        <v>El Salvador</v>
      </c>
      <c r="C6" s="507"/>
      <c r="D6" s="508" t="s">
        <v>49</v>
      </c>
      <c r="E6" s="508"/>
      <c r="F6" s="509" t="str">
        <f>+'Introducción de datos'!G4</f>
        <v>INNOVANDO SERVICIOS, REDUCIENDO RIESGOS, RENOVANDO VIDAS EN EL SALVADOR</v>
      </c>
      <c r="G6" s="509"/>
      <c r="H6" s="509"/>
      <c r="I6" s="509"/>
      <c r="J6" s="509"/>
      <c r="K6" s="236"/>
      <c r="L6" s="237"/>
      <c r="M6" s="236"/>
      <c r="N6" s="236"/>
      <c r="O6" s="236"/>
      <c r="P6" s="238"/>
      <c r="Q6" s="239"/>
      <c r="R6" s="239"/>
      <c r="S6" s="239"/>
      <c r="T6" s="239"/>
      <c r="U6" s="239"/>
    </row>
    <row r="7" spans="1:24" ht="8.25" customHeight="1">
      <c r="B7" s="240"/>
      <c r="C7" s="241"/>
      <c r="D7" s="241"/>
      <c r="E7" s="242"/>
      <c r="F7" s="242"/>
      <c r="G7" s="241"/>
      <c r="H7" s="241"/>
      <c r="K7" s="236"/>
      <c r="L7" s="236"/>
      <c r="M7" s="236"/>
      <c r="N7" s="236"/>
      <c r="O7" s="236"/>
      <c r="P7" s="238"/>
      <c r="Q7" s="239"/>
      <c r="R7" s="239"/>
      <c r="S7" s="239"/>
      <c r="T7" s="239"/>
      <c r="U7" s="239"/>
    </row>
    <row r="8" spans="1:24" ht="3.75" customHeight="1">
      <c r="C8" s="243"/>
      <c r="D8" s="243"/>
      <c r="E8" s="243"/>
      <c r="F8" s="243"/>
      <c r="G8" s="243"/>
      <c r="H8" s="243"/>
      <c r="I8" s="243"/>
      <c r="J8" s="243"/>
      <c r="K8" s="236"/>
      <c r="L8" s="236"/>
      <c r="M8" s="236"/>
      <c r="N8" s="236"/>
      <c r="O8" s="244"/>
      <c r="P8" s="238"/>
      <c r="Q8" s="244"/>
      <c r="R8" s="245"/>
      <c r="S8" s="239"/>
      <c r="T8" s="239"/>
      <c r="U8" s="239"/>
    </row>
    <row r="9" spans="1:24" ht="25.5" customHeight="1">
      <c r="A9" s="246" t="s">
        <v>53</v>
      </c>
      <c r="B9" s="247" t="str">
        <f>+'Introducción de datos'!G6</f>
        <v>VIH / SIDA</v>
      </c>
      <c r="C9" s="248" t="s">
        <v>51</v>
      </c>
      <c r="D9" s="249" t="str">
        <f>+'Introducción de datos'!C6</f>
        <v>SLV - H - MINSAL</v>
      </c>
      <c r="E9" s="510" t="s">
        <v>188</v>
      </c>
      <c r="F9" s="510"/>
      <c r="G9" s="250" t="str">
        <f>+'Introducción de datos'!C10</f>
        <v>01 de enero del 2019</v>
      </c>
      <c r="H9" s="246" t="s">
        <v>189</v>
      </c>
      <c r="I9" s="511">
        <f>+'Introducción de datos'!I6</f>
        <v>5151144</v>
      </c>
      <c r="J9" s="511"/>
      <c r="K9" s="236"/>
      <c r="L9" s="236"/>
      <c r="M9" s="236"/>
      <c r="N9" s="236"/>
      <c r="O9" s="244"/>
      <c r="P9" s="238"/>
      <c r="Q9" s="244"/>
      <c r="R9" s="245"/>
      <c r="S9" s="239"/>
      <c r="T9" s="251"/>
      <c r="U9" s="251"/>
      <c r="V9" s="243"/>
      <c r="W9" s="243"/>
      <c r="X9" s="243"/>
    </row>
    <row r="10" spans="1:24" ht="25.5" customHeight="1">
      <c r="A10" s="246" t="s">
        <v>58</v>
      </c>
      <c r="B10" s="252" t="str">
        <f>IF(ISBLANK('Introducción de datos'!G8),"",'Introducción de datos'!G8)</f>
        <v>SSF/NMF</v>
      </c>
      <c r="C10" s="248" t="s">
        <v>60</v>
      </c>
      <c r="D10" s="253" t="str">
        <f>+'Introducción de datos'!I8</f>
        <v>Fase 2</v>
      </c>
      <c r="E10" s="510" t="s">
        <v>190</v>
      </c>
      <c r="F10" s="510"/>
      <c r="G10" s="512" t="str">
        <f>+'Introducción de datos'!C8</f>
        <v xml:space="preserve">Ministerio de Salud </v>
      </c>
      <c r="H10" s="512"/>
      <c r="I10" s="512"/>
      <c r="J10" s="512"/>
      <c r="K10" s="239"/>
      <c r="L10" s="239"/>
      <c r="M10" s="236"/>
      <c r="N10" s="239"/>
      <c r="O10" s="244"/>
      <c r="P10" s="238"/>
      <c r="Q10" s="251"/>
      <c r="R10" s="245"/>
      <c r="S10" s="239"/>
      <c r="T10" s="251"/>
      <c r="U10" s="251"/>
    </row>
    <row r="11" spans="1:24" ht="25.5" customHeight="1">
      <c r="A11" s="246" t="s">
        <v>191</v>
      </c>
      <c r="B11" s="254" t="str">
        <f>+'Introducción de datos'!C16</f>
        <v>P1</v>
      </c>
      <c r="C11" s="248" t="s">
        <v>192</v>
      </c>
      <c r="D11" s="255" t="str">
        <f>+'Introducción de datos'!E16</f>
        <v>1 de enero de 2019</v>
      </c>
      <c r="E11" s="510" t="s">
        <v>193</v>
      </c>
      <c r="F11" s="510"/>
      <c r="G11" s="255" t="str">
        <f>+'Introducción de datos'!G16</f>
        <v>30 de junio 2019</v>
      </c>
      <c r="H11" s="246" t="s">
        <v>194</v>
      </c>
      <c r="I11" s="514" t="str">
        <f>+'Introducción de datos'!C12</f>
        <v>A2</v>
      </c>
      <c r="J11" s="514"/>
      <c r="K11" s="256"/>
      <c r="L11" s="239"/>
      <c r="M11" s="236"/>
      <c r="N11" s="239"/>
      <c r="O11" s="239"/>
      <c r="P11" s="238"/>
      <c r="Q11" s="251"/>
      <c r="R11" s="245"/>
      <c r="S11" s="239"/>
      <c r="T11" s="257"/>
      <c r="U11" s="251"/>
    </row>
    <row r="12" spans="1:24" ht="25.5" customHeight="1">
      <c r="A12" s="246" t="s">
        <v>63</v>
      </c>
      <c r="B12" s="512" t="str">
        <f>+'Introducción de datos'!G10</f>
        <v>JACOBS</v>
      </c>
      <c r="C12" s="512"/>
      <c r="D12" s="512"/>
      <c r="E12" s="510" t="s">
        <v>67</v>
      </c>
      <c r="F12" s="510"/>
      <c r="G12" s="512" t="str">
        <f>+'Introducción de datos'!G12</f>
        <v>JAIME BRIZ DE FELIPE</v>
      </c>
      <c r="H12" s="512"/>
      <c r="I12" s="512"/>
      <c r="J12" s="512"/>
      <c r="K12" s="239"/>
      <c r="L12" s="239"/>
      <c r="M12" s="236"/>
      <c r="N12" s="239"/>
      <c r="O12" s="239"/>
      <c r="P12" s="238"/>
      <c r="Q12" s="251"/>
      <c r="R12" s="245"/>
      <c r="S12" s="239"/>
      <c r="T12" s="251"/>
      <c r="U12" s="258"/>
      <c r="V12" s="251"/>
      <c r="W12" s="257"/>
      <c r="X12" s="251"/>
    </row>
    <row r="13" spans="1:24" ht="25.5" customHeight="1">
      <c r="A13" s="246" t="s">
        <v>74</v>
      </c>
      <c r="B13" s="512" t="str">
        <f>+'Introducción de datos'!D18</f>
        <v>UAFM/UFE/MINSAL.</v>
      </c>
      <c r="C13" s="512"/>
      <c r="D13" s="512"/>
      <c r="E13" s="510" t="s">
        <v>195</v>
      </c>
      <c r="F13" s="510"/>
      <c r="G13" s="513" t="str">
        <f>+'Introducción de datos'!J16</f>
        <v>9 de septiembre 2019</v>
      </c>
      <c r="H13" s="513"/>
      <c r="I13" s="513"/>
      <c r="J13" s="513"/>
      <c r="K13" s="239"/>
      <c r="L13" s="259"/>
      <c r="M13" s="259"/>
      <c r="N13" s="259"/>
      <c r="O13" s="239"/>
      <c r="P13" s="259"/>
      <c r="Q13" s="259"/>
      <c r="R13" s="245"/>
      <c r="S13" s="239"/>
      <c r="T13" s="259"/>
      <c r="U13" s="260"/>
    </row>
  </sheetData>
  <sheetProtection password="CFC9" sheet="1"/>
  <mergeCells count="16">
    <mergeCell ref="B13:D13"/>
    <mergeCell ref="E13:F13"/>
    <mergeCell ref="G13:J13"/>
    <mergeCell ref="E10:F10"/>
    <mergeCell ref="G10:J10"/>
    <mergeCell ref="E11:F11"/>
    <mergeCell ref="I11:J11"/>
    <mergeCell ref="B12:D12"/>
    <mergeCell ref="E12:F12"/>
    <mergeCell ref="G12:J12"/>
    <mergeCell ref="B3:J3"/>
    <mergeCell ref="B6:C6"/>
    <mergeCell ref="D6:E6"/>
    <mergeCell ref="F6:J6"/>
    <mergeCell ref="E9:F9"/>
    <mergeCell ref="I9:J9"/>
  </mergeCells>
  <conditionalFormatting sqref="I11:J11">
    <cfRule type="cellIs" dxfId="30" priority="1" stopIfTrue="1" operator="equal">
      <formula>"C"</formula>
    </cfRule>
    <cfRule type="cellIs" dxfId="29" priority="2" stopIfTrue="1" operator="equal">
      <formula>"B2"</formula>
    </cfRule>
    <cfRule type="cellIs" dxfId="28" priority="3" stopIfTrue="1" operator="equal">
      <formula>"B1"</formula>
    </cfRule>
  </conditionalFormatting>
  <dataValidations count="1">
    <dataValidation type="list" allowBlank="1" showErrorMessage="1" sqref="G7" xr:uid="{00000000-0002-0000-0300-000000000000}">
      <formula1>$K$8:$K$9</formula1>
      <formula2>0</formula2>
    </dataValidation>
  </dataValidations>
  <pageMargins left="0.70833333333333337" right="0.70833333333333337" top="0.74791666666666667" bottom="0.74861111111111112" header="0.51180555555555551" footer="0.31527777777777777"/>
  <pageSetup paperSize="9" firstPageNumber="0" orientation="landscape" horizontalDpi="300" verticalDpi="300"/>
  <headerFooter alignWithMargins="0">
    <oddFooter>&amp;L&amp;F&amp;C&amp;A&amp;R&amp;D</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7"/>
  </sheetPr>
  <dimension ref="B1:O33"/>
  <sheetViews>
    <sheetView showGridLines="0" topLeftCell="A25" zoomScale="120" zoomScaleNormal="120" workbookViewId="0">
      <selection activeCell="I23" sqref="I23:K23"/>
    </sheetView>
  </sheetViews>
  <sheetFormatPr baseColWidth="10" defaultColWidth="9.1796875" defaultRowHeight="14.5"/>
  <cols>
    <col min="1" max="1" width="3.54296875" customWidth="1"/>
    <col min="2" max="2" width="11.26953125" customWidth="1"/>
    <col min="3" max="3" width="5.1796875" customWidth="1"/>
    <col min="4" max="4" width="12.453125" customWidth="1"/>
    <col min="6" max="6" width="28" customWidth="1"/>
    <col min="7" max="7" width="3.81640625" customWidth="1"/>
    <col min="8" max="8" width="10.453125" customWidth="1"/>
    <col min="9" max="9" width="14.7265625" customWidth="1"/>
    <col min="10" max="10" width="12" customWidth="1"/>
    <col min="11" max="11" width="11.7265625" customWidth="1"/>
    <col min="12" max="12" width="3.7265625" customWidth="1"/>
  </cols>
  <sheetData>
    <row r="1" spans="2:15" ht="30.75" customHeight="1"/>
    <row r="2" spans="2:15" ht="27.75" customHeight="1">
      <c r="B2" s="464" t="str">
        <f>+"Cuadro de mando:  "&amp;"  "&amp;+'Introducción de datos'!C4&amp;" - "&amp;'Introducción de datos'!G6</f>
        <v>Cuadro de mando:    El Salvador - VIH / SIDA</v>
      </c>
      <c r="C2" s="464"/>
      <c r="D2" s="464"/>
      <c r="E2" s="464"/>
      <c r="F2" s="464"/>
      <c r="G2" s="464"/>
      <c r="H2" s="464"/>
      <c r="I2" s="464"/>
      <c r="J2" s="464"/>
      <c r="K2" s="464"/>
      <c r="L2" s="261"/>
      <c r="M2" s="261"/>
      <c r="N2" s="261"/>
      <c r="O2" s="261"/>
    </row>
    <row r="3" spans="2:15">
      <c r="B3" s="262" t="str">
        <f>+'Introducción de datos'!G8</f>
        <v>SSF/NMF</v>
      </c>
      <c r="C3" s="515" t="str">
        <f>+'Introducción de datos'!I8</f>
        <v>Fase 2</v>
      </c>
      <c r="D3" s="515"/>
      <c r="E3" s="516"/>
      <c r="F3" s="516"/>
      <c r="G3" s="516"/>
      <c r="H3" s="516"/>
      <c r="I3" s="517" t="str">
        <f>+'Introducción de datos'!B16</f>
        <v>Periodo:</v>
      </c>
      <c r="J3" s="517"/>
      <c r="K3" s="263" t="str">
        <f>+'Introducción de datos'!C16</f>
        <v>P1</v>
      </c>
      <c r="L3" s="256"/>
    </row>
    <row r="4" spans="2:15">
      <c r="B4" s="262" t="str">
        <f>+'Introducción de datos'!B12</f>
        <v>Ultima calificación:</v>
      </c>
      <c r="C4" s="518" t="str">
        <f>+'Introducción de datos'!C12</f>
        <v>A2</v>
      </c>
      <c r="D4" s="518"/>
      <c r="E4" s="516" t="str">
        <f>+'Introducción de datos'!C8</f>
        <v xml:space="preserve">Ministerio de Salud </v>
      </c>
      <c r="F4" s="516"/>
      <c r="G4" s="516"/>
      <c r="H4" s="516"/>
      <c r="I4" s="517" t="str">
        <f>+'Introducción de datos'!D16</f>
        <v>Desde:</v>
      </c>
      <c r="J4" s="517"/>
      <c r="K4" s="264" t="str">
        <f>+'Introducción de datos'!E16</f>
        <v>1 de enero de 2019</v>
      </c>
    </row>
    <row r="5" spans="2:15" ht="18.75" customHeight="1">
      <c r="B5" s="262"/>
      <c r="C5" s="262"/>
      <c r="D5" s="519" t="str">
        <f>+'Introducción de datos'!G4</f>
        <v>INNOVANDO SERVICIOS, REDUCIENDO RIESGOS, RENOVANDO VIDAS EN EL SALVADOR</v>
      </c>
      <c r="E5" s="519"/>
      <c r="F5" s="519"/>
      <c r="G5" s="519"/>
      <c r="H5" s="519"/>
      <c r="I5" s="519"/>
      <c r="J5" s="262" t="str">
        <f>+'Introducción de datos'!F16</f>
        <v>Hasta:</v>
      </c>
      <c r="K5" s="264" t="str">
        <f>+'Introducción de datos'!G16</f>
        <v>30 de junio 2019</v>
      </c>
    </row>
    <row r="6" spans="2:15" ht="18.5">
      <c r="B6" s="74"/>
      <c r="C6" s="262"/>
      <c r="D6" s="265"/>
      <c r="E6" s="520" t="s">
        <v>196</v>
      </c>
      <c r="F6" s="520"/>
      <c r="G6" s="520"/>
      <c r="H6" s="520"/>
    </row>
    <row r="7" spans="2:15" ht="10.5" customHeight="1">
      <c r="B7" s="74"/>
      <c r="C7" s="262"/>
      <c r="D7" s="265"/>
      <c r="E7" s="266"/>
      <c r="F7" s="266"/>
      <c r="G7" s="266"/>
      <c r="H7" s="266"/>
      <c r="I7" s="267"/>
      <c r="J7" s="267"/>
      <c r="K7" s="268"/>
    </row>
    <row r="8" spans="2:15">
      <c r="B8" s="269" t="str">
        <f>+'Introducción de datos'!B27&amp;" - en ("&amp;'Introducción de datos'!D26&amp;")         "&amp;+I3&amp;" "&amp;+K3</f>
        <v>F1: Presupuesto y desembolsos del Fondo Mundial - en ($)         Periodo: P1</v>
      </c>
      <c r="C8" s="270"/>
      <c r="H8" s="269" t="str">
        <f>+'Introducción de datos'!B52&amp;" - en ("&amp;'Introducción de datos'!D26&amp;")         "&amp;+I3&amp;" "&amp;+K3</f>
        <v>F3: Desembolsos y gastos - en ($)         Periodo: P1</v>
      </c>
    </row>
    <row r="9" spans="2:15" ht="45.75" customHeight="1">
      <c r="B9" s="271" t="s">
        <v>197</v>
      </c>
      <c r="C9" s="521" t="s">
        <v>392</v>
      </c>
      <c r="D9" s="521"/>
      <c r="E9" s="521"/>
      <c r="F9" s="521"/>
      <c r="H9" s="272" t="s">
        <v>197</v>
      </c>
      <c r="I9" s="522" t="s">
        <v>393</v>
      </c>
      <c r="J9" s="522"/>
      <c r="K9" s="522"/>
    </row>
    <row r="15" spans="2:15">
      <c r="M15" s="239" t="s">
        <v>198</v>
      </c>
    </row>
    <row r="16" spans="2:15">
      <c r="M16" s="239" t="s">
        <v>199</v>
      </c>
    </row>
    <row r="21" spans="2:11" ht="24" customHeight="1"/>
    <row r="22" spans="2:11" ht="23.25" customHeight="1">
      <c r="B22" s="273" t="str">
        <f>+'Introducción de datos'!B36&amp;" - en ("&amp;'Introducción de datos'!D26&amp;")  "&amp;+I3&amp;" "&amp;+K3</f>
        <v>F2: Presupuesto y gastos reales por Módulo de la subvención - en ($)  Periodo: P1</v>
      </c>
      <c r="H22" s="273" t="str">
        <f>+'Introducción de datos'!B70&amp;"   "&amp;+I3&amp;" "&amp;+K3</f>
        <v>F4: Último ciclo de información y desembolso del RP   Periodo: P1</v>
      </c>
    </row>
    <row r="23" spans="2:11" ht="45.75" customHeight="1">
      <c r="B23" s="272" t="s">
        <v>200</v>
      </c>
      <c r="C23" s="522" t="s">
        <v>394</v>
      </c>
      <c r="D23" s="522"/>
      <c r="E23" s="522"/>
      <c r="F23" s="522"/>
      <c r="G23" s="274"/>
      <c r="H23" s="272" t="s">
        <v>197</v>
      </c>
      <c r="I23" s="522" t="s">
        <v>390</v>
      </c>
      <c r="J23" s="522"/>
      <c r="K23" s="522"/>
    </row>
    <row r="24" spans="2:11">
      <c r="B24" s="275"/>
      <c r="C24" s="275"/>
      <c r="D24" s="275"/>
      <c r="E24" s="275"/>
      <c r="F24" s="275"/>
      <c r="G24" s="275"/>
      <c r="H24" s="275"/>
      <c r="I24" s="275"/>
      <c r="J24" s="275"/>
      <c r="K24" s="275"/>
    </row>
    <row r="25" spans="2:11" ht="29.25" customHeight="1">
      <c r="G25" s="276"/>
      <c r="H25" s="523" t="s">
        <v>201</v>
      </c>
      <c r="I25" s="523"/>
      <c r="J25" s="523"/>
      <c r="K25" s="523"/>
    </row>
    <row r="26" spans="2:11" ht="24.5">
      <c r="H26" s="524"/>
      <c r="I26" s="524"/>
      <c r="J26" s="277" t="s">
        <v>107</v>
      </c>
      <c r="K26" s="278" t="s">
        <v>108</v>
      </c>
    </row>
    <row r="27" spans="2:11" ht="29.25" customHeight="1">
      <c r="G27" s="279"/>
      <c r="H27" s="525" t="str">
        <f>'Introducción de datos'!B74</f>
        <v>Días tardados en presentar el informe de progreso actualizado y solicitud de desembolso al ALF</v>
      </c>
      <c r="I27" s="525"/>
      <c r="J27" s="280">
        <f>+'Introducción de datos'!C74</f>
        <v>60</v>
      </c>
      <c r="K27" s="281">
        <f>+'Introducción de datos'!D74</f>
        <v>60</v>
      </c>
    </row>
    <row r="28" spans="2:11" ht="21" customHeight="1">
      <c r="G28" s="279"/>
      <c r="H28" s="525" t="str">
        <f>'Introducción de datos'!B75</f>
        <v>Días que el desembolso ha tardado en llegar al RP</v>
      </c>
      <c r="I28" s="525"/>
      <c r="J28" s="280">
        <f>+'Introducción de datos'!C75</f>
        <v>0</v>
      </c>
      <c r="K28" s="281">
        <f>+'Introducción de datos'!D75</f>
        <v>0</v>
      </c>
    </row>
    <row r="29" spans="2:11" ht="21" customHeight="1">
      <c r="G29" s="279"/>
      <c r="H29" s="526" t="str">
        <f>'Introducción de datos'!B76</f>
        <v xml:space="preserve">Días que el desembolso ha tardado en llegar a los subreceptores </v>
      </c>
      <c r="I29" s="526"/>
      <c r="J29" s="282">
        <f>+'Introducción de datos'!C76</f>
        <v>60</v>
      </c>
      <c r="K29" s="283">
        <f>+'Introducción de datos'!D76</f>
        <v>56</v>
      </c>
    </row>
    <row r="31" spans="2:11">
      <c r="D31" s="270"/>
    </row>
    <row r="32" spans="2:11">
      <c r="C32" s="239" t="s">
        <v>98</v>
      </c>
      <c r="D32" s="270"/>
    </row>
    <row r="33" spans="3:3">
      <c r="C33" s="239" t="s">
        <v>146</v>
      </c>
    </row>
  </sheetData>
  <sheetProtection password="CF09" sheet="1"/>
  <mergeCells count="18">
    <mergeCell ref="H25:K25"/>
    <mergeCell ref="H26:I26"/>
    <mergeCell ref="H27:I27"/>
    <mergeCell ref="H28:I28"/>
    <mergeCell ref="H29:I29"/>
    <mergeCell ref="D5:I5"/>
    <mergeCell ref="E6:H6"/>
    <mergeCell ref="C9:F9"/>
    <mergeCell ref="I9:K9"/>
    <mergeCell ref="C23:F23"/>
    <mergeCell ref="I23:K23"/>
    <mergeCell ref="B2:K2"/>
    <mergeCell ref="C3:D3"/>
    <mergeCell ref="E3:H3"/>
    <mergeCell ref="I3:J3"/>
    <mergeCell ref="C4:D4"/>
    <mergeCell ref="E4:H4"/>
    <mergeCell ref="I4:J4"/>
  </mergeCells>
  <conditionalFormatting sqref="K27:K29">
    <cfRule type="cellIs" dxfId="27" priority="1" stopIfTrue="1" operator="equal">
      <formula>0</formula>
    </cfRule>
  </conditionalFormatting>
  <conditionalFormatting sqref="C4:D4">
    <cfRule type="cellIs" dxfId="26" priority="2" stopIfTrue="1" operator="equal">
      <formula>"C"</formula>
    </cfRule>
    <cfRule type="cellIs" dxfId="25" priority="3" stopIfTrue="1" operator="equal">
      <formula>"B2"</formula>
    </cfRule>
    <cfRule type="cellIs" dxfId="24" priority="4" stopIfTrue="1" operator="equal">
      <formula>"B1"</formula>
    </cfRule>
  </conditionalFormatting>
  <pageMargins left="0.70833333333333337" right="0.70833333333333337" top="0.74791666666666667" bottom="0.74861111111111112" header="0.51180555555555551" footer="0.31527777777777777"/>
  <pageSetup paperSize="9" scale="97" firstPageNumber="0" orientation="landscape" horizontalDpi="300" verticalDpi="300"/>
  <headerFooter alignWithMargins="0">
    <oddFooter>&amp;L&amp;F&amp;C&amp;A&amp;R&amp;D</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27"/>
  </sheetPr>
  <dimension ref="A1:P37"/>
  <sheetViews>
    <sheetView showGridLines="0" topLeftCell="A28" workbookViewId="0">
      <selection activeCell="Q30" sqref="Q30"/>
    </sheetView>
  </sheetViews>
  <sheetFormatPr baseColWidth="10" defaultColWidth="9.1796875" defaultRowHeight="14.5"/>
  <cols>
    <col min="1" max="1" width="3.26953125" customWidth="1"/>
    <col min="2" max="2" width="14.26953125" customWidth="1"/>
    <col min="3" max="3" width="12.453125" customWidth="1"/>
    <col min="4" max="4" width="13.1796875" customWidth="1"/>
    <col min="6" max="6" width="15" customWidth="1"/>
    <col min="7" max="7" width="18.7265625" customWidth="1"/>
    <col min="8" max="8" width="11.26953125" customWidth="1"/>
    <col min="9" max="9" width="48.54296875" customWidth="1"/>
    <col min="10" max="10" width="13.7265625" customWidth="1"/>
    <col min="11" max="11" width="13.54296875" customWidth="1"/>
    <col min="12" max="12" width="14.1796875" customWidth="1"/>
  </cols>
  <sheetData>
    <row r="1" spans="1:16" ht="28.5" customHeight="1">
      <c r="C1" s="170"/>
      <c r="E1" s="170"/>
    </row>
    <row r="2" spans="1:16" ht="27.75" customHeight="1">
      <c r="B2" s="527" t="str">
        <f>+"Cuadro de mando:  "&amp;"  "&amp;+'Introducción de datos'!C4&amp;" - "&amp;'Introducción de datos'!G6</f>
        <v>Cuadro de mando:    El Salvador - VIH / SIDA</v>
      </c>
      <c r="C2" s="527"/>
      <c r="D2" s="527"/>
      <c r="E2" s="527"/>
      <c r="F2" s="527"/>
      <c r="G2" s="527"/>
      <c r="H2" s="527"/>
      <c r="I2" s="527"/>
      <c r="J2" s="527"/>
      <c r="K2" s="527"/>
      <c r="L2" s="527"/>
      <c r="M2" s="284"/>
      <c r="N2" s="284"/>
      <c r="O2" s="284"/>
      <c r="P2" s="284"/>
    </row>
    <row r="3" spans="1:16">
      <c r="B3" s="262" t="str">
        <f>+'Introducción de datos'!G8</f>
        <v>SSF/NMF</v>
      </c>
      <c r="C3" s="515" t="str">
        <f>+'Introducción de datos'!I8</f>
        <v>Fase 2</v>
      </c>
      <c r="D3" s="515"/>
      <c r="E3" s="516"/>
      <c r="F3" s="516"/>
      <c r="G3" s="516"/>
      <c r="H3" s="516"/>
      <c r="I3" s="516"/>
      <c r="J3" s="517" t="str">
        <f>+'Introducción de datos'!B16</f>
        <v>Periodo:</v>
      </c>
      <c r="K3" s="517"/>
      <c r="L3" s="263" t="str">
        <f>+'Introducción de datos'!C16</f>
        <v>P1</v>
      </c>
    </row>
    <row r="4" spans="1:16">
      <c r="B4" s="262" t="str">
        <f>+'Introducción de datos'!B12</f>
        <v>Ultima calificación:</v>
      </c>
      <c r="C4" s="518" t="str">
        <f>+'Introducción de datos'!C12</f>
        <v>A2</v>
      </c>
      <c r="D4" s="518"/>
      <c r="E4" s="516" t="str">
        <f>+'Introducción de datos'!C8</f>
        <v xml:space="preserve">Ministerio de Salud </v>
      </c>
      <c r="F4" s="516"/>
      <c r="G4" s="516"/>
      <c r="H4" s="516"/>
      <c r="I4" s="516"/>
      <c r="J4" s="517" t="str">
        <f>+'Introducción de datos'!D16</f>
        <v>Desde:</v>
      </c>
      <c r="K4" s="517"/>
      <c r="L4" s="264" t="str">
        <f>+'Introducción de datos'!E16</f>
        <v>1 de enero de 2019</v>
      </c>
    </row>
    <row r="5" spans="1:16" ht="18.75" customHeight="1">
      <c r="B5" s="262"/>
      <c r="C5" s="262"/>
      <c r="D5" s="516" t="str">
        <f>+'Introducción de datos'!G4</f>
        <v>INNOVANDO SERVICIOS, REDUCIENDO RIESGOS, RENOVANDO VIDAS EN EL SALVADOR</v>
      </c>
      <c r="E5" s="516"/>
      <c r="F5" s="516"/>
      <c r="G5" s="516"/>
      <c r="H5" s="516"/>
      <c r="I5" s="516"/>
      <c r="J5" s="516"/>
      <c r="K5" s="262" t="str">
        <f>+'Introducción de datos'!F16</f>
        <v>Hasta:</v>
      </c>
      <c r="L5" s="264" t="str">
        <f>+'Introducción de datos'!G16</f>
        <v>30 de junio 2019</v>
      </c>
    </row>
    <row r="6" spans="1:16" ht="18.5">
      <c r="B6" s="74"/>
      <c r="C6" s="262"/>
      <c r="D6" s="265"/>
      <c r="E6" s="520" t="s">
        <v>20</v>
      </c>
      <c r="F6" s="520"/>
      <c r="G6" s="520"/>
      <c r="H6" s="520"/>
      <c r="I6" s="520"/>
    </row>
    <row r="7" spans="1:16">
      <c r="B7" s="273" t="str">
        <f>+'Introducción de datos'!B81&amp;"     "&amp;+J3&amp;" "&amp;+L3</f>
        <v>M1: Estado de las condiciones precedentes y acciones con fecha límite     Periodo: P1</v>
      </c>
      <c r="C7" s="270"/>
      <c r="H7" s="273" t="str">
        <f>+'Introducción de datos'!B88&amp;"         "&amp;+J3&amp;"  "&amp;+L3</f>
        <v>M2: Estado de los principales puestos directivos del RP         Periodo:  P1</v>
      </c>
    </row>
    <row r="8" spans="1:16" ht="66" customHeight="1">
      <c r="B8" s="272" t="s">
        <v>197</v>
      </c>
      <c r="C8" s="529" t="s">
        <v>361</v>
      </c>
      <c r="D8" s="529"/>
      <c r="E8" s="529"/>
      <c r="F8" s="529"/>
      <c r="G8" s="285"/>
      <c r="H8" s="272" t="s">
        <v>197</v>
      </c>
      <c r="I8" s="529" t="s">
        <v>202</v>
      </c>
      <c r="J8" s="529"/>
      <c r="K8" s="529"/>
      <c r="L8" s="529"/>
    </row>
    <row r="10" spans="1:16">
      <c r="A10" s="286"/>
      <c r="D10" s="530"/>
      <c r="E10" s="440"/>
      <c r="F10" s="440"/>
      <c r="G10" s="7"/>
      <c r="N10" s="287"/>
      <c r="O10" s="287"/>
      <c r="P10" s="288"/>
    </row>
    <row r="11" spans="1:16">
      <c r="C11" s="129"/>
      <c r="D11" s="530"/>
      <c r="E11" s="129"/>
      <c r="F11" s="129"/>
      <c r="G11" s="129"/>
      <c r="H11" s="129"/>
    </row>
    <row r="12" spans="1:16">
      <c r="B12" s="129"/>
      <c r="C12" s="289"/>
      <c r="D12" s="290"/>
      <c r="E12" s="290"/>
      <c r="F12" s="290"/>
      <c r="G12" s="290"/>
      <c r="H12" s="291"/>
    </row>
    <row r="13" spans="1:16">
      <c r="B13" s="129"/>
      <c r="C13" s="289"/>
      <c r="D13" s="290"/>
      <c r="E13" s="290"/>
      <c r="F13" s="290"/>
      <c r="G13" s="290"/>
      <c r="H13" s="291"/>
    </row>
    <row r="15" spans="1:16" ht="55.15" customHeight="1">
      <c r="B15" s="273" t="str">
        <f>+'Introducción de datos'!B93&amp;"            "&amp;+J3&amp;" "&amp;+L3</f>
        <v>M3: Acuerdos contractuales (gestores de compra de bienes y servicios)             Periodo: P1</v>
      </c>
    </row>
    <row r="16" spans="1:16" ht="32.15" customHeight="1">
      <c r="G16" s="285"/>
    </row>
    <row r="17" spans="2:13" ht="20.9" customHeight="1">
      <c r="B17" s="272" t="s">
        <v>197</v>
      </c>
      <c r="C17" s="531" t="s">
        <v>367</v>
      </c>
      <c r="D17" s="531"/>
      <c r="E17" s="531"/>
      <c r="F17" s="531"/>
    </row>
    <row r="18" spans="2:13" ht="19.5" customHeight="1">
      <c r="H18" s="273" t="str">
        <f>+'Introducción de datos'!B98&amp;"                "&amp;+J3&amp;" "&amp;+L3</f>
        <v>M4: Número de informes completos recibidos a tiempo                Periodo: P1</v>
      </c>
      <c r="M18" s="256"/>
    </row>
    <row r="19" spans="2:13" ht="27" customHeight="1">
      <c r="H19" s="272" t="s">
        <v>197</v>
      </c>
      <c r="I19" s="531" t="s">
        <v>411</v>
      </c>
      <c r="J19" s="531"/>
      <c r="K19" s="531"/>
      <c r="L19" s="531"/>
    </row>
    <row r="25" spans="2:13" ht="22.5" customHeight="1"/>
    <row r="26" spans="2:13">
      <c r="H26" s="273" t="str">
        <f>+'Introducción de datos'!B117&amp;"    "&amp;+J3&amp;"  "&amp;+L3</f>
        <v>M6: Diferencia entre existencias actuales y existencias de seguridad    Periodo:  P1</v>
      </c>
    </row>
    <row r="27" spans="2:13" ht="57.75" customHeight="1">
      <c r="B27" s="273" t="str">
        <f>+'Introducción de datos'!B104</f>
        <v>M5: Presupuesto y compra de productos y equipo sanitario, medicamentos y productos farmacéuticos</v>
      </c>
      <c r="G27" s="285"/>
    </row>
    <row r="28" spans="2:13" ht="111.75" customHeight="1">
      <c r="B28" s="272" t="s">
        <v>197</v>
      </c>
      <c r="C28" s="529" t="s">
        <v>391</v>
      </c>
      <c r="D28" s="529"/>
      <c r="E28" s="529"/>
      <c r="F28" s="529"/>
    </row>
    <row r="29" spans="2:13" ht="120" customHeight="1">
      <c r="F29" s="292"/>
      <c r="G29" s="292"/>
      <c r="H29" s="272" t="s">
        <v>197</v>
      </c>
      <c r="I29" s="532" t="s">
        <v>413</v>
      </c>
      <c r="J29" s="532"/>
      <c r="K29" s="532"/>
      <c r="L29" s="532"/>
    </row>
    <row r="30" spans="2:13" ht="67.5" customHeight="1">
      <c r="F30" s="292"/>
      <c r="G30" s="292"/>
      <c r="H30" s="293" t="s">
        <v>149</v>
      </c>
      <c r="I30" s="294" t="s">
        <v>150</v>
      </c>
      <c r="J30" s="295" t="s">
        <v>203</v>
      </c>
      <c r="K30" s="296" t="s">
        <v>204</v>
      </c>
      <c r="L30" s="297" t="s">
        <v>205</v>
      </c>
    </row>
    <row r="31" spans="2:13" ht="21.75" customHeight="1">
      <c r="F31" s="292"/>
      <c r="G31" s="292"/>
      <c r="H31" s="533" t="str">
        <f>+'Introducción de datos'!B120</f>
        <v>VIH/SIDA</v>
      </c>
      <c r="I31" s="298" t="str">
        <f>+'Introducción de datos'!C120</f>
        <v>Efavirenz 600 mg/Emtricitabina 200 mg/tenofovir 300 mg</v>
      </c>
      <c r="J31" s="299">
        <f>+'Introducción de datos'!I120</f>
        <v>5.2044860627177698</v>
      </c>
      <c r="K31" s="300">
        <f>+'Introducción de datos'!J120</f>
        <v>3</v>
      </c>
      <c r="L31" s="301">
        <f>+'Introducción de datos'!K120</f>
        <v>2.2044860627177698</v>
      </c>
    </row>
    <row r="32" spans="2:13">
      <c r="F32" s="292"/>
      <c r="G32" s="292"/>
      <c r="H32" s="533"/>
      <c r="I32" s="298"/>
      <c r="J32" s="299"/>
      <c r="K32" s="300"/>
      <c r="L32" s="302"/>
    </row>
    <row r="33" spans="2:12">
      <c r="F33" s="292"/>
      <c r="G33" s="292"/>
      <c r="H33" s="533"/>
      <c r="I33" s="298"/>
      <c r="J33" s="299"/>
      <c r="K33" s="300"/>
      <c r="L33" s="302"/>
    </row>
    <row r="37" spans="2:12" ht="38.25" customHeight="1">
      <c r="B37" s="528" t="str">
        <f>+'Introducción de datos'!B114</f>
        <v>* Incluye sólo los montos de las categorías 4 y 5 (Productos y equipamientos sanitarios y Medicamentos y productos farmacéuticos) de los  Informes Financieros Mejorados</v>
      </c>
      <c r="C37" s="528"/>
      <c r="D37" s="528"/>
      <c r="E37" s="528"/>
    </row>
  </sheetData>
  <sheetProtection selectLockedCells="1" selectUnlockedCells="1"/>
  <mergeCells count="19">
    <mergeCell ref="B37:E37"/>
    <mergeCell ref="D5:J5"/>
    <mergeCell ref="E6:I6"/>
    <mergeCell ref="C8:F8"/>
    <mergeCell ref="I8:L8"/>
    <mergeCell ref="D10:D11"/>
    <mergeCell ref="E10:F10"/>
    <mergeCell ref="C17:F17"/>
    <mergeCell ref="I19:L19"/>
    <mergeCell ref="C28:F28"/>
    <mergeCell ref="I29:L29"/>
    <mergeCell ref="H31:H33"/>
    <mergeCell ref="B2:L2"/>
    <mergeCell ref="C3:D3"/>
    <mergeCell ref="E3:I3"/>
    <mergeCell ref="J3:K3"/>
    <mergeCell ref="C4:D4"/>
    <mergeCell ref="E4:I4"/>
    <mergeCell ref="J4:K4"/>
  </mergeCells>
  <conditionalFormatting sqref="D12:D13">
    <cfRule type="cellIs" dxfId="23" priority="1" stopIfTrue="1" operator="greaterThan">
      <formula>0</formula>
    </cfRule>
  </conditionalFormatting>
  <conditionalFormatting sqref="E12:E13">
    <cfRule type="cellIs" dxfId="22" priority="2" stopIfTrue="1" operator="greaterThan">
      <formula>0</formula>
    </cfRule>
  </conditionalFormatting>
  <conditionalFormatting sqref="F12:G13">
    <cfRule type="cellIs" dxfId="21" priority="3" stopIfTrue="1" operator="greaterThan">
      <formula>0</formula>
    </cfRule>
  </conditionalFormatting>
  <conditionalFormatting sqref="C4:D4">
    <cfRule type="cellIs" dxfId="20" priority="4" stopIfTrue="1" operator="equal">
      <formula>"C"</formula>
    </cfRule>
    <cfRule type="cellIs" dxfId="19" priority="5" stopIfTrue="1" operator="equal">
      <formula>"B2"</formula>
    </cfRule>
    <cfRule type="cellIs" dxfId="18" priority="6" stopIfTrue="1" operator="equal">
      <formula>"B1"</formula>
    </cfRule>
  </conditionalFormatting>
  <conditionalFormatting sqref="L31:L33">
    <cfRule type="cellIs" dxfId="17" priority="7" stopIfTrue="1" operator="lessThan">
      <formula>1</formula>
    </cfRule>
    <cfRule type="cellIs" dxfId="16" priority="8" stopIfTrue="1" operator="between">
      <formula>3</formula>
      <formula>17</formula>
    </cfRule>
    <cfRule type="cellIs" dxfId="15" priority="9" stopIfTrue="1" operator="between">
      <formula>1</formula>
      <formula>3</formula>
    </cfRule>
  </conditionalFormatting>
  <pageMargins left="0.70833333333333337" right="0.70833333333333337" top="0.74791666666666667" bottom="0.74861111111111112" header="0.51180555555555551" footer="0.31527777777777777"/>
  <pageSetup paperSize="9" scale="83" firstPageNumber="0" orientation="landscape" horizontalDpi="300" verticalDpi="300" r:id="rId1"/>
  <headerFooter alignWithMargins="0">
    <oddFooter>&amp;L&amp;F&amp;C&amp;A&amp;R&amp;D</oddFooter>
  </headerFooter>
  <colBreaks count="1" manualBreakCount="1">
    <brk id="1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27"/>
  </sheetPr>
  <dimension ref="A1:AI34"/>
  <sheetViews>
    <sheetView showGridLines="0" topLeftCell="B11" zoomScale="120" zoomScaleNormal="120" zoomScaleSheetLayoutView="110" workbookViewId="0">
      <selection activeCell="B19" sqref="B19:Q20"/>
    </sheetView>
  </sheetViews>
  <sheetFormatPr baseColWidth="10" defaultColWidth="9.1796875" defaultRowHeight="14.5"/>
  <cols>
    <col min="1" max="1" width="0" hidden="1" customWidth="1"/>
    <col min="2" max="2" width="16" customWidth="1"/>
    <col min="3" max="3" width="4.90625" customWidth="1"/>
    <col min="4" max="4" width="17.26953125" hidden="1" customWidth="1"/>
    <col min="5" max="5" width="24.1796875" customWidth="1"/>
    <col min="6" max="6" width="15" customWidth="1"/>
    <col min="7" max="7" width="5.7265625" customWidth="1"/>
    <col min="8" max="8" width="8" customWidth="1"/>
    <col min="9" max="9" width="6.7265625" customWidth="1"/>
    <col min="10" max="10" width="4.1796875" customWidth="1"/>
    <col min="11" max="11" width="10.08984375" customWidth="1"/>
    <col min="12" max="12" width="9" customWidth="1"/>
    <col min="13" max="13" width="16.7265625" customWidth="1"/>
    <col min="14" max="14" width="12.453125" customWidth="1"/>
    <col min="15" max="15" width="14.54296875" customWidth="1"/>
    <col min="16" max="16" width="52.90625" customWidth="1"/>
    <col min="17" max="17" width="10.453125" hidden="1" customWidth="1"/>
    <col min="18" max="18" width="62.453125" customWidth="1"/>
  </cols>
  <sheetData>
    <row r="1" spans="2:35" ht="26.25" customHeight="1"/>
    <row r="2" spans="2:35" ht="21.75" customHeight="1">
      <c r="B2" s="527" t="str">
        <f>+"Cuadro de mando:  "&amp;"  "&amp;+'Introducción de datos'!C4&amp;" - "&amp;'Introducción de datos'!G6</f>
        <v>Cuadro de mando:    El Salvador - VIH / SIDA</v>
      </c>
      <c r="C2" s="527"/>
      <c r="D2" s="527"/>
      <c r="E2" s="527"/>
      <c r="F2" s="527"/>
      <c r="G2" s="527"/>
      <c r="H2" s="527"/>
      <c r="I2" s="527"/>
      <c r="J2" s="527"/>
      <c r="K2" s="527"/>
      <c r="L2" s="527"/>
      <c r="M2" s="527"/>
      <c r="N2" s="527"/>
      <c r="O2" s="527"/>
      <c r="P2" s="527"/>
      <c r="Q2" s="527"/>
    </row>
    <row r="3" spans="2:35">
      <c r="B3" s="262" t="str">
        <f>+'Introducción de datos'!G8</f>
        <v>SSF/NMF</v>
      </c>
      <c r="C3" s="515" t="str">
        <f>+'Introducción de datos'!I8</f>
        <v>Fase 2</v>
      </c>
      <c r="D3" s="515"/>
      <c r="E3" s="516"/>
      <c r="F3" s="516"/>
      <c r="G3" s="516"/>
      <c r="H3" s="516"/>
      <c r="I3" s="516"/>
      <c r="J3" s="516"/>
      <c r="K3" s="516"/>
      <c r="O3" s="517" t="str">
        <f>+'Introducción de datos'!B16</f>
        <v>Periodo:</v>
      </c>
      <c r="P3" s="517"/>
      <c r="Q3" s="263" t="s">
        <v>206</v>
      </c>
    </row>
    <row r="4" spans="2:35" ht="12" customHeight="1">
      <c r="B4" s="262" t="str">
        <f>+'Introducción de datos'!B12</f>
        <v>Ultima calificación:</v>
      </c>
      <c r="C4" s="534" t="str">
        <f>+'Introducción de datos'!C12</f>
        <v>A2</v>
      </c>
      <c r="D4" s="534"/>
      <c r="E4" s="516" t="str">
        <f>+'Introducción de datos'!C8</f>
        <v xml:space="preserve">Ministerio de Salud </v>
      </c>
      <c r="F4" s="516"/>
      <c r="G4" s="516"/>
      <c r="H4" s="516"/>
      <c r="I4" s="516"/>
      <c r="J4" s="516"/>
      <c r="K4" s="516"/>
      <c r="L4" s="516"/>
      <c r="O4" s="74"/>
      <c r="P4" s="262" t="str">
        <f>+'Introducción de datos'!D16</f>
        <v>Desde:</v>
      </c>
      <c r="Q4" s="303" t="str">
        <f>+'Introducción de datos'!E16</f>
        <v>1 de enero de 2019</v>
      </c>
      <c r="Y4" s="239"/>
      <c r="Z4" s="239"/>
      <c r="AA4" s="239"/>
      <c r="AB4" s="239"/>
      <c r="AC4" s="239"/>
    </row>
    <row r="5" spans="2:35" ht="15.75" customHeight="1">
      <c r="B5" s="262"/>
      <c r="C5" s="262"/>
      <c r="D5" s="516" t="str">
        <f>+'Introducción de datos'!G4</f>
        <v>INNOVANDO SERVICIOS, REDUCIENDO RIESGOS, RENOVANDO VIDAS EN EL SALVADOR</v>
      </c>
      <c r="E5" s="516"/>
      <c r="F5" s="516"/>
      <c r="G5" s="516"/>
      <c r="H5" s="516"/>
      <c r="I5" s="516"/>
      <c r="J5" s="516"/>
      <c r="K5" s="516"/>
      <c r="L5" s="516"/>
      <c r="M5" s="516"/>
      <c r="N5" s="516"/>
      <c r="P5" s="262" t="str">
        <f>+'Introducción de datos'!F16</f>
        <v>Hasta:</v>
      </c>
      <c r="Q5" s="303" t="str">
        <f>+'Introducción de datos'!G16</f>
        <v>30 de junio 2019</v>
      </c>
      <c r="S5" s="304"/>
      <c r="T5" s="304"/>
      <c r="U5" s="304"/>
      <c r="V5" s="304"/>
      <c r="W5" s="304"/>
      <c r="X5" s="304"/>
      <c r="Y5" s="239"/>
      <c r="Z5" s="239"/>
      <c r="AA5" s="239" t="s">
        <v>207</v>
      </c>
      <c r="AB5" s="239"/>
      <c r="AC5" s="239" t="s">
        <v>208</v>
      </c>
      <c r="AD5" s="304"/>
      <c r="AE5" s="304"/>
      <c r="AF5" s="304"/>
      <c r="AG5" s="304"/>
      <c r="AH5" s="304"/>
      <c r="AI5" s="304"/>
    </row>
    <row r="6" spans="2:35" ht="15.75" customHeight="1">
      <c r="B6" s="262"/>
      <c r="C6" s="262"/>
      <c r="D6" s="305"/>
      <c r="E6" s="305"/>
      <c r="F6" s="537" t="s">
        <v>209</v>
      </c>
      <c r="G6" s="537"/>
      <c r="H6" s="537"/>
      <c r="I6" s="537"/>
      <c r="J6" s="537"/>
      <c r="K6" s="537"/>
      <c r="L6" s="305"/>
      <c r="O6" s="306"/>
      <c r="P6" s="307"/>
      <c r="S6" s="304"/>
      <c r="T6" s="304"/>
      <c r="U6" s="304"/>
      <c r="V6" s="304"/>
      <c r="W6" s="304"/>
      <c r="X6" s="304"/>
      <c r="Y6" s="239"/>
      <c r="Z6" s="239"/>
      <c r="AA6" s="239"/>
      <c r="AB6" s="239"/>
      <c r="AC6" s="239"/>
      <c r="AD6" s="304"/>
      <c r="AE6" s="304"/>
      <c r="AF6" s="304"/>
      <c r="AG6" s="304"/>
      <c r="AH6" s="304"/>
      <c r="AI6" s="304"/>
    </row>
    <row r="7" spans="2:35" ht="3" customHeight="1">
      <c r="B7" s="262"/>
      <c r="C7" s="262"/>
      <c r="D7" s="305"/>
      <c r="E7" s="305"/>
      <c r="F7" s="305"/>
      <c r="G7" s="305"/>
      <c r="H7" s="305"/>
      <c r="I7" s="305"/>
      <c r="J7" s="305"/>
      <c r="K7" s="305"/>
      <c r="L7" s="305"/>
      <c r="O7" s="306"/>
      <c r="P7" s="264"/>
      <c r="Q7" s="264"/>
      <c r="S7" s="304"/>
      <c r="T7" s="304"/>
      <c r="U7" s="304"/>
      <c r="V7" s="304"/>
      <c r="W7" s="304"/>
      <c r="X7" s="304"/>
      <c r="Y7" s="239"/>
      <c r="Z7" s="239"/>
      <c r="AA7" s="239"/>
      <c r="AB7" s="239"/>
      <c r="AC7" s="239"/>
      <c r="AD7" s="304"/>
      <c r="AE7" s="304"/>
      <c r="AF7" s="304"/>
      <c r="AG7" s="304"/>
      <c r="AH7" s="304"/>
      <c r="AI7" s="304"/>
    </row>
    <row r="8" spans="2:35" ht="42" customHeight="1">
      <c r="B8" s="538" t="str">
        <f>+'Introducción de datos'!B128</f>
        <v>TCS-1 Número y porcentaje de adultos y niños elegible que actualmente recibe terapia antirretroviral</v>
      </c>
      <c r="C8" s="539"/>
      <c r="D8" s="539"/>
      <c r="E8" s="539"/>
      <c r="F8" s="539" t="str">
        <f>+'Introducción de datos'!B130</f>
        <v>KP-3a  Número y porcentaje de hombres que tienen sexo con hombres que se sometieron a las pruebas y consejería del VIH y que recibieron sus resultados</v>
      </c>
      <c r="G8" s="539"/>
      <c r="H8" s="539"/>
      <c r="I8" s="539"/>
      <c r="J8" s="539"/>
      <c r="K8" s="539"/>
      <c r="L8" s="308"/>
      <c r="M8" s="539" t="s">
        <v>210</v>
      </c>
      <c r="N8" s="539"/>
      <c r="O8" s="539"/>
      <c r="P8" s="539"/>
      <c r="Q8" s="539"/>
      <c r="R8" s="539"/>
      <c r="S8" s="304"/>
      <c r="T8" s="304"/>
      <c r="U8" s="304"/>
      <c r="V8" s="304"/>
      <c r="W8" s="304"/>
      <c r="X8" s="304"/>
      <c r="Y8" s="239"/>
      <c r="Z8" s="239"/>
      <c r="AA8" s="239"/>
      <c r="AB8" s="239"/>
      <c r="AC8" s="239"/>
      <c r="AD8" s="304"/>
      <c r="AE8" s="304"/>
      <c r="AF8" s="304"/>
      <c r="AG8" s="304"/>
      <c r="AH8" s="304"/>
      <c r="AI8" s="304"/>
    </row>
    <row r="9" spans="2:35" ht="89.25" customHeight="1">
      <c r="B9" s="391" t="s">
        <v>211</v>
      </c>
      <c r="C9" s="540" t="s">
        <v>408</v>
      </c>
      <c r="D9" s="541"/>
      <c r="E9" s="541"/>
      <c r="F9" s="390" t="s">
        <v>211</v>
      </c>
      <c r="G9" s="540" t="s">
        <v>409</v>
      </c>
      <c r="H9" s="540"/>
      <c r="I9" s="540"/>
      <c r="J9" s="540"/>
      <c r="K9" s="540"/>
      <c r="L9" s="390" t="s">
        <v>211</v>
      </c>
      <c r="M9" s="542" t="s">
        <v>410</v>
      </c>
      <c r="N9" s="542"/>
      <c r="O9" s="542"/>
      <c r="P9" s="542"/>
      <c r="Q9" s="542"/>
      <c r="S9" s="304"/>
      <c r="T9" s="304"/>
      <c r="U9" s="304"/>
      <c r="V9" s="304"/>
      <c r="W9" s="304"/>
      <c r="X9" s="304"/>
      <c r="Y9" s="304"/>
      <c r="Z9" s="304"/>
      <c r="AA9" s="304"/>
      <c r="AB9" s="304"/>
      <c r="AC9" s="304"/>
      <c r="AD9" s="304"/>
      <c r="AE9" s="304"/>
      <c r="AF9" s="304"/>
      <c r="AG9" s="304"/>
      <c r="AH9" s="304"/>
      <c r="AI9" s="304"/>
    </row>
    <row r="10" spans="2:35" ht="18.75" customHeight="1">
      <c r="B10" s="262"/>
      <c r="C10" s="262"/>
      <c r="D10" s="305"/>
      <c r="E10" s="305"/>
      <c r="F10" s="305"/>
      <c r="G10" s="305"/>
      <c r="H10" s="305"/>
      <c r="I10" s="305"/>
      <c r="J10" s="305"/>
      <c r="K10" s="305"/>
      <c r="L10" s="305"/>
      <c r="O10" s="306"/>
      <c r="P10" s="264"/>
      <c r="S10" s="304"/>
      <c r="T10" s="304"/>
      <c r="U10" s="304"/>
      <c r="V10" s="304"/>
      <c r="W10" s="304"/>
      <c r="X10" s="304"/>
      <c r="Y10" s="304"/>
      <c r="Z10" s="304"/>
      <c r="AA10" s="304"/>
      <c r="AB10" s="304"/>
      <c r="AC10" s="304"/>
      <c r="AD10" s="304"/>
      <c r="AE10" s="304"/>
      <c r="AF10" s="304"/>
      <c r="AG10" s="304"/>
      <c r="AH10" s="304"/>
      <c r="AI10" s="304"/>
    </row>
    <row r="11" spans="2:35" ht="18.75" customHeight="1">
      <c r="B11" s="262"/>
      <c r="C11" s="262"/>
      <c r="D11" s="305"/>
      <c r="E11" s="305"/>
      <c r="F11" s="305"/>
      <c r="G11" s="305"/>
      <c r="H11" s="305"/>
      <c r="I11" s="305"/>
      <c r="J11" s="305"/>
      <c r="K11" s="305"/>
      <c r="L11" s="305"/>
      <c r="O11" s="306"/>
      <c r="P11" s="264"/>
      <c r="S11" s="304"/>
      <c r="T11" s="304"/>
      <c r="U11" s="304"/>
      <c r="V11" s="304"/>
      <c r="W11" s="304"/>
      <c r="X11" s="304"/>
      <c r="Y11" s="304"/>
      <c r="Z11" s="304"/>
      <c r="AA11" s="304"/>
      <c r="AB11" s="304"/>
      <c r="AC11" s="304"/>
      <c r="AD11" s="304"/>
      <c r="AE11" s="304"/>
      <c r="AF11" s="304"/>
      <c r="AG11" s="304"/>
      <c r="AH11" s="304"/>
      <c r="AI11" s="304"/>
    </row>
    <row r="12" spans="2:35" ht="18.75" customHeight="1">
      <c r="B12" s="262"/>
      <c r="C12" s="262"/>
      <c r="D12" s="305"/>
      <c r="E12" s="305"/>
      <c r="F12" s="305"/>
      <c r="G12" s="305"/>
      <c r="H12" s="305"/>
      <c r="I12" s="305"/>
      <c r="J12" s="305"/>
      <c r="K12" s="305"/>
      <c r="L12" s="305"/>
      <c r="O12" s="306"/>
      <c r="P12" s="264"/>
      <c r="S12" s="304"/>
      <c r="T12" s="304"/>
      <c r="U12" s="304"/>
      <c r="V12" s="304"/>
      <c r="W12" s="304"/>
      <c r="X12" s="304"/>
      <c r="Y12" s="304"/>
      <c r="Z12" s="304"/>
      <c r="AA12" s="304"/>
      <c r="AB12" s="304"/>
      <c r="AC12" s="304"/>
      <c r="AD12" s="304"/>
      <c r="AE12" s="304"/>
      <c r="AF12" s="304"/>
      <c r="AG12" s="304"/>
      <c r="AH12" s="304"/>
      <c r="AI12" s="304"/>
    </row>
    <row r="13" spans="2:35" ht="18.75" customHeight="1">
      <c r="B13" s="262"/>
      <c r="C13" s="262"/>
      <c r="D13" s="305"/>
      <c r="E13" s="305"/>
      <c r="F13" s="305"/>
      <c r="G13" s="305"/>
      <c r="H13" s="305"/>
      <c r="I13" s="305"/>
      <c r="J13" s="305"/>
      <c r="K13" s="305"/>
      <c r="L13" s="305"/>
      <c r="O13" s="306"/>
      <c r="P13" s="264"/>
      <c r="S13" s="304"/>
      <c r="T13" s="304"/>
      <c r="U13" s="304"/>
      <c r="V13" s="304"/>
      <c r="W13" s="304"/>
      <c r="X13" s="304"/>
      <c r="Y13" s="304"/>
      <c r="Z13" s="304"/>
      <c r="AA13" s="304"/>
      <c r="AB13" s="304"/>
      <c r="AC13" s="304"/>
      <c r="AD13" s="304"/>
      <c r="AE13" s="304"/>
      <c r="AF13" s="304"/>
      <c r="AG13" s="304"/>
      <c r="AH13" s="304"/>
      <c r="AI13" s="304"/>
    </row>
    <row r="14" spans="2:35" ht="18.75" customHeight="1">
      <c r="B14" s="262"/>
      <c r="C14" s="262"/>
      <c r="D14" s="305"/>
      <c r="E14" s="305"/>
      <c r="F14" s="305"/>
      <c r="G14" s="305"/>
      <c r="H14" s="305"/>
      <c r="I14" s="305"/>
      <c r="J14" s="305"/>
      <c r="K14" s="305"/>
      <c r="L14" s="305"/>
      <c r="O14" s="306"/>
      <c r="P14" s="264"/>
      <c r="S14" s="304"/>
      <c r="T14" s="304"/>
      <c r="U14" s="304"/>
      <c r="V14" s="304"/>
      <c r="W14" s="304"/>
      <c r="X14" s="304"/>
      <c r="Y14" s="304"/>
      <c r="Z14" s="304"/>
      <c r="AA14" s="304"/>
      <c r="AB14" s="304"/>
      <c r="AC14" s="304"/>
      <c r="AD14" s="304"/>
      <c r="AE14" s="304"/>
      <c r="AF14" s="304"/>
      <c r="AG14" s="304"/>
      <c r="AH14" s="304"/>
      <c r="AI14" s="304"/>
    </row>
    <row r="15" spans="2:35" ht="18.75" customHeight="1">
      <c r="B15" s="262"/>
      <c r="C15" s="262"/>
      <c r="D15" s="305"/>
      <c r="E15" s="305"/>
      <c r="F15" s="305"/>
      <c r="G15" s="305"/>
      <c r="H15" s="305"/>
      <c r="I15" s="305"/>
      <c r="J15" s="305"/>
      <c r="K15" s="305"/>
      <c r="L15" s="305"/>
      <c r="O15" s="306"/>
      <c r="P15" s="264"/>
      <c r="S15" s="304"/>
      <c r="T15" s="304"/>
      <c r="U15" s="304"/>
      <c r="V15" s="304"/>
      <c r="W15" s="304"/>
      <c r="X15" s="304"/>
      <c r="Y15" s="304"/>
      <c r="Z15" s="304"/>
      <c r="AA15" s="304"/>
      <c r="AB15" s="304"/>
      <c r="AC15" s="304"/>
      <c r="AD15" s="304"/>
      <c r="AE15" s="304"/>
      <c r="AF15" s="304"/>
      <c r="AG15" s="304"/>
      <c r="AH15" s="304"/>
      <c r="AI15" s="304"/>
    </row>
    <row r="16" spans="2:35" ht="18.75" customHeight="1">
      <c r="B16" s="262"/>
      <c r="C16" s="262"/>
      <c r="D16" s="305"/>
      <c r="E16" s="305"/>
      <c r="F16" s="305"/>
      <c r="G16" s="305"/>
      <c r="H16" s="305"/>
      <c r="I16" s="305"/>
      <c r="J16" s="305"/>
      <c r="K16" s="305"/>
      <c r="L16" s="305"/>
      <c r="O16" s="306"/>
      <c r="P16" s="264"/>
      <c r="S16" s="304"/>
      <c r="T16" s="304"/>
      <c r="U16" s="304"/>
      <c r="V16" s="304"/>
      <c r="W16" s="304"/>
      <c r="X16" s="304"/>
      <c r="Y16" s="304"/>
      <c r="Z16" s="304"/>
      <c r="AA16" s="304"/>
      <c r="AB16" s="304"/>
      <c r="AC16" s="304"/>
      <c r="AD16" s="304"/>
      <c r="AE16" s="304"/>
      <c r="AF16" s="304"/>
      <c r="AG16" s="304"/>
      <c r="AH16" s="304"/>
      <c r="AI16" s="304"/>
    </row>
    <row r="17" spans="1:35" ht="17.25" customHeight="1">
      <c r="B17" s="262"/>
      <c r="C17" s="262"/>
      <c r="D17" s="305"/>
      <c r="E17" s="305"/>
      <c r="F17" s="305"/>
      <c r="G17" s="305"/>
      <c r="H17" s="305"/>
      <c r="I17" s="305"/>
      <c r="J17" s="305"/>
      <c r="K17" s="305"/>
      <c r="L17" s="305"/>
      <c r="O17" s="306"/>
      <c r="P17" s="264"/>
      <c r="S17" s="304"/>
      <c r="T17" s="304"/>
      <c r="U17" s="304"/>
      <c r="V17" s="304"/>
      <c r="W17" s="304"/>
      <c r="X17" s="304"/>
      <c r="Y17" s="304"/>
      <c r="Z17" s="304"/>
      <c r="AA17" s="304"/>
      <c r="AB17" s="304"/>
      <c r="AC17" s="304"/>
      <c r="AD17" s="304"/>
      <c r="AE17" s="304"/>
      <c r="AF17" s="304"/>
      <c r="AG17" s="304"/>
      <c r="AH17" s="304"/>
      <c r="AI17" s="304"/>
    </row>
    <row r="18" spans="1:35" ht="6" customHeight="1">
      <c r="B18" s="74"/>
      <c r="C18" s="262"/>
      <c r="D18" s="265"/>
      <c r="E18" s="543"/>
      <c r="F18" s="543"/>
      <c r="G18" s="543"/>
      <c r="H18" s="543"/>
      <c r="I18" s="543"/>
      <c r="J18" s="543"/>
      <c r="K18" s="543"/>
      <c r="S18" s="304"/>
      <c r="T18" s="304"/>
      <c r="U18" s="304"/>
      <c r="V18" s="304"/>
      <c r="W18" s="304"/>
      <c r="X18" s="304"/>
      <c r="Y18" s="304"/>
      <c r="Z18" s="304"/>
      <c r="AA18" s="304"/>
      <c r="AB18" s="304"/>
      <c r="AC18" s="304"/>
      <c r="AD18" s="304"/>
      <c r="AE18" s="304"/>
      <c r="AF18" s="304"/>
      <c r="AG18" s="304"/>
      <c r="AH18" s="304"/>
      <c r="AI18" s="304"/>
    </row>
    <row r="19" spans="1:35" ht="24" customHeight="1">
      <c r="B19" s="544" t="s">
        <v>212</v>
      </c>
      <c r="C19" s="544"/>
      <c r="D19" s="544"/>
      <c r="E19" s="422" t="s">
        <v>171</v>
      </c>
      <c r="F19" s="422" t="s">
        <v>213</v>
      </c>
      <c r="G19" s="545" t="s">
        <v>214</v>
      </c>
      <c r="H19" s="545"/>
      <c r="I19" s="546" t="s">
        <v>215</v>
      </c>
      <c r="J19" s="546"/>
      <c r="K19" s="423" t="s">
        <v>216</v>
      </c>
      <c r="L19" s="547" t="s">
        <v>166</v>
      </c>
      <c r="M19" s="547"/>
      <c r="N19" s="547"/>
      <c r="O19" s="547"/>
      <c r="P19" s="547"/>
      <c r="Q19" s="547"/>
      <c r="S19" s="309" t="s">
        <v>217</v>
      </c>
      <c r="T19" s="310">
        <v>0</v>
      </c>
      <c r="U19" s="311">
        <v>0.3</v>
      </c>
      <c r="V19" s="311">
        <v>0.6</v>
      </c>
      <c r="W19" s="311">
        <v>0.9</v>
      </c>
      <c r="X19" s="311">
        <v>1</v>
      </c>
      <c r="Y19" s="239"/>
      <c r="Z19" s="239"/>
      <c r="AA19" s="309" t="s">
        <v>218</v>
      </c>
      <c r="AB19" s="310">
        <v>0</v>
      </c>
      <c r="AC19" s="311">
        <v>0.2</v>
      </c>
      <c r="AD19" s="311">
        <v>0.4</v>
      </c>
      <c r="AE19" s="311">
        <v>0.6</v>
      </c>
      <c r="AF19" s="311">
        <v>0.8</v>
      </c>
      <c r="AG19" s="239"/>
      <c r="AH19" s="239"/>
      <c r="AI19" s="239"/>
    </row>
    <row r="20" spans="1:35" ht="250" customHeight="1">
      <c r="B20" s="535" t="str">
        <f>+'Introducción de datos'!B128</f>
        <v>TCS-1 Número y porcentaje de adultos y niños elegible que actualmente recibe terapia antirretroviral</v>
      </c>
      <c r="C20" s="535"/>
      <c r="D20" s="535"/>
      <c r="E20" s="424">
        <f ca="1">OFFSET('Introducción de datos'!$G$127,1,RIGHT('Introducción de datos'!$C$16,LEN('Introducción de datos'!$C$16)-1),1,1)</f>
        <v>13650</v>
      </c>
      <c r="F20" s="424">
        <f ca="1">OFFSET('Introducción de datos'!$G$127,2,RIGHT('Introducción de datos'!$C$16,LEN('Introducción de datos'!$C$16)-1),1,1)</f>
        <v>10117</v>
      </c>
      <c r="G20" s="616">
        <f t="shared" ref="G20:G22" ca="1" si="0">+IF(ISERROR(F20/E20),0,F20/E20)</f>
        <v>0.74117216117216123</v>
      </c>
      <c r="H20" s="616"/>
      <c r="I20" s="616"/>
      <c r="J20" s="616"/>
      <c r="K20" s="616"/>
      <c r="L20" s="613" t="s">
        <v>424</v>
      </c>
      <c r="M20" s="614"/>
      <c r="N20" s="614"/>
      <c r="O20" s="614"/>
      <c r="P20" s="614"/>
      <c r="Q20" s="615"/>
      <c r="S20" s="309" t="s">
        <v>219</v>
      </c>
      <c r="T20" s="311">
        <v>0.3</v>
      </c>
      <c r="U20" s="311">
        <v>0.6</v>
      </c>
      <c r="V20" s="311">
        <v>0.9</v>
      </c>
      <c r="W20" s="311">
        <v>1</v>
      </c>
      <c r="X20" s="311">
        <v>2</v>
      </c>
      <c r="Y20" s="239"/>
      <c r="Z20" s="239"/>
      <c r="AA20" s="309" t="s">
        <v>220</v>
      </c>
      <c r="AB20" s="311">
        <v>0.2</v>
      </c>
      <c r="AC20" s="311">
        <v>0.4</v>
      </c>
      <c r="AD20" s="311">
        <v>0.6</v>
      </c>
      <c r="AE20" s="311">
        <v>0.8</v>
      </c>
      <c r="AF20" s="311">
        <v>1</v>
      </c>
      <c r="AG20" s="239"/>
      <c r="AH20" s="239"/>
      <c r="AI20" s="239"/>
    </row>
    <row r="21" spans="1:35" ht="314" customHeight="1">
      <c r="B21" s="535" t="str">
        <f>+'Introducción de datos'!B130</f>
        <v>KP-3a  Número y porcentaje de hombres que tienen sexo con hombres que se sometieron a las pruebas y consejería del VIH y que recibieron sus resultados</v>
      </c>
      <c r="C21" s="535"/>
      <c r="D21" s="535"/>
      <c r="E21" s="424">
        <f ca="1">OFFSET('Introducción de datos'!$G$127,3,RIGHT('Introducción de datos'!$C$16,LEN('Introducción de datos'!$C$16)-1),1,1)</f>
        <v>19761</v>
      </c>
      <c r="F21" s="424">
        <f ca="1">OFFSET('Introducción de datos'!$G$127,4,RIGHT('Introducción de datos'!$C$16,LEN('Introducción de datos'!$C$16)-1),1,1)</f>
        <v>10013</v>
      </c>
      <c r="G21" s="536">
        <f t="shared" ca="1" si="0"/>
        <v>0.5067051262587926</v>
      </c>
      <c r="H21" s="536"/>
      <c r="I21" s="536"/>
      <c r="J21" s="536"/>
      <c r="K21" s="536"/>
      <c r="L21" s="548" t="s">
        <v>415</v>
      </c>
      <c r="M21" s="549"/>
      <c r="N21" s="549"/>
      <c r="O21" s="549"/>
      <c r="P21" s="549"/>
      <c r="Q21" s="550"/>
      <c r="S21" s="312"/>
      <c r="T21" s="311" t="e">
        <f t="shared" ref="T21:T22" si="1">IF($K20&gt;T$19,IF($K20&lt;=T$20,$K20,NA()),NA())</f>
        <v>#N/A</v>
      </c>
      <c r="U21" s="311" t="e">
        <f t="shared" ref="U21:U22" si="2">IF($K20&gt;U$19,IF($K20&lt;=U$20,$K20,NA()),NA())</f>
        <v>#N/A</v>
      </c>
      <c r="V21" s="311" t="e">
        <f t="shared" ref="V21:V22" si="3">IF($K20&gt;V$19,IF($K20&lt;=V$20,$K20,NA()),NA())</f>
        <v>#N/A</v>
      </c>
      <c r="W21" s="311" t="e">
        <f t="shared" ref="W21:W22" si="4">IF($K20&gt;W$19,IF($K20&lt;=W$20,$K20,NA()),NA())</f>
        <v>#N/A</v>
      </c>
      <c r="X21" s="311" t="e">
        <f>IF($K20&gt;X$19,IF($K20&lt;=X$20,1,NA()),NA())</f>
        <v>#N/A</v>
      </c>
      <c r="Y21" s="239"/>
      <c r="Z21" s="313" t="e">
        <f>+'Información de la subvención'!#REF!</f>
        <v>#REF!</v>
      </c>
      <c r="AA21" s="311" t="e">
        <f t="shared" ref="AA21:AA23" si="5">+IF(Z21="A1",1,IF(Z21="A2",0.8,IF(Z21="B1",0.6,IF(Z21="B2",0.4,0.2))))</f>
        <v>#REF!</v>
      </c>
      <c r="AB21" s="311" t="e">
        <f t="shared" ref="AB21:AB23" si="6">IF($AA21&gt;AB$19,IF($AA21&lt;=AB$20,$AA21,NA()),NA())</f>
        <v>#REF!</v>
      </c>
      <c r="AC21" s="311" t="e">
        <f t="shared" ref="AC21:AC23" si="7">IF($AA21&gt;AC$19,IF($AA21&lt;=AC$20,$AA21,NA()),NA())</f>
        <v>#REF!</v>
      </c>
      <c r="AD21" s="311" t="e">
        <f t="shared" ref="AD21:AD23" si="8">IF($AA21&gt;AD$19,IF($AA21&lt;=AD$20,$AA21,NA()),NA())</f>
        <v>#REF!</v>
      </c>
      <c r="AE21" s="311" t="e">
        <f t="shared" ref="AE21:AE23" si="9">IF($AA21&gt;AE$19,IF($AA21&lt;=AE$20,$AA21,NA()),NA())</f>
        <v>#REF!</v>
      </c>
      <c r="AF21" s="311" t="e">
        <f t="shared" ref="AF21:AF23" si="10">IF($AA21&gt;AF$19,IF($AA21&lt;=AF$20,$AA21,NA()),NA())</f>
        <v>#REF!</v>
      </c>
      <c r="AG21" s="239"/>
      <c r="AH21" s="239"/>
      <c r="AI21" s="239"/>
    </row>
    <row r="22" spans="1:35" ht="366.5" customHeight="1">
      <c r="B22" s="535" t="str">
        <f>+'Introducción de datos'!B132</f>
        <v>KP-3c Número y porcentaje de trabajadores sexuales que se sometieron a las pruebas y consejería del VIH y que recibieron sus resultados</v>
      </c>
      <c r="C22" s="535"/>
      <c r="D22" s="535"/>
      <c r="E22" s="424">
        <f ca="1">OFFSET('Introducción de datos'!$G$127,5,RIGHT('Introducción de datos'!$C$16,LEN('Introducción de datos'!$C$16)-1),1,1)</f>
        <v>8275</v>
      </c>
      <c r="F22" s="424">
        <f ca="1">OFFSET('Introducción de datos'!$G$127,6,RIGHT('Introducción de datos'!$C$16,LEN('Introducción de datos'!$C$16)-1),1,1)</f>
        <v>3217</v>
      </c>
      <c r="G22" s="536">
        <f t="shared" ca="1" si="0"/>
        <v>0.38876132930513596</v>
      </c>
      <c r="H22" s="536"/>
      <c r="I22" s="536"/>
      <c r="J22" s="536"/>
      <c r="K22" s="536"/>
      <c r="L22" s="551" t="s">
        <v>416</v>
      </c>
      <c r="M22" s="552"/>
      <c r="N22" s="552"/>
      <c r="O22" s="552"/>
      <c r="P22" s="552"/>
      <c r="Q22" s="552"/>
      <c r="S22" s="312"/>
      <c r="T22" s="311" t="e">
        <f t="shared" si="1"/>
        <v>#N/A</v>
      </c>
      <c r="U22" s="311" t="e">
        <f t="shared" si="2"/>
        <v>#N/A</v>
      </c>
      <c r="V22" s="311" t="e">
        <f t="shared" si="3"/>
        <v>#N/A</v>
      </c>
      <c r="W22" s="311" t="e">
        <f t="shared" si="4"/>
        <v>#N/A</v>
      </c>
      <c r="X22" s="311" t="e">
        <f>IF(#REF!&gt;X$19,IF(#REF!&lt;=X$20,1,1),NA())</f>
        <v>#REF!</v>
      </c>
      <c r="Y22" s="239"/>
      <c r="Z22" s="313" t="e">
        <f>+'Información de la subvención'!#REF!</f>
        <v>#REF!</v>
      </c>
      <c r="AA22" s="311" t="e">
        <f t="shared" si="5"/>
        <v>#REF!</v>
      </c>
      <c r="AB22" s="311" t="e">
        <f t="shared" si="6"/>
        <v>#REF!</v>
      </c>
      <c r="AC22" s="311" t="e">
        <f t="shared" si="7"/>
        <v>#REF!</v>
      </c>
      <c r="AD22" s="311" t="e">
        <f t="shared" si="8"/>
        <v>#REF!</v>
      </c>
      <c r="AE22" s="311" t="e">
        <f t="shared" si="9"/>
        <v>#REF!</v>
      </c>
      <c r="AF22" s="311" t="e">
        <f t="shared" si="10"/>
        <v>#REF!</v>
      </c>
      <c r="AG22" s="239"/>
      <c r="AH22" s="239"/>
      <c r="AI22" s="239"/>
    </row>
    <row r="23" spans="1:35" ht="291.75" customHeight="1">
      <c r="B23" s="535" t="str">
        <f>+'Introducción de datos'!B134</f>
        <v>KP-3b Número y porcentaje de personas transgénero que se sometieron a las pruebas y consejería del VIH y que recibieron sus resultados</v>
      </c>
      <c r="C23" s="535"/>
      <c r="D23" s="535"/>
      <c r="E23" s="424">
        <f ca="1">OFFSET('Introducción de datos'!$G$127,7,RIGHT('Introducción de datos'!$C$16,LEN('Introducción de datos'!$C$16)-1),1,1)</f>
        <v>1207</v>
      </c>
      <c r="F23" s="424">
        <f ca="1">OFFSET('Introducción de datos'!$G$127,8,RIGHT('Introducción de datos'!$C$16,LEN('Introducción de datos'!$C$16)-1),1,1)</f>
        <v>488</v>
      </c>
      <c r="G23" s="536">
        <f ca="1">+IF(ISERROR(F23/E23),0,F23/E23)</f>
        <v>0.40430820215410107</v>
      </c>
      <c r="H23" s="536"/>
      <c r="I23" s="536"/>
      <c r="J23" s="536"/>
      <c r="K23" s="536"/>
      <c r="L23" s="551" t="s">
        <v>417</v>
      </c>
      <c r="M23" s="552"/>
      <c r="N23" s="552"/>
      <c r="O23" s="552"/>
      <c r="P23" s="552"/>
      <c r="Q23" s="552"/>
      <c r="S23" s="312"/>
      <c r="T23" s="311" t="e">
        <f>IF($K21&gt;T$19,IF($K21&lt;=T$20,$K21,NA()),NA())</f>
        <v>#N/A</v>
      </c>
      <c r="U23" s="311" t="e">
        <f>IF($K21&gt;U$19,IF($K21&lt;=U$20,$K21,NA()),NA())</f>
        <v>#N/A</v>
      </c>
      <c r="V23" s="311" t="e">
        <f>IF($K21&gt;V$19,IF($K21&lt;=V$20,$K21,NA()),NA())</f>
        <v>#N/A</v>
      </c>
      <c r="W23" s="311" t="e">
        <f>IF($K21&gt;W$19,IF($K21&lt;=W$20,$K21,NA()),NA())</f>
        <v>#N/A</v>
      </c>
      <c r="X23" s="311" t="e">
        <f>IF($K21&gt;X$19,IF($K21&lt;=X$20,1,NA()),NA())</f>
        <v>#N/A</v>
      </c>
      <c r="Y23" s="239"/>
      <c r="Z23" s="313" t="e">
        <f>+'Información de la subvención'!#REF!</f>
        <v>#REF!</v>
      </c>
      <c r="AA23" s="311" t="e">
        <f t="shared" si="5"/>
        <v>#REF!</v>
      </c>
      <c r="AB23" s="311" t="e">
        <f t="shared" si="6"/>
        <v>#REF!</v>
      </c>
      <c r="AC23" s="311" t="e">
        <f t="shared" si="7"/>
        <v>#REF!</v>
      </c>
      <c r="AD23" s="311" t="e">
        <f t="shared" si="8"/>
        <v>#REF!</v>
      </c>
      <c r="AE23" s="311" t="e">
        <f t="shared" si="9"/>
        <v>#REF!</v>
      </c>
      <c r="AF23" s="311" t="e">
        <f t="shared" si="10"/>
        <v>#REF!</v>
      </c>
      <c r="AG23" s="239"/>
      <c r="AH23" s="239"/>
      <c r="AI23" s="239"/>
    </row>
    <row r="24" spans="1:35" ht="217.5" customHeight="1">
      <c r="B24" s="556" t="str">
        <f>+'Introducción de datos'!B136</f>
        <v>KP-1a(M): Porcentaje de hombres que tienen relaciones sexuales con hombres cubiertos por programas de prevención del VIH (paquetes definidos de servicios)</v>
      </c>
      <c r="C24" s="557"/>
      <c r="D24" s="558"/>
      <c r="E24" s="424">
        <f ca="1">OFFSET('Introducción de datos'!$G$127,9,RIGHT('Introducción de datos'!$C$16,LEN('Introducción de datos'!$C$16)-1),1,1)</f>
        <v>27070</v>
      </c>
      <c r="F24" s="424">
        <f ca="1">OFFSET('Introducción de datos'!$G$127,10,RIGHT('Introducción de datos'!$C$16,LEN('Introducción de datos'!$C$16)-1),1,1)</f>
        <v>11481</v>
      </c>
      <c r="G24" s="536">
        <f t="shared" ref="G24" ca="1" si="11">+IF(ISERROR(F24/E24),0,F24/E24)</f>
        <v>0.42412264499445879</v>
      </c>
      <c r="H24" s="536"/>
      <c r="I24" s="536"/>
      <c r="J24" s="536"/>
      <c r="K24" s="536"/>
      <c r="L24" s="559" t="s">
        <v>418</v>
      </c>
      <c r="M24" s="554"/>
      <c r="N24" s="554"/>
      <c r="O24" s="554"/>
      <c r="P24" s="554"/>
      <c r="Q24" s="555"/>
      <c r="S24" s="312"/>
      <c r="T24" s="311"/>
      <c r="U24" s="311"/>
      <c r="V24" s="311"/>
      <c r="W24" s="311"/>
      <c r="X24" s="311"/>
      <c r="Y24" s="239"/>
      <c r="Z24" s="313"/>
      <c r="AA24" s="407"/>
      <c r="AB24" s="407"/>
      <c r="AC24" s="407"/>
      <c r="AD24" s="407"/>
      <c r="AE24" s="407"/>
      <c r="AF24" s="407"/>
      <c r="AG24" s="239"/>
      <c r="AH24" s="239"/>
      <c r="AI24" s="239"/>
    </row>
    <row r="25" spans="1:35" ht="298" customHeight="1">
      <c r="B25" s="556" t="str">
        <f>+'Introducción de datos'!B138</f>
        <v>KP-1b(M): Porcentaje de personas transgénero cubiertas por programas de prevención del VIH; paquete definido de servicios</v>
      </c>
      <c r="C25" s="557"/>
      <c r="D25" s="558"/>
      <c r="E25" s="424">
        <f ca="1">OFFSET('Introducción de datos'!$G$127,11,RIGHT('Introducción de datos'!$C$16,LEN('Introducción de datos'!$C$16)-1),1,1)</f>
        <v>1709</v>
      </c>
      <c r="F25" s="424">
        <f ca="1">OFFSET('Introducción de datos'!$G$127,12,RIGHT('Introducción de datos'!$C$16,LEN('Introducción de datos'!$C$16)-1),1,1)</f>
        <v>791</v>
      </c>
      <c r="G25" s="536">
        <f t="shared" ref="G25" ca="1" si="12">+IF(ISERROR(F25/E25),0,F25/E25)</f>
        <v>0.46284376828554713</v>
      </c>
      <c r="H25" s="536"/>
      <c r="I25" s="536"/>
      <c r="J25" s="536"/>
      <c r="K25" s="536"/>
      <c r="L25" s="553" t="s">
        <v>419</v>
      </c>
      <c r="M25" s="554"/>
      <c r="N25" s="554"/>
      <c r="O25" s="554"/>
      <c r="P25" s="554"/>
      <c r="Q25" s="555"/>
      <c r="S25" s="312"/>
      <c r="T25" s="311"/>
      <c r="U25" s="311"/>
      <c r="V25" s="311"/>
      <c r="W25" s="311"/>
      <c r="X25" s="311"/>
      <c r="Y25" s="239"/>
      <c r="Z25" s="313"/>
      <c r="AA25" s="407"/>
      <c r="AB25" s="407"/>
      <c r="AC25" s="407"/>
      <c r="AD25" s="407"/>
      <c r="AE25" s="407"/>
      <c r="AF25" s="407"/>
      <c r="AG25" s="239"/>
      <c r="AH25" s="239"/>
      <c r="AI25" s="239"/>
    </row>
    <row r="26" spans="1:35" ht="189" customHeight="1">
      <c r="B26" s="556" t="str">
        <f>+'Introducción de datos'!B140</f>
        <v>KP-1c(M): Porcentaje de trabajadores sexuales cubiertos por programas de prevención del VIH (paquete definido de servicios)</v>
      </c>
      <c r="C26" s="557"/>
      <c r="D26" s="558"/>
      <c r="E26" s="424">
        <f ca="1">OFFSET('Introducción de datos'!$G$127,13,RIGHT('Introducción de datos'!$C$16,LEN('Introducción de datos'!$C$16)-1),1,1)</f>
        <v>10644</v>
      </c>
      <c r="F26" s="424">
        <f ca="1">OFFSET('Introducción de datos'!$G$127,14,RIGHT('Introducción de datos'!$C$16,LEN('Introducción de datos'!$C$16)-1),1,1)</f>
        <v>3831</v>
      </c>
      <c r="G26" s="536">
        <f t="shared" ref="G26:G28" ca="1" si="13">+IF(ISERROR(F26/E26),0,F26/E26)</f>
        <v>0.35992108229988728</v>
      </c>
      <c r="H26" s="536"/>
      <c r="I26" s="536"/>
      <c r="J26" s="536"/>
      <c r="K26" s="536"/>
      <c r="L26" s="553" t="s">
        <v>420</v>
      </c>
      <c r="M26" s="554"/>
      <c r="N26" s="554"/>
      <c r="O26" s="554"/>
      <c r="P26" s="554"/>
      <c r="Q26" s="555"/>
      <c r="S26" s="312"/>
      <c r="T26" s="311"/>
      <c r="U26" s="311"/>
      <c r="V26" s="311"/>
      <c r="W26" s="311"/>
      <c r="X26" s="311"/>
      <c r="Y26" s="239"/>
      <c r="Z26" s="313"/>
      <c r="AA26" s="407"/>
      <c r="AB26" s="407"/>
      <c r="AC26" s="407"/>
      <c r="AD26" s="407"/>
      <c r="AE26" s="407"/>
      <c r="AF26" s="407"/>
      <c r="AG26" s="239"/>
      <c r="AH26" s="239"/>
      <c r="AI26" s="239"/>
    </row>
    <row r="27" spans="1:35" ht="247" customHeight="1">
      <c r="B27" s="627" t="str">
        <f>+'Introducción de datos'!B136</f>
        <v>KP-1a(M): Porcentaje de hombres que tienen relaciones sexuales con hombres cubiertos por programas de prevención del VIH (paquetes definidos de servicios)</v>
      </c>
      <c r="C27" s="628"/>
      <c r="D27" s="629"/>
      <c r="E27" s="424">
        <f ca="1">OFFSET('Introducción de datos'!$G$127,15,RIGHT('Introducción de datos'!$C$16,LEN('Introducción de datos'!$C$16)-1),1,1)</f>
        <v>32500</v>
      </c>
      <c r="F27" s="424">
        <f ca="1">OFFSET('Introducción de datos'!$G$127,16,RIGHT('Introducción de datos'!$C$16,LEN('Introducción de datos'!$C$16)-1),1,1)</f>
        <v>3274</v>
      </c>
      <c r="G27" s="624">
        <f t="shared" ca="1" si="13"/>
        <v>0.10073846153846154</v>
      </c>
      <c r="H27" s="625"/>
      <c r="I27" s="625"/>
      <c r="J27" s="625"/>
      <c r="K27" s="626"/>
      <c r="L27" s="621" t="s">
        <v>421</v>
      </c>
      <c r="M27" s="622"/>
      <c r="N27" s="622"/>
      <c r="O27" s="622"/>
      <c r="P27" s="622"/>
      <c r="Q27" s="623"/>
      <c r="S27" s="312"/>
      <c r="T27" s="311"/>
      <c r="U27" s="311"/>
      <c r="V27" s="311"/>
      <c r="W27" s="311"/>
      <c r="X27" s="311"/>
      <c r="Y27" s="239"/>
      <c r="Z27" s="239"/>
      <c r="AA27" s="239"/>
      <c r="AB27" s="239"/>
      <c r="AC27" s="239"/>
      <c r="AD27" s="239"/>
      <c r="AE27" s="239"/>
      <c r="AF27" s="239"/>
      <c r="AG27" s="239"/>
      <c r="AH27" s="239"/>
      <c r="AI27" s="239"/>
    </row>
    <row r="28" spans="1:35" ht="107.25" customHeight="1">
      <c r="A28" t="s">
        <v>221</v>
      </c>
      <c r="B28" s="627" t="str">
        <f>+'Introducción de datos'!B144</f>
        <v>TCS-3.1: Porcentaje de personas que viven con el VIH que están en TARV, que tienen una carga viral suprimida a los 12 meses (&lt;1000 copias/ml)</v>
      </c>
      <c r="C28" s="628"/>
      <c r="D28" s="629"/>
      <c r="E28" s="424">
        <f ca="1">OFFSET('Introducción de datos'!$G$127,17,RIGHT('Introducción de datos'!$C$16,LEN('Introducción de datos'!$C$16)-1),1,1)</f>
        <v>0</v>
      </c>
      <c r="F28" s="424" t="str">
        <f ca="1">OFFSET('Introducción de datos'!$G$127,18,RIGHT('Introducción de datos'!$C$16,LEN('Introducción de datos'!$C$16)-1),1,1)</f>
        <v>N/D</v>
      </c>
      <c r="G28" s="624">
        <f t="shared" ca="1" si="13"/>
        <v>0</v>
      </c>
      <c r="H28" s="625"/>
      <c r="I28" s="625"/>
      <c r="J28" s="625"/>
      <c r="K28" s="626"/>
      <c r="L28" s="636" t="s">
        <v>397</v>
      </c>
      <c r="M28" s="637"/>
      <c r="N28" s="637"/>
      <c r="O28" s="637"/>
      <c r="P28" s="637"/>
      <c r="Q28" s="638"/>
      <c r="S28" s="312"/>
      <c r="T28" s="311" t="e">
        <f>IF($K23&gt;T$19,IF($K23&lt;=T$20,$K23,NA()),NA())</f>
        <v>#N/A</v>
      </c>
      <c r="U28" s="311" t="e">
        <f>IF($K23&gt;U$19,IF($K23&lt;=U$20,$K23,NA()),NA())</f>
        <v>#N/A</v>
      </c>
      <c r="V28" s="311" t="e">
        <f>IF($K23&gt;V$19,IF($K23&lt;=V$20,$K23,NA()),NA())</f>
        <v>#N/A</v>
      </c>
      <c r="W28" s="311" t="e">
        <f>IF($K23&gt;W$19,IF($K23&lt;=W$20,$K23,NA()),NA())</f>
        <v>#N/A</v>
      </c>
      <c r="X28" s="311" t="e">
        <f>IF($K23&gt;X$19,IF($K23&lt;=X$20,1,NA()),NA())</f>
        <v>#N/A</v>
      </c>
      <c r="Y28" s="239"/>
      <c r="Z28" s="239"/>
      <c r="AA28" s="239"/>
      <c r="AB28" s="239"/>
      <c r="AC28" s="239"/>
      <c r="AD28" s="239"/>
      <c r="AE28" s="239"/>
      <c r="AF28" s="239"/>
      <c r="AG28" s="239"/>
      <c r="AH28" s="239"/>
      <c r="AI28" s="239"/>
    </row>
    <row r="29" spans="1:35" ht="37.4" customHeight="1">
      <c r="B29" s="633" t="s">
        <v>222</v>
      </c>
      <c r="C29" s="634"/>
      <c r="D29" s="634"/>
      <c r="E29" s="634"/>
      <c r="F29" s="634"/>
      <c r="G29" s="634"/>
      <c r="H29" s="634"/>
      <c r="I29" s="634"/>
      <c r="J29" s="634"/>
      <c r="K29" s="634"/>
      <c r="L29" s="634"/>
      <c r="M29" s="634"/>
      <c r="N29" s="634"/>
      <c r="O29" s="634"/>
      <c r="P29" s="634"/>
      <c r="Q29" s="635"/>
      <c r="S29" s="312"/>
      <c r="T29" s="311"/>
      <c r="U29" s="311"/>
      <c r="V29" s="311"/>
      <c r="W29" s="311"/>
      <c r="X29" s="311"/>
      <c r="Y29" s="239"/>
      <c r="Z29" s="239"/>
      <c r="AA29" s="239"/>
      <c r="AB29" s="239"/>
      <c r="AC29" s="239"/>
      <c r="AD29" s="239"/>
      <c r="AE29" s="239"/>
      <c r="AF29" s="239"/>
      <c r="AG29" s="239"/>
      <c r="AH29" s="239"/>
      <c r="AI29" s="239"/>
    </row>
    <row r="30" spans="1:35" ht="219" customHeight="1">
      <c r="B30" s="627" t="str">
        <f>+'Introducción de datos'!B148</f>
        <v xml:space="preserve">HIV I-9a    % de Hombres que tienen relaciones sexuales con hombres infectados por el VIH </v>
      </c>
      <c r="C30" s="628"/>
      <c r="D30" s="629"/>
      <c r="E30" s="425">
        <f ca="1">OFFSET('Introducción de datos'!$G$127,21,RIGHT('Introducción de datos'!$C$16,LEN('Introducción de datos'!$C$16)-1),1,1)</f>
        <v>7.1999999999999995E-2</v>
      </c>
      <c r="F30" s="425">
        <f ca="1">OFFSET('Introducción de datos'!$G$127,22,RIGHT('Introducción de datos'!$C$16,LEN('Introducción de datos'!$C$16)-1),1,1)</f>
        <v>0.13300000000000001</v>
      </c>
      <c r="G30" s="624">
        <f t="shared" ref="G30:G34" ca="1" si="14">+IF(ISERROR(F30/E30),0,F30/E30)</f>
        <v>1.8472222222222225</v>
      </c>
      <c r="H30" s="625"/>
      <c r="I30" s="625"/>
      <c r="J30" s="625"/>
      <c r="K30" s="626"/>
      <c r="L30" s="630" t="s">
        <v>422</v>
      </c>
      <c r="M30" s="631"/>
      <c r="N30" s="631"/>
      <c r="O30" s="631"/>
      <c r="P30" s="631"/>
      <c r="Q30" s="632"/>
      <c r="S30" s="312"/>
      <c r="T30" s="311" t="e">
        <f>IF(#REF!&gt;T$19,IF(#REF!&lt;=T$20,#REF!,NA()),NA())</f>
        <v>#REF!</v>
      </c>
      <c r="U30" s="311" t="e">
        <f>IF(#REF!&gt;U$19,IF(#REF!&lt;=U$20,#REF!,NA()),NA())</f>
        <v>#REF!</v>
      </c>
      <c r="V30" s="311" t="e">
        <f>IF(#REF!&gt;V$19,IF(#REF!&lt;=V$20,#REF!,NA()),NA())</f>
        <v>#REF!</v>
      </c>
      <c r="W30" s="311" t="e">
        <f>IF(#REF!&gt;W$19,IF(#REF!&lt;=W$20,#REF!,NA()),NA())</f>
        <v>#REF!</v>
      </c>
      <c r="X30" s="311" t="e">
        <f>IF(#REF!&gt;X$19,IF(#REF!&lt;=X$20,1,NA()),NA())</f>
        <v>#REF!</v>
      </c>
      <c r="Y30" s="239"/>
      <c r="Z30" s="239"/>
      <c r="AA30" s="239"/>
      <c r="AB30" s="239"/>
      <c r="AC30" s="239"/>
      <c r="AD30" s="239"/>
      <c r="AE30" s="239"/>
      <c r="AF30" s="239"/>
      <c r="AG30" s="239"/>
      <c r="AH30" s="239"/>
      <c r="AI30" s="239"/>
    </row>
    <row r="31" spans="1:35" ht="182.5" customHeight="1">
      <c r="B31" s="627" t="str">
        <f>+'Introducción de datos'!B150</f>
        <v>HIV I-10   % de Trabajadoras sexuales  femeninas y masculinos infectados por el VIH</v>
      </c>
      <c r="C31" s="628"/>
      <c r="D31" s="629"/>
      <c r="E31" s="426">
        <f ca="1">OFFSET('Introducción de datos'!$G$127,23,RIGHT('Introducción de datos'!$C$16,LEN('Introducción de datos'!$C$16)-1),1,1)</f>
        <v>3.6999999999999998E-2</v>
      </c>
      <c r="F31" s="425">
        <f ca="1">OFFSET('Introducción de datos'!$G$127,24,RIGHT('Introducción de datos'!$C$16,LEN('Introducción de datos'!$C$16)-1),1,1)</f>
        <v>3.4000000000000002E-2</v>
      </c>
      <c r="G31" s="624">
        <f t="shared" ca="1" si="14"/>
        <v>0.91891891891891908</v>
      </c>
      <c r="H31" s="625"/>
      <c r="I31" s="625"/>
      <c r="J31" s="625"/>
      <c r="K31" s="626"/>
      <c r="L31" s="621" t="s">
        <v>423</v>
      </c>
      <c r="M31" s="622"/>
      <c r="N31" s="622"/>
      <c r="O31" s="622"/>
      <c r="P31" s="622"/>
      <c r="Q31" s="623"/>
      <c r="S31" s="312"/>
      <c r="T31" s="311" t="e">
        <f>IF($K28&gt;T$19,IF($K28&lt;=T$20,$K28,NA()),NA())</f>
        <v>#N/A</v>
      </c>
      <c r="U31" s="311" t="e">
        <f>IF($K28&gt;U$19,IF($K28&lt;=U$20,$K28,NA()),NA())</f>
        <v>#N/A</v>
      </c>
      <c r="V31" s="311" t="e">
        <f>IF($K28&gt;V$19,IF($K28&lt;=V$20,$K28,NA()),NA())</f>
        <v>#N/A</v>
      </c>
      <c r="W31" s="311" t="e">
        <f>IF($K28&gt;W$19,IF($K28&lt;=W$20,$K28,NA()),NA())</f>
        <v>#N/A</v>
      </c>
      <c r="X31" s="311" t="e">
        <f>IF($K28&gt;X$19,IF($K28&lt;=X$20,1,NA()),NA())</f>
        <v>#N/A</v>
      </c>
      <c r="Y31" s="239"/>
      <c r="Z31" s="239"/>
      <c r="AA31" s="239"/>
      <c r="AB31" s="239"/>
      <c r="AC31" s="239"/>
      <c r="AD31" s="239"/>
      <c r="AE31" s="239"/>
      <c r="AF31" s="239"/>
      <c r="AG31" s="239"/>
      <c r="AH31" s="239"/>
      <c r="AI31" s="239"/>
    </row>
    <row r="32" spans="1:35" ht="181.5" customHeight="1">
      <c r="B32" s="627" t="str">
        <f>+'Introducción de datos'!B152</f>
        <v>HIV I-9b   % de Población Transgénero infectada por el VIH</v>
      </c>
      <c r="C32" s="628"/>
      <c r="D32" s="629"/>
      <c r="E32" s="427">
        <f ca="1">OFFSET('Introducción de datos'!$G$127,25,RIGHT('Introducción de datos'!$C$16,LEN('Introducción de datos'!$C$16)-1),1,1)</f>
        <v>6.9000000000000006E-2</v>
      </c>
      <c r="F32" s="425">
        <f ca="1">OFFSET('Introducción de datos'!$G$127,26,RIGHT('Introducción de datos'!$C$16,LEN('Introducción de datos'!$C$16)-1),1,1)</f>
        <v>3.3000000000000002E-2</v>
      </c>
      <c r="G32" s="624">
        <f t="shared" ca="1" si="14"/>
        <v>0.47826086956521735</v>
      </c>
      <c r="H32" s="625"/>
      <c r="I32" s="625"/>
      <c r="J32" s="625"/>
      <c r="K32" s="626"/>
      <c r="L32" s="621" t="s">
        <v>414</v>
      </c>
      <c r="M32" s="622"/>
      <c r="N32" s="622"/>
      <c r="O32" s="622"/>
      <c r="P32" s="622"/>
      <c r="Q32" s="623"/>
      <c r="S32" s="312"/>
      <c r="T32" s="311"/>
      <c r="U32" s="311"/>
      <c r="V32" s="311"/>
      <c r="W32" s="311"/>
      <c r="X32" s="311"/>
      <c r="Y32" s="239"/>
      <c r="Z32" s="239"/>
      <c r="AA32" s="239"/>
      <c r="AB32" s="239"/>
      <c r="AC32" s="239"/>
      <c r="AD32" s="239"/>
      <c r="AE32" s="239"/>
      <c r="AF32" s="239"/>
      <c r="AG32" s="239"/>
      <c r="AH32" s="239"/>
      <c r="AI32" s="239"/>
    </row>
    <row r="33" spans="2:17" ht="177" customHeight="1">
      <c r="B33" s="627" t="str">
        <f>+'Introducción de datos'!B154</f>
        <v>HIV O-4a   % de Hombres que reportan haber utilizado condón en su ultima relación sexual anal con una pareja masculina</v>
      </c>
      <c r="C33" s="628"/>
      <c r="D33" s="629"/>
      <c r="E33" s="428">
        <f ca="1">OFFSET('Introducción de datos'!$G$127,27,RIGHT('Introducción de datos'!$C$16,LEN('Introducción de datos'!$C$16)-1),1,1)</f>
        <v>0.626</v>
      </c>
      <c r="F33" s="427">
        <f ca="1">OFFSET('Introducción de datos'!$G$127,28,RIGHT('Introducción de datos'!$C$16,LEN('Introducción de datos'!$C$16)-1),1,1)</f>
        <v>0.53</v>
      </c>
      <c r="G33" s="624">
        <f t="shared" ca="1" si="14"/>
        <v>0.84664536741214058</v>
      </c>
      <c r="H33" s="625"/>
      <c r="I33" s="625"/>
      <c r="J33" s="625"/>
      <c r="K33" s="626"/>
      <c r="L33" s="621" t="s">
        <v>396</v>
      </c>
      <c r="M33" s="622"/>
      <c r="N33" s="622"/>
      <c r="O33" s="622"/>
      <c r="P33" s="622"/>
      <c r="Q33" s="623"/>
    </row>
    <row r="34" spans="2:17" ht="103" customHeight="1">
      <c r="B34" s="627" t="str">
        <f>+'Introducción de datos'!B156</f>
        <v>HIV O-1: % de adultos y niños con VIH quienes continúan en tratamiento 12 meses después de haber iniciado la terapia</v>
      </c>
      <c r="C34" s="628"/>
      <c r="D34" s="629"/>
      <c r="E34" s="428">
        <f ca="1">OFFSET('Introducción de datos'!$G$127,29,RIGHT('Introducción de datos'!$C$16,LEN('Introducción de datos'!$C$16)-1),1,1)</f>
        <v>0.88</v>
      </c>
      <c r="F34" s="427" t="str">
        <f ca="1">OFFSET('Introducción de datos'!$G$127,30,RIGHT('Introducción de datos'!$C$16,LEN('Introducción de datos'!$C$16)-1),1,1)</f>
        <v>N/D</v>
      </c>
      <c r="G34" s="624">
        <f t="shared" ca="1" si="14"/>
        <v>0</v>
      </c>
      <c r="H34" s="625"/>
      <c r="I34" s="625"/>
      <c r="J34" s="625"/>
      <c r="K34" s="626"/>
      <c r="L34" s="621" t="s">
        <v>397</v>
      </c>
      <c r="M34" s="622"/>
      <c r="N34" s="622"/>
      <c r="O34" s="622"/>
      <c r="P34" s="622"/>
      <c r="Q34" s="623"/>
    </row>
  </sheetData>
  <sheetProtection selectLockedCells="1" selectUnlockedCells="1"/>
  <mergeCells count="62">
    <mergeCell ref="L31:Q31"/>
    <mergeCell ref="L32:Q32"/>
    <mergeCell ref="B31:D31"/>
    <mergeCell ref="G31:K31"/>
    <mergeCell ref="B24:D24"/>
    <mergeCell ref="G24:K24"/>
    <mergeCell ref="L24:Q24"/>
    <mergeCell ref="B25:D25"/>
    <mergeCell ref="G25:K25"/>
    <mergeCell ref="L25:Q25"/>
    <mergeCell ref="B26:D26"/>
    <mergeCell ref="G26:K26"/>
    <mergeCell ref="B28:D28"/>
    <mergeCell ref="G28:K28"/>
    <mergeCell ref="L28:Q28"/>
    <mergeCell ref="B29:Q29"/>
    <mergeCell ref="B34:D34"/>
    <mergeCell ref="G34:K34"/>
    <mergeCell ref="L34:Q34"/>
    <mergeCell ref="G32:K32"/>
    <mergeCell ref="B33:D33"/>
    <mergeCell ref="G33:K33"/>
    <mergeCell ref="L33:Q33"/>
    <mergeCell ref="B32:D32"/>
    <mergeCell ref="B30:D30"/>
    <mergeCell ref="G30:K30"/>
    <mergeCell ref="L30:Q30"/>
    <mergeCell ref="B23:D23"/>
    <mergeCell ref="G23:K23"/>
    <mergeCell ref="L23:Q23"/>
    <mergeCell ref="B27:D27"/>
    <mergeCell ref="G27:K27"/>
    <mergeCell ref="L27:Q27"/>
    <mergeCell ref="L26:Q26"/>
    <mergeCell ref="B21:D21"/>
    <mergeCell ref="G21:K21"/>
    <mergeCell ref="L21:Q21"/>
    <mergeCell ref="B22:D22"/>
    <mergeCell ref="G22:K22"/>
    <mergeCell ref="L22:Q22"/>
    <mergeCell ref="B20:D20"/>
    <mergeCell ref="G20:K20"/>
    <mergeCell ref="L20:Q20"/>
    <mergeCell ref="D5:N5"/>
    <mergeCell ref="F6:K6"/>
    <mergeCell ref="B8:E8"/>
    <mergeCell ref="F8:K8"/>
    <mergeCell ref="M8:R8"/>
    <mergeCell ref="C9:E9"/>
    <mergeCell ref="G9:K9"/>
    <mergeCell ref="M9:Q9"/>
    <mergeCell ref="E18:K18"/>
    <mergeCell ref="B19:D19"/>
    <mergeCell ref="G19:H19"/>
    <mergeCell ref="I19:J19"/>
    <mergeCell ref="L19:Q19"/>
    <mergeCell ref="B2:Q2"/>
    <mergeCell ref="C3:D3"/>
    <mergeCell ref="E3:K3"/>
    <mergeCell ref="O3:P3"/>
    <mergeCell ref="C4:D4"/>
    <mergeCell ref="E4:L4"/>
  </mergeCells>
  <conditionalFormatting sqref="C4:D4">
    <cfRule type="cellIs" dxfId="14" priority="1" stopIfTrue="1" operator="equal">
      <formula>"C"</formula>
    </cfRule>
    <cfRule type="cellIs" dxfId="13" priority="2" stopIfTrue="1" operator="equal">
      <formula>"B2"</formula>
    </cfRule>
    <cfRule type="cellIs" dxfId="12" priority="3" stopIfTrue="1" operator="equal">
      <formula>"B1"</formula>
    </cfRule>
  </conditionalFormatting>
  <conditionalFormatting sqref="G30:G33 G20:G28">
    <cfRule type="cellIs" dxfId="2" priority="4" stopIfTrue="1" operator="between">
      <formula>0</formula>
      <formula>0.599</formula>
    </cfRule>
    <cfRule type="cellIs" dxfId="1" priority="5" stopIfTrue="1" operator="between">
      <formula>0.6</formula>
      <formula>0.899</formula>
    </cfRule>
    <cfRule type="cellIs" dxfId="0" priority="6" stopIfTrue="1" operator="greaterThanOrEqual">
      <formula>0.9</formula>
    </cfRule>
  </conditionalFormatting>
  <conditionalFormatting sqref="G34">
    <cfRule type="cellIs" dxfId="11" priority="7" stopIfTrue="1" operator="between">
      <formula>0</formula>
      <formula>0.599</formula>
    </cfRule>
    <cfRule type="cellIs" dxfId="10" priority="8" stopIfTrue="1" operator="between">
      <formula>0.6</formula>
      <formula>0.899</formula>
    </cfRule>
    <cfRule type="cellIs" dxfId="9" priority="9" stopIfTrue="1" operator="greaterThanOrEqual">
      <formula>0.9</formula>
    </cfRule>
  </conditionalFormatting>
  <pageMargins left="0.70833333333333337" right="0.70833333333333337" top="0.74791666666666667" bottom="0.74861111111111112" header="0.51180555555555551" footer="0.31527777777777777"/>
  <pageSetup paperSize="9" scale="64" firstPageNumber="0" orientation="landscape" horizontalDpi="300" verticalDpi="300" r:id="rId1"/>
  <headerFooter alignWithMargins="0">
    <oddFooter>&amp;L&amp;F&amp;C&amp;A&amp;R&amp;D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27"/>
  </sheetPr>
  <dimension ref="A1:IV41"/>
  <sheetViews>
    <sheetView showGridLines="0" zoomScale="80" zoomScaleNormal="80" workbookViewId="0">
      <selection activeCell="I30" sqref="I30:N30"/>
    </sheetView>
  </sheetViews>
  <sheetFormatPr baseColWidth="10" defaultColWidth="9.1796875" defaultRowHeight="11.5"/>
  <cols>
    <col min="1" max="1" width="1.1796875" style="314" customWidth="1"/>
    <col min="2" max="2" width="19.26953125" style="314" customWidth="1"/>
    <col min="3" max="3" width="1.1796875" style="314" customWidth="1"/>
    <col min="4" max="4" width="17.1796875" style="314" customWidth="1"/>
    <col min="5" max="5" width="17.54296875" style="314" customWidth="1"/>
    <col min="6" max="6" width="9.7265625" style="314" customWidth="1"/>
    <col min="7" max="7" width="13" style="314" customWidth="1"/>
    <col min="8" max="8" width="4.26953125" style="314" customWidth="1"/>
    <col min="9" max="9" width="15.81640625" style="314" customWidth="1"/>
    <col min="10" max="10" width="3.54296875" style="314" customWidth="1"/>
    <col min="11" max="11" width="7.54296875" style="315" customWidth="1"/>
    <col min="12" max="12" width="22" style="314" customWidth="1"/>
    <col min="13" max="13" width="12" style="314" customWidth="1"/>
    <col min="14" max="14" width="5.453125" style="314" customWidth="1"/>
    <col min="15" max="15" width="2.54296875" style="314" customWidth="1"/>
    <col min="16" max="16384" width="9.1796875" style="314"/>
  </cols>
  <sheetData>
    <row r="1" spans="1:256" ht="38.25" customHeight="1"/>
    <row r="2" spans="1:256" ht="27.75" customHeight="1">
      <c r="A2"/>
      <c r="B2" s="527" t="str">
        <f>+"Cuadro de mando:  "&amp;"  "&amp;+'Introducción de datos'!C4&amp;" - "&amp;'Introducción de datos'!G6</f>
        <v>Cuadro de mando:    El Salvador - VIH / SIDA</v>
      </c>
      <c r="C2" s="527"/>
      <c r="D2" s="527"/>
      <c r="E2" s="527"/>
      <c r="F2" s="527"/>
      <c r="G2" s="527"/>
      <c r="H2" s="527"/>
      <c r="I2" s="527"/>
      <c r="J2" s="527"/>
      <c r="K2" s="527"/>
      <c r="L2" s="527"/>
      <c r="M2" s="527"/>
      <c r="N2" s="527"/>
      <c r="O2" s="316"/>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8.5">
      <c r="A3"/>
      <c r="B3" s="262" t="str">
        <f>+'Introducción de datos'!G8</f>
        <v>SSF/NMF</v>
      </c>
      <c r="C3" s="515" t="str">
        <f>+'Introducción de datos'!I8</f>
        <v>Fase 2</v>
      </c>
      <c r="D3" s="515"/>
      <c r="E3" s="430"/>
      <c r="F3" s="430"/>
      <c r="G3" s="430"/>
      <c r="H3" s="430"/>
      <c r="I3" s="430"/>
      <c r="J3" s="430"/>
      <c r="K3" s="430"/>
      <c r="L3" s="262" t="str">
        <f>+'Introducción de datos'!B16</f>
        <v>Periodo:</v>
      </c>
      <c r="M3" s="263" t="str">
        <f>+'Introducción de datos'!C16</f>
        <v>P1</v>
      </c>
      <c r="N3" s="26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4.5">
      <c r="A4"/>
      <c r="B4" s="262" t="str">
        <f>+'Introducción de datos'!B12</f>
        <v>Ultima calificación:</v>
      </c>
      <c r="C4" s="534" t="str">
        <f>+'Introducción de datos'!C12</f>
        <v>A2</v>
      </c>
      <c r="D4" s="534"/>
      <c r="E4" s="516" t="str">
        <f>+'Introducción de datos'!C8</f>
        <v xml:space="preserve">Ministerio de Salud </v>
      </c>
      <c r="F4" s="516"/>
      <c r="G4" s="516"/>
      <c r="H4" s="516"/>
      <c r="I4" s="516"/>
      <c r="J4" s="516"/>
      <c r="K4" s="516"/>
      <c r="L4" s="262" t="str">
        <f>+'Introducción de datos'!D16</f>
        <v>Desde:</v>
      </c>
      <c r="M4" s="264" t="str">
        <f>+'Introducción de datos'!E16</f>
        <v>1 de enero de 2019</v>
      </c>
      <c r="N4" s="26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18.75" customHeight="1">
      <c r="A5"/>
      <c r="B5" s="262"/>
      <c r="C5" s="262"/>
      <c r="D5" s="265"/>
      <c r="E5" s="516" t="str">
        <f>+'Introducción de datos'!G4</f>
        <v>INNOVANDO SERVICIOS, REDUCIENDO RIESGOS, RENOVANDO VIDAS EN EL SALVADOR</v>
      </c>
      <c r="F5" s="516"/>
      <c r="G5" s="516"/>
      <c r="H5" s="516"/>
      <c r="I5" s="516"/>
      <c r="J5" s="516"/>
      <c r="K5" s="516"/>
      <c r="L5" s="262" t="str">
        <f>+'Introducción de datos'!F16</f>
        <v>Hasta:</v>
      </c>
      <c r="M5" s="264" t="str">
        <f>+'Introducción de datos'!G16</f>
        <v>30 de junio 2019</v>
      </c>
      <c r="N5" s="264"/>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2.5" customHeight="1">
      <c r="A6"/>
      <c r="B6" s="74"/>
      <c r="C6" s="262"/>
      <c r="D6" s="265"/>
      <c r="E6" s="562" t="s">
        <v>220</v>
      </c>
      <c r="F6" s="562"/>
      <c r="G6" s="562"/>
      <c r="H6" s="562"/>
      <c r="I6" s="562"/>
      <c r="J6" s="562"/>
      <c r="K6" s="562"/>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4.5" customHeight="1">
      <c r="B7" s="317"/>
      <c r="C7" s="317"/>
      <c r="D7" s="317"/>
      <c r="E7" s="317"/>
      <c r="F7" s="317"/>
      <c r="G7" s="317"/>
      <c r="H7" s="317"/>
      <c r="I7" s="317"/>
      <c r="J7" s="317"/>
      <c r="K7" s="317"/>
      <c r="L7" s="318"/>
      <c r="M7" s="318"/>
      <c r="N7" s="319"/>
    </row>
    <row r="8" spans="1:256" ht="21" customHeight="1">
      <c r="B8" s="563" t="s">
        <v>223</v>
      </c>
      <c r="C8" s="563"/>
      <c r="D8" s="563"/>
      <c r="E8" s="563"/>
      <c r="F8" s="563"/>
      <c r="G8" s="563"/>
      <c r="H8" s="563"/>
      <c r="I8" s="563"/>
      <c r="J8" s="563"/>
      <c r="K8" s="563"/>
      <c r="L8" s="563"/>
      <c r="M8" s="563"/>
      <c r="N8" s="563"/>
    </row>
    <row r="9" spans="1:256" ht="3.75" customHeight="1">
      <c r="B9" s="317"/>
      <c r="C9" s="317"/>
      <c r="D9" s="317"/>
      <c r="E9" s="317"/>
      <c r="F9" s="317"/>
      <c r="G9" s="317"/>
      <c r="H9" s="317"/>
      <c r="I9" s="317"/>
      <c r="J9" s="317"/>
      <c r="K9" s="317"/>
      <c r="L9" s="318"/>
      <c r="M9" s="318"/>
      <c r="N9" s="319"/>
    </row>
    <row r="10" spans="1:256" s="320" customFormat="1" ht="25.5" customHeight="1">
      <c r="B10" s="564" t="s">
        <v>224</v>
      </c>
      <c r="C10" s="564"/>
      <c r="D10" s="565" t="s">
        <v>219</v>
      </c>
      <c r="E10" s="565"/>
      <c r="F10" s="565"/>
      <c r="G10" s="565"/>
      <c r="H10" s="321"/>
      <c r="I10" s="565" t="s">
        <v>220</v>
      </c>
      <c r="J10" s="565"/>
      <c r="K10" s="565"/>
      <c r="L10" s="565"/>
      <c r="M10" s="565"/>
      <c r="N10" s="565"/>
    </row>
    <row r="11" spans="1:256" s="320" customFormat="1" ht="28.5" customHeight="1">
      <c r="B11" s="322" t="s">
        <v>225</v>
      </c>
      <c r="C11" s="323"/>
      <c r="D11" s="560" t="str">
        <f>IF(ISBLANK(Financiamiento!C9),"",(Financiamiento!C9))</f>
        <v>El periodo 1: El año  2019, tiene un presupuesto asignado de $5,151,444.00 de los cuales al 30 de junio de 2019 se han recibido en las cuentas bancarias  un monto de $4,086,490.00 que corresponde al presupuesto asignado para el primer semestre del año 2019.</v>
      </c>
      <c r="E11" s="560"/>
      <c r="F11" s="560"/>
      <c r="G11" s="560"/>
      <c r="H11" s="324"/>
      <c r="I11" s="561"/>
      <c r="J11" s="561"/>
      <c r="K11" s="561"/>
      <c r="L11" s="561"/>
      <c r="M11" s="561"/>
      <c r="N11" s="561"/>
    </row>
    <row r="12" spans="1:256" s="320" customFormat="1" ht="27.75" customHeight="1">
      <c r="B12" s="325" t="s">
        <v>226</v>
      </c>
      <c r="C12" s="326"/>
      <c r="D12" s="560" t="str">
        <f>IF(ISBLANK(Financiamiento!C23),"",(Financiamiento!C23))</f>
        <v>Durante el primer semestre del año 2019 MINSAL Y PLAN  han ejecutado gastos validados por $190,465.85 de los cuales $40,995.26 corresponde a gastos del módulo Gestión de Programas  que el 6% ,  el módulo: Programa de Prevención integral para HSH por un monto de $ 100,759.00  que corresponde al 5% .  Del  presupuesto  2019  el 79% de fondos de MINSAL estan en proceso en la UACI y un 33% de PLAN esta en proceso de validacion del gasto mas saldo de caja que se presento.</v>
      </c>
      <c r="E12" s="560"/>
      <c r="F12" s="560"/>
      <c r="G12" s="560"/>
      <c r="H12" s="324"/>
      <c r="I12" s="566"/>
      <c r="J12" s="566"/>
      <c r="K12" s="566"/>
      <c r="L12" s="566"/>
      <c r="M12" s="566"/>
      <c r="N12" s="566"/>
    </row>
    <row r="13" spans="1:256" s="320" customFormat="1" ht="26.25" customHeight="1">
      <c r="B13" s="325" t="s">
        <v>227</v>
      </c>
      <c r="C13" s="326"/>
      <c r="D13" s="560" t="str">
        <f>IF(ISBLANK(Financiamiento!I9),"",(Financiamiento!I9))</f>
        <v xml:space="preserve">El Total de desembolsos que el RP ha recibido por FM es de $4,086,490.00  de los cuales ha gastado  $93,216.88, contando con un saldo de caja de $2,890,187.00  y con un compromiso de $ 2,302,936.00 que representa el 79% del saldo de caja en MINSAL. Asi tambien  se ha desembolsado a Plan Internacional la cantidad de $1,120, 587.00 de los cuales han presentado gastos validados al mes de junio por $97,248.97 y y tenemos en MINSAL en revision y validacion un monto de $ 372,206.80  con un  saldo de caja de $653,867.00. </v>
      </c>
      <c r="E13" s="560"/>
      <c r="F13" s="560"/>
      <c r="G13" s="560"/>
      <c r="H13" s="324"/>
      <c r="I13" s="566"/>
      <c r="J13" s="566"/>
      <c r="K13" s="566"/>
      <c r="L13" s="566"/>
      <c r="M13" s="566"/>
      <c r="N13" s="566"/>
    </row>
    <row r="14" spans="1:256" s="320" customFormat="1" ht="28.5" customHeight="1">
      <c r="B14" s="327" t="s">
        <v>228</v>
      </c>
      <c r="C14" s="328"/>
      <c r="D14" s="567" t="str">
        <f>IF(ISBLANK(Financiamiento!I23),"",(Financiamiento!I23))</f>
        <v>El donante ha enviado los desembolsos según programación establecida, en tal sentido no se han generado atrasos, mientras que para el SR se han considerado una revisión del 100% de todos los documentos originales para poder determinar los gastos validados por el RP MIMSAL.</v>
      </c>
      <c r="E14" s="567"/>
      <c r="F14" s="567"/>
      <c r="G14" s="567"/>
      <c r="H14" s="324"/>
      <c r="I14" s="568"/>
      <c r="J14" s="568"/>
      <c r="K14" s="568"/>
      <c r="L14" s="568"/>
      <c r="M14" s="568"/>
      <c r="N14" s="568"/>
    </row>
    <row r="15" spans="1:256" s="320" customFormat="1" ht="4.5" customHeight="1">
      <c r="B15" s="329"/>
      <c r="C15" s="330"/>
      <c r="D15" s="331"/>
      <c r="E15" s="331"/>
      <c r="F15" s="331"/>
      <c r="G15" s="331"/>
      <c r="H15" s="324"/>
      <c r="I15" s="332"/>
      <c r="J15" s="332"/>
      <c r="K15" s="332"/>
      <c r="L15" s="332"/>
      <c r="M15" s="332"/>
      <c r="N15" s="332"/>
    </row>
    <row r="16" spans="1:256" ht="21" customHeight="1">
      <c r="B16" s="563" t="s">
        <v>229</v>
      </c>
      <c r="C16" s="563"/>
      <c r="D16" s="563"/>
      <c r="E16" s="563"/>
      <c r="F16" s="563"/>
      <c r="G16" s="563"/>
      <c r="H16" s="563"/>
      <c r="I16" s="563"/>
      <c r="J16" s="563"/>
      <c r="K16" s="563"/>
      <c r="L16" s="563"/>
      <c r="M16" s="563"/>
      <c r="N16" s="563"/>
    </row>
    <row r="17" spans="2:14" s="320" customFormat="1" ht="3.75" customHeight="1">
      <c r="B17" s="333"/>
      <c r="C17" s="334"/>
      <c r="D17" s="335"/>
      <c r="E17" s="336"/>
      <c r="F17" s="337"/>
      <c r="G17" s="337"/>
      <c r="H17" s="338"/>
      <c r="I17" s="339"/>
      <c r="J17" s="340"/>
      <c r="K17" s="341"/>
      <c r="L17" s="342"/>
      <c r="M17" s="343"/>
      <c r="N17" s="344"/>
    </row>
    <row r="18" spans="2:14" s="320" customFormat="1" ht="22.5" customHeight="1">
      <c r="B18" s="569" t="s">
        <v>218</v>
      </c>
      <c r="C18" s="569"/>
      <c r="D18" s="570" t="s">
        <v>219</v>
      </c>
      <c r="E18" s="570"/>
      <c r="F18" s="570"/>
      <c r="G18" s="570"/>
      <c r="H18" s="321"/>
      <c r="I18" s="571" t="s">
        <v>220</v>
      </c>
      <c r="J18" s="571"/>
      <c r="K18" s="571"/>
      <c r="L18" s="571"/>
      <c r="M18" s="571"/>
      <c r="N18" s="571"/>
    </row>
    <row r="19" spans="2:14" s="320" customFormat="1" ht="51.75" customHeight="1">
      <c r="B19" s="345" t="s">
        <v>230</v>
      </c>
      <c r="C19" s="346"/>
      <c r="D19" s="572" t="str">
        <f>IF(ISBLANK(Gestión!C8),"",(Gestión!C8))</f>
        <v>Para este período se han presentado a tiempo todas las condiciones precedentes, por parte del ALF se han dado por cumplidas</v>
      </c>
      <c r="E19" s="572"/>
      <c r="F19" s="572"/>
      <c r="G19" s="572"/>
      <c r="H19" s="347"/>
      <c r="I19" s="573"/>
      <c r="J19" s="573"/>
      <c r="K19" s="573"/>
      <c r="L19" s="573"/>
      <c r="M19" s="573"/>
      <c r="N19" s="573"/>
    </row>
    <row r="20" spans="2:14" ht="24.75" customHeight="1">
      <c r="B20" s="348" t="s">
        <v>231</v>
      </c>
      <c r="C20" s="349"/>
      <c r="D20" s="576" t="str">
        <f>IF(ISBLANK(Gestión!I8),"",(Gestión!I8))</f>
        <v>El RP MINSAL cuenta con los principales puestos directivos, no hay puestos vacantes.</v>
      </c>
      <c r="E20" s="576" t="e">
        <f>+'Introducción de datos'!D85/'Introducción de datos'!G85</f>
        <v>#DIV/0!</v>
      </c>
      <c r="F20" s="576" t="e">
        <f>+('Introducción de datos'!E85+'Introducción de datos'!F85)/'Introducción de datos'!G85</f>
        <v>#DIV/0!</v>
      </c>
      <c r="G20" s="576"/>
      <c r="H20" s="347"/>
      <c r="I20" s="577"/>
      <c r="J20" s="577"/>
      <c r="K20" s="577"/>
      <c r="L20" s="577"/>
      <c r="M20" s="577"/>
      <c r="N20" s="577"/>
    </row>
    <row r="21" spans="2:14" ht="29.25" customHeight="1">
      <c r="B21" s="350" t="s">
        <v>232</v>
      </c>
      <c r="C21" s="349"/>
      <c r="D21" s="576" t="str">
        <f>IF(ISBLANK(Gestión!C17),"",(Gestión!C17))</f>
        <v>El RP MINSAL no cuenta con gestores de compra</v>
      </c>
      <c r="E21" s="576"/>
      <c r="F21" s="576"/>
      <c r="G21" s="576"/>
      <c r="H21" s="347"/>
      <c r="I21" s="577"/>
      <c r="J21" s="577"/>
      <c r="K21" s="577"/>
      <c r="L21" s="577"/>
      <c r="M21" s="577"/>
      <c r="N21" s="577"/>
    </row>
    <row r="22" spans="2:14" ht="26.25" customHeight="1">
      <c r="B22" s="350" t="s">
        <v>233</v>
      </c>
      <c r="C22" s="349"/>
      <c r="D22" s="576" t="str">
        <f>IF(ISBLANK(Gestión!I19),"",(Gestión!I19))</f>
        <v>El SR ha cumplido con la entrega a tiempo de los dos informes correspondientes al primer semestre del presente año</v>
      </c>
      <c r="E22" s="576"/>
      <c r="F22" s="576"/>
      <c r="G22" s="576"/>
      <c r="H22" s="347"/>
      <c r="I22" s="577"/>
      <c r="J22" s="577"/>
      <c r="K22" s="577"/>
      <c r="L22" s="577"/>
      <c r="M22" s="577"/>
      <c r="N22" s="577"/>
    </row>
    <row r="23" spans="2:14" ht="72" customHeight="1">
      <c r="B23" s="350" t="s">
        <v>234</v>
      </c>
      <c r="C23" s="349"/>
      <c r="D23" s="576" t="str">
        <f>IF(ISBLANK(Gestión!C28),"",(Gestión!C28))</f>
        <v>Del 100% del presupuesto aprobado para la compra de insumos médicos y de laboratorio un 83% se encuentra en proceso de compra, a la fecha no se han realizado pagos.</v>
      </c>
      <c r="E23" s="576"/>
      <c r="F23" s="576"/>
      <c r="G23" s="576"/>
      <c r="H23" s="347"/>
      <c r="I23" s="577"/>
      <c r="J23" s="577"/>
      <c r="K23" s="577"/>
      <c r="L23" s="577"/>
      <c r="M23" s="577"/>
      <c r="N23" s="577"/>
    </row>
    <row r="24" spans="2:14" ht="27" customHeight="1">
      <c r="B24" s="351" t="s">
        <v>235</v>
      </c>
      <c r="C24" s="352"/>
      <c r="D24" s="578" t="str">
        <f>IF(ISBLANK(Gestión!I29),"",(Gestión!I29))</f>
        <v xml:space="preserve">Con presupuesto del Fondo Mundial actualmente no se adquieren ARV, 
 Casi un 50% de los usuarios VIH (+) utilizan Efavirenz + emtricitabina + tenofovir ( ATRIPLA) por lo cual este es el medicamento que se esta reportando.
Se cuenta con un nivel de existencia de 5 meses, 3 de estos cubren los meses de existencia de seguridad.
</v>
      </c>
      <c r="E24" s="578"/>
      <c r="F24" s="578"/>
      <c r="G24" s="578"/>
      <c r="H24" s="347"/>
      <c r="I24" s="579"/>
      <c r="J24" s="579"/>
      <c r="K24" s="579"/>
      <c r="L24" s="579"/>
      <c r="M24" s="579"/>
      <c r="N24" s="579"/>
    </row>
    <row r="25" spans="2:14" ht="4.5" customHeight="1">
      <c r="B25" s="353"/>
      <c r="C25" s="354"/>
      <c r="D25" s="355"/>
      <c r="E25" s="356"/>
      <c r="F25" s="357"/>
      <c r="G25" s="357"/>
      <c r="H25" s="321"/>
      <c r="I25" s="356"/>
      <c r="J25" s="358"/>
      <c r="K25" s="341"/>
      <c r="L25" s="342"/>
      <c r="M25" s="343"/>
      <c r="N25" s="344"/>
    </row>
    <row r="26" spans="2:14" ht="21" customHeight="1">
      <c r="B26" s="563" t="s">
        <v>236</v>
      </c>
      <c r="C26" s="563"/>
      <c r="D26" s="563"/>
      <c r="E26" s="563"/>
      <c r="F26" s="563"/>
      <c r="G26" s="563"/>
      <c r="H26" s="563"/>
      <c r="I26" s="563"/>
      <c r="J26" s="563"/>
      <c r="K26" s="563"/>
      <c r="L26" s="563"/>
      <c r="M26" s="563"/>
      <c r="N26" s="563"/>
    </row>
    <row r="27" spans="2:14" ht="3.75" customHeight="1">
      <c r="B27" s="353"/>
      <c r="C27" s="354"/>
      <c r="D27" s="355"/>
      <c r="E27" s="356"/>
      <c r="F27" s="357"/>
      <c r="G27" s="357"/>
      <c r="H27" s="321"/>
      <c r="I27" s="356"/>
      <c r="J27" s="358"/>
      <c r="K27" s="341"/>
      <c r="L27" s="342"/>
      <c r="M27" s="343"/>
      <c r="N27" s="344"/>
    </row>
    <row r="28" spans="2:14" ht="21.75" customHeight="1">
      <c r="B28" s="574" t="s">
        <v>237</v>
      </c>
      <c r="C28" s="574"/>
      <c r="D28" s="575" t="s">
        <v>219</v>
      </c>
      <c r="E28" s="575"/>
      <c r="F28" s="575"/>
      <c r="G28" s="575"/>
      <c r="H28" s="321"/>
      <c r="I28" s="575" t="s">
        <v>220</v>
      </c>
      <c r="J28" s="575"/>
      <c r="K28" s="575"/>
      <c r="L28" s="575"/>
      <c r="M28" s="575"/>
      <c r="N28" s="575"/>
    </row>
    <row r="29" spans="2:14" ht="67.5" customHeight="1">
      <c r="B29" s="359" t="s">
        <v>238</v>
      </c>
      <c r="C29" s="360"/>
      <c r="D29" s="580" t="str">
        <f>IF(ISBLANK(Programatico!C9),"",(Programatico!C9))</f>
        <v>Actualmente el 100% de los usuarios que consultan a los Hospitales con TAR y que cumplen criterios para iniciar la misma se encuentran recibiendo tratamiento.
En relación a la meta del año 2019 preliminarmente un 74% de los pacientes estimados  viviendo con VIH se encuentran en TAR.</v>
      </c>
      <c r="E29" s="580"/>
      <c r="F29" s="580"/>
      <c r="G29" s="580"/>
      <c r="H29" s="347"/>
      <c r="I29" s="581"/>
      <c r="J29" s="581"/>
      <c r="K29" s="581"/>
      <c r="L29" s="581"/>
      <c r="M29" s="581"/>
      <c r="N29" s="581"/>
    </row>
    <row r="30" spans="2:14" ht="47.25" customHeight="1">
      <c r="B30" s="361" t="s">
        <v>239</v>
      </c>
      <c r="C30" s="362"/>
      <c r="D30" s="582" t="str">
        <f>IF(ISBLANK(Programatico!G9),"",(Programatico!G9))</f>
        <v xml:space="preserve">El logro preliminar para este indicador es de un 41%
Cabe mencionar que se han tenido los siguientes retos:
1. Multiples cambios en el personal de salud
2. Retrasos en la digitación, por falta de recurso humano 
</v>
      </c>
      <c r="E30" s="582"/>
      <c r="F30" s="582"/>
      <c r="G30" s="582"/>
      <c r="H30" s="347"/>
      <c r="I30" s="583"/>
      <c r="J30" s="583"/>
      <c r="K30" s="583"/>
      <c r="L30" s="583"/>
      <c r="M30" s="583"/>
      <c r="N30" s="583"/>
    </row>
    <row r="31" spans="2:14" ht="127.75" customHeight="1">
      <c r="B31" s="361" t="s">
        <v>240</v>
      </c>
      <c r="C31" s="362"/>
      <c r="D31" s="582" t="str">
        <f>IF(ISBLANK(Programatico!M9),"",(Programatico!M9))</f>
        <v xml:space="preserve">El logro preliminar para este indicador es de un 39%
Cabe mencionar que se han tenido los siguientes retos:
1. Multiples cambios en el personal de salud
2. Retrasos en la digitación, por falta de recurso humano 
</v>
      </c>
      <c r="E31" s="582"/>
      <c r="F31" s="582"/>
      <c r="G31" s="582"/>
      <c r="H31" s="347"/>
      <c r="I31" s="583"/>
      <c r="J31" s="583"/>
      <c r="K31" s="583"/>
      <c r="L31" s="583"/>
      <c r="M31" s="583"/>
      <c r="N31" s="583"/>
    </row>
    <row r="32" spans="2:14" ht="207" customHeight="1">
      <c r="B32" s="363" t="s">
        <v>70</v>
      </c>
      <c r="C32" s="362"/>
      <c r="D32" s="584" t="str">
        <f>IF(ISBLANK(Programatico!L20),"",(Programatico!L20))</f>
        <v xml:space="preserve">Meta : 13,650 proyectada la cual se calculo en base a la cantidad de Personas viviendo con VIH estimadas para el año 2019. 
Alcance: 10,117 se encuentran recibiendo TAR, debido a que son las que cumplen con los criterios  para inicio de la TAR ( CD4 menor e igual a 500). He de recordar que en el País no existe lista de espera. Durante este semestre se tuvo dificultad para la adquisición de algunos ARV entre ellos la atripla por lo que ciertos hospitales estuvieron desabastecidos, la medidad a tomar fue de brindar dosis separadas mientras se solventaba la situación de adquisición.  (datos preliminares).
Logro: 74%
Fuente: SUMEVE
</v>
      </c>
      <c r="E32" s="584"/>
      <c r="F32" s="584"/>
      <c r="G32" s="584"/>
      <c r="H32" s="347"/>
      <c r="I32" s="583"/>
      <c r="J32" s="583"/>
      <c r="K32" s="583"/>
      <c r="L32" s="583"/>
      <c r="M32" s="583"/>
      <c r="N32" s="583"/>
    </row>
    <row r="33" spans="2:14" ht="150" customHeight="1">
      <c r="B33" s="363" t="s">
        <v>86</v>
      </c>
      <c r="C33" s="362"/>
      <c r="D33" s="584" t="str">
        <f>IF(ISBLANK(Programatico!L21),"",(Programatico!L21))</f>
        <v xml:space="preserve">Meta FM Nacionales(PEPFAR + GOES): 19761 personas HSH que se han realizado la prueba de VIH y que conocen sus resultados 
Meta FM: 17785 HSH a los cuales se les debe hacer la prueba de VIH y deben conocer sus resultados. 
Metas MINSAL FM+ GOES: 8102
Metas PLAN: 10671
Metas PEPFAR:  988
Número total de pruebas realizadas FM (PLAN + MINSAL)= 8164 pruebas realizadas a esta población (datos preliminares)
Pruebas realizadas por Unidades Móviles de PLAN:  4845
Pruebas realizadas a través de referencia efectivas a UCSF y actividades extramurales: 3319
Pruebas realizadas por PEPFAR: 1971
Logro FM: 8164/17785= 46% de post consejerías registradas
Logro Nacional: 10013/19761= 51%
Fuente: SUMEVE
Actualmente no se puede desagragar el número de pruebas, ni post consejerías realizadas a través de la modalidad de referencias efectivas, por lo que es dificil conocer cuantas son las pruebas realizadas a traves de la modalidad de referencia efectiva y cuantas son a través de la búsqueda del personal del MINSAL, por lo que se han girado instrucciones a todos los establecimientos de salud y organizaciones socias en el llenado del FVIH 01 para posteriormente poder realizar la desagregación.
</v>
      </c>
      <c r="E33" s="584"/>
      <c r="F33" s="584"/>
      <c r="G33" s="584"/>
      <c r="H33" s="347"/>
      <c r="I33" s="583"/>
      <c r="J33" s="583"/>
      <c r="K33" s="583"/>
      <c r="L33" s="583"/>
      <c r="M33" s="583"/>
      <c r="N33" s="583"/>
    </row>
    <row r="34" spans="2:14" ht="186" customHeight="1">
      <c r="B34" s="363" t="s">
        <v>87</v>
      </c>
      <c r="C34" s="362"/>
      <c r="D34" s="584" t="str">
        <f>IF(ISBLANK(Programatico!L21),"",(Programatico!L21))</f>
        <v xml:space="preserve">Meta FM Nacionales(PEPFAR + GOES): 19761 personas HSH que se han realizado la prueba de VIH y que conocen sus resultados 
Meta FM: 17785 HSH a los cuales se les debe hacer la prueba de VIH y deben conocer sus resultados. 
Metas MINSAL FM+ GOES: 8102
Metas PLAN: 10671
Metas PEPFAR:  988
Número total de pruebas realizadas FM (PLAN + MINSAL)= 8164 pruebas realizadas a esta población (datos preliminares)
Pruebas realizadas por Unidades Móviles de PLAN:  4845
Pruebas realizadas a través de referencia efectivas a UCSF y actividades extramurales: 3319
Pruebas realizadas por PEPFAR: 1971
Logro FM: 8164/17785= 46% de post consejerías registradas
Logro Nacional: 10013/19761= 51%
Fuente: SUMEVE
Actualmente no se puede desagragar el número de pruebas, ni post consejerías realizadas a través de la modalidad de referencias efectivas, por lo que es dificil conocer cuantas son las pruebas realizadas a traves de la modalidad de referencia efectiva y cuantas son a través de la búsqueda del personal del MINSAL, por lo que se han girado instrucciones a todos los establecimientos de salud y organizaciones socias en el llenado del FVIH 01 para posteriormente poder realizar la desagregación.
</v>
      </c>
      <c r="E34" s="584"/>
      <c r="F34" s="584"/>
      <c r="G34" s="584"/>
      <c r="H34" s="347"/>
      <c r="I34" s="583"/>
      <c r="J34" s="583"/>
      <c r="K34" s="583"/>
      <c r="L34" s="583"/>
      <c r="M34" s="583"/>
      <c r="N34" s="583"/>
    </row>
    <row r="35" spans="2:14" ht="217.5" customHeight="1">
      <c r="B35" s="363" t="s">
        <v>88</v>
      </c>
      <c r="C35" s="364"/>
      <c r="D35" s="584" t="str">
        <f>IF(ISBLANK(Programatico!L22),"",(Programatico!L22))</f>
        <v>Meta FM Nacionales( PEPFAR + GOES): 8275 personas TS que se han realizado la prueba de VIH y que conocen sus resultados 
Meta FM: 7227 TS a los cuales se les debe hacer la prueba de VIH y deben conocer sus resultados. 
Metas MINSAL (FM +GOES):  3718
Metas PLAN: 4336
Metas PEPFAR:  220
Número total de pruebas realizadas FM (PLAN + MINSAL)=  3217 pruebas realizadas a esta población  (datos preliminares)
Pruebas realizadas por Unidades Móviles de PLAN:  2151
Pruebas realizadas a través de referencia efectivas a UCSF y actividades extramurales: 1066
Logro FM: 3217/8275= 39% de post consejerías registradas, PEPFAR no reporto pruebas realizadas a esta población durante este semestre
Fuente: SUMEVE
Actualmente no se puede desagragar el número de pruebas, ni post consejerías realizadas a través de la modalidad de referencias efectivas, por lo que es dificil conocer cuantas son las pruebas realizadas a traves de la modalidad de referencia efectiva y cuantas son a través de la búsqueda del personal del MINSAL, por lo que se han girado instrucciones a todos los establecimientos de salud y organizaciones socias en el llenado del FVIH 01 para posteriormente poder realizar la desagregación.</v>
      </c>
      <c r="E35" s="584"/>
      <c r="F35" s="584"/>
      <c r="G35" s="584"/>
      <c r="H35" s="347"/>
      <c r="I35" s="583"/>
      <c r="J35" s="583"/>
      <c r="K35" s="583"/>
      <c r="L35" s="583"/>
      <c r="M35" s="583"/>
      <c r="N35" s="583"/>
    </row>
    <row r="36" spans="2:14" ht="94.5" customHeight="1">
      <c r="B36" s="363" t="s">
        <v>89</v>
      </c>
      <c r="C36" s="364"/>
      <c r="D36" s="584" t="str">
        <f>IF(ISBLANK(Programatico!L23),"",(Programatico!L23))</f>
        <v>Meta Nacionales (FM + PEPFAR + GOES):  1207 Mujeres Trans que se han realizado la prueba de VIH y que conocen sus resultados 
Meta FM:    1094 Mujeres Trans a los cuales se les debe hacer la prueba de VIH y deben conocer sus resultados. 
Metas MINSAL ( FM +GOES):  515
Metas PLAN: 656
Metas PEPFAR:  36
Número total de pruebas realizadas FM (PLAN + MINSAL)=  384 pruebas realizadas a esta población  (datos preliminares)
Pruebas realizadas por Unidades Móviles de PLAN:  279
Pruebas realizadas a través de referencia efectivas a UCSF y actividades extramurales: 105
Logro FM: 384/1094= 35% de post consejerías registradas.
Pruebas realizadas por PEPFAR: 102
Logro Nacional: 488/1207= 40%
Fuente: SUMEVE
Actualmente no se puede desagragar el número de pruebas, ni post consejerías realizadas a través de la modalidad de referencias efectivas, por lo que es dificil conocer cuantas son las pruebas realizadas a traves de la modalidad de referencia efectiva y cuantas son a través de la búsqueda del personal del MINSAL, por lo que se han girado instrucciones a todos los establecimientos de salud y organizaciones socias en el llenado del FVIH 01 para posteriormente poder realizar la desagregación.</v>
      </c>
      <c r="E36" s="584"/>
      <c r="F36" s="584"/>
      <c r="G36" s="584"/>
      <c r="H36" s="347"/>
      <c r="I36" s="583"/>
      <c r="J36" s="583"/>
      <c r="K36" s="583"/>
      <c r="L36" s="583"/>
      <c r="M36" s="583"/>
      <c r="N36" s="583"/>
    </row>
    <row r="37" spans="2:14" ht="129.75" customHeight="1">
      <c r="B37" s="363" t="s">
        <v>90</v>
      </c>
      <c r="C37" s="364"/>
      <c r="D37" s="584" t="str">
        <f>IF(ISBLANK(Programatico!L27),"",(Programatico!L27))</f>
        <v>Meta Nacional:    32500 PPL  que se han realizado la prueba de VIH y que conocen sus resultados  
Logro: = 3274/32500= 10% PPL que se han realizado la prueba de VIH y que conocen sus resultados (datos preliminares)
Fuente: SUMEVE
El resultado de este indicador se esta viendo afectado por dos situaciones:
1. La extensión de las medidas extraordinarias tomadas por la presidencia de la República en los centros penales.
2. Retraso en la digitación: Actualmente el MINSAL no cuenta con recursos suficientes para poder digitar las pruebas de VIH y posteconsejerías brindadas a las PPL, lo que ha generado un retraso de la información de mas o menos 4 meses, se han realizado gestiones para que ONUSIDA y USAID a través del proyecto de cuidado y tratamiento apoye con 3 recursos para minimizar dicha situación.</v>
      </c>
      <c r="E37" s="584"/>
      <c r="F37" s="584"/>
      <c r="G37" s="584"/>
      <c r="H37" s="347"/>
      <c r="I37" s="583"/>
      <c r="J37" s="583"/>
      <c r="K37" s="583"/>
      <c r="L37" s="583"/>
      <c r="M37" s="583"/>
      <c r="N37" s="583"/>
    </row>
    <row r="38" spans="2:14" ht="254.25" customHeight="1">
      <c r="B38" s="363" t="s">
        <v>91</v>
      </c>
      <c r="C38" s="364"/>
      <c r="D38" s="584" t="str">
        <f>IF(ISBLANK(Programatico!L28),"",(Programatico!L28))</f>
        <v>Por ser este un indicador de cohorte de seguimiento, no se puede reportar en este período, ya que el resultado no nos reflejaría una información certera, por tal razón el resultado de este indicador se presentara en el proximo tablero de mando</v>
      </c>
      <c r="E38" s="584"/>
      <c r="F38" s="584"/>
      <c r="G38" s="584"/>
      <c r="H38" s="347"/>
      <c r="I38" s="583"/>
      <c r="J38" s="583"/>
      <c r="K38" s="583"/>
      <c r="L38" s="583"/>
      <c r="M38" s="583"/>
      <c r="N38" s="583"/>
    </row>
    <row r="39" spans="2:14" ht="87.75" customHeight="1">
      <c r="B39" s="363" t="s">
        <v>92</v>
      </c>
      <c r="C39" s="364"/>
      <c r="D39" s="584" t="str">
        <f>IF(ISBLANK(Programatico!L30),"",(Programatico!L30))</f>
        <v xml:space="preserve">Meta: 7.2% 
Numerador: 151
Denominador: 1139
Logro: 13% (datos preliminares)
Fuente: SIAP/VICITS
La prevalencia registrada en el SIAP/VICITS corresponde a las atenciones que se han brindado a la población HSH
A pesar de las acciones tomadas no se ha logrado disminuir la prevalencia de VIH en esta población, la prevalencia se mantiene y no se logra disminuir por lo que es necesario realizar un analisis de las medidas medidas de prevención que se estan ejecutando con esta población.
</v>
      </c>
      <c r="E39" s="584"/>
      <c r="F39" s="584"/>
      <c r="G39" s="584"/>
      <c r="H39" s="347"/>
      <c r="I39" s="583"/>
      <c r="J39" s="583"/>
      <c r="K39" s="583"/>
      <c r="L39" s="583"/>
      <c r="M39" s="583"/>
      <c r="N39" s="583"/>
    </row>
    <row r="40" spans="2:14" ht="54" customHeight="1">
      <c r="B40" s="363" t="s">
        <v>93</v>
      </c>
      <c r="C40" s="364"/>
      <c r="D40" s="584" t="str">
        <f>IF(ISBLANK(Programatico!L31),"",(Programatico!L31))</f>
        <v>Meta: 3.7% 
Numerador: 11
Denominador: 320
Logro: 3.4% (datos preliminares)
Fuente: SIAP/VICITS 
La prevalencia registrada en el SIAP/VICITS corresponde a las atenciones brindadas a las TS, reporta una ligera disminución de la Meta propuesta hasta la fecha.</v>
      </c>
      <c r="E40" s="584"/>
      <c r="F40" s="584"/>
      <c r="G40" s="584"/>
      <c r="H40" s="347"/>
      <c r="I40" s="583"/>
      <c r="J40" s="583"/>
      <c r="K40" s="583"/>
      <c r="L40" s="583"/>
      <c r="M40" s="583"/>
      <c r="N40" s="583"/>
    </row>
    <row r="41" spans="2:14" ht="81" customHeight="1">
      <c r="B41" s="363" t="s">
        <v>94</v>
      </c>
      <c r="C41" s="365"/>
      <c r="D41" s="584" t="e">
        <f>IF(ISBLANK(Programatico!#REF!),"",(Programatico!#REF!))</f>
        <v>#REF!</v>
      </c>
      <c r="E41" s="584"/>
      <c r="F41" s="584"/>
      <c r="G41" s="584"/>
      <c r="H41" s="347"/>
      <c r="I41" s="585"/>
      <c r="J41" s="585"/>
      <c r="K41" s="585"/>
      <c r="L41" s="585"/>
      <c r="M41" s="585"/>
      <c r="N41" s="585"/>
    </row>
  </sheetData>
  <sheetProtection selectLockedCells="1" selectUnlockedCells="1"/>
  <mergeCells count="65">
    <mergeCell ref="D41:G41"/>
    <mergeCell ref="I41:N41"/>
    <mergeCell ref="D38:G38"/>
    <mergeCell ref="I38:N38"/>
    <mergeCell ref="D39:G39"/>
    <mergeCell ref="I39:N39"/>
    <mergeCell ref="D40:G40"/>
    <mergeCell ref="I40:N40"/>
    <mergeCell ref="D35:G35"/>
    <mergeCell ref="I35:N35"/>
    <mergeCell ref="D36:G36"/>
    <mergeCell ref="I36:N36"/>
    <mergeCell ref="D37:G37"/>
    <mergeCell ref="I37:N37"/>
    <mergeCell ref="D32:G32"/>
    <mergeCell ref="I32:N32"/>
    <mergeCell ref="D33:G33"/>
    <mergeCell ref="I33:N33"/>
    <mergeCell ref="D34:G34"/>
    <mergeCell ref="I34:N34"/>
    <mergeCell ref="D29:G29"/>
    <mergeCell ref="I29:N29"/>
    <mergeCell ref="D30:G30"/>
    <mergeCell ref="I30:N30"/>
    <mergeCell ref="D31:G31"/>
    <mergeCell ref="I31:N31"/>
    <mergeCell ref="B28:C28"/>
    <mergeCell ref="D28:G28"/>
    <mergeCell ref="I28:N28"/>
    <mergeCell ref="D20:G20"/>
    <mergeCell ref="I20:N20"/>
    <mergeCell ref="D21:G21"/>
    <mergeCell ref="I21:N21"/>
    <mergeCell ref="D22:G22"/>
    <mergeCell ref="I22:N22"/>
    <mergeCell ref="D23:G23"/>
    <mergeCell ref="I23:N23"/>
    <mergeCell ref="D24:G24"/>
    <mergeCell ref="I24:N24"/>
    <mergeCell ref="B26:N26"/>
    <mergeCell ref="B16:N16"/>
    <mergeCell ref="B18:C18"/>
    <mergeCell ref="D18:G18"/>
    <mergeCell ref="I18:N18"/>
    <mergeCell ref="D19:G19"/>
    <mergeCell ref="I19:N19"/>
    <mergeCell ref="D12:G12"/>
    <mergeCell ref="I12:N12"/>
    <mergeCell ref="D13:G13"/>
    <mergeCell ref="I13:N13"/>
    <mergeCell ref="D14:G14"/>
    <mergeCell ref="I14:N14"/>
    <mergeCell ref="D11:G11"/>
    <mergeCell ref="I11:N11"/>
    <mergeCell ref="B2:N2"/>
    <mergeCell ref="C3:D3"/>
    <mergeCell ref="E3:K3"/>
    <mergeCell ref="C4:D4"/>
    <mergeCell ref="E4:K4"/>
    <mergeCell ref="E5:K5"/>
    <mergeCell ref="E6:K6"/>
    <mergeCell ref="B8:N8"/>
    <mergeCell ref="B10:C10"/>
    <mergeCell ref="D10:G10"/>
    <mergeCell ref="I10:N10"/>
  </mergeCells>
  <conditionalFormatting sqref="C4:D4">
    <cfRule type="cellIs" dxfId="8" priority="1" stopIfTrue="1" operator="equal">
      <formula>"C"</formula>
    </cfRule>
    <cfRule type="cellIs" dxfId="7" priority="2" stopIfTrue="1" operator="equal">
      <formula>"B2"</formula>
    </cfRule>
    <cfRule type="cellIs" dxfId="6" priority="3" stopIfTrue="1" operator="equal">
      <formula>"B1"</formula>
    </cfRule>
  </conditionalFormatting>
  <pageMargins left="0.70833333333333337" right="0.70833333333333337" top="0.74791666666666667" bottom="0.74861111111111112" header="0.51180555555555551" footer="0.31527777777777777"/>
  <pageSetup paperSize="9" scale="57" firstPageNumber="0" orientation="landscape" horizontalDpi="300" verticalDpi="300"/>
  <headerFooter alignWithMargins="0">
    <oddFooter>&amp;L&amp;F&amp;C&amp;A&amp;R&amp;D</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27"/>
  </sheetPr>
  <dimension ref="A1:M43"/>
  <sheetViews>
    <sheetView showGridLines="0" topLeftCell="A16" zoomScale="120" zoomScaleNormal="120" zoomScaleSheetLayoutView="100" workbookViewId="0">
      <selection activeCell="B36" sqref="B36:E37"/>
    </sheetView>
  </sheetViews>
  <sheetFormatPr baseColWidth="10" defaultColWidth="9.1796875" defaultRowHeight="14.5"/>
  <cols>
    <col min="1" max="1" width="23.81640625" customWidth="1"/>
    <col min="2" max="2" width="46" customWidth="1"/>
    <col min="3" max="4" width="8.81640625" customWidth="1"/>
    <col min="5" max="5" width="19" customWidth="1"/>
    <col min="6" max="6" width="1.453125" customWidth="1"/>
    <col min="8" max="8" width="9.54296875" customWidth="1"/>
    <col min="9" max="9" width="8.81640625" customWidth="1"/>
    <col min="10" max="10" width="98.26953125" customWidth="1"/>
    <col min="11" max="11" width="44.453125" customWidth="1"/>
    <col min="12" max="12" width="59.7265625" customWidth="1"/>
  </cols>
  <sheetData>
    <row r="1" spans="1:13" ht="30.75" customHeight="1"/>
    <row r="2" spans="1:13" ht="27.75" customHeight="1">
      <c r="B2" s="527" t="str">
        <f>+"Cuadro de mando:  "&amp;"  "&amp;+'Introducción de datos'!C4&amp;" - "&amp;'Introducción de datos'!G6</f>
        <v>Cuadro de mando:    El Salvador - VIH / SIDA</v>
      </c>
      <c r="C2" s="527"/>
      <c r="D2" s="527"/>
      <c r="E2" s="527"/>
      <c r="F2" s="527"/>
      <c r="G2" s="527"/>
      <c r="H2" s="527"/>
      <c r="I2" s="527"/>
      <c r="J2" s="527"/>
      <c r="K2" s="527"/>
      <c r="L2" s="527"/>
    </row>
    <row r="3" spans="1:13">
      <c r="B3" s="262" t="str">
        <f>+'Introducción de datos'!G8</f>
        <v>SSF/NMF</v>
      </c>
      <c r="C3" s="515" t="str">
        <f>+'Introducción de datos'!I8</f>
        <v>Fase 2</v>
      </c>
      <c r="D3" s="515"/>
      <c r="E3" s="516"/>
      <c r="F3" s="516"/>
      <c r="G3" s="516"/>
      <c r="H3" s="516"/>
      <c r="I3" s="516"/>
      <c r="J3" s="517" t="str">
        <f>+'Introducción de datos'!B16</f>
        <v>Periodo:</v>
      </c>
      <c r="K3" s="517"/>
      <c r="L3" s="263" t="str">
        <f>+'Introducción de datos'!C16</f>
        <v>P1</v>
      </c>
      <c r="M3" s="33"/>
    </row>
    <row r="4" spans="1:13">
      <c r="B4" s="262" t="str">
        <f>+'Introducción de datos'!B12</f>
        <v>Ultima calificación:</v>
      </c>
      <c r="C4" s="586" t="str">
        <f>+'Introducción de datos'!C12</f>
        <v>A2</v>
      </c>
      <c r="D4" s="586"/>
      <c r="E4" s="516" t="str">
        <f>+'Introducción de datos'!C8</f>
        <v xml:space="preserve">Ministerio de Salud </v>
      </c>
      <c r="F4" s="516"/>
      <c r="G4" s="516"/>
      <c r="H4" s="516"/>
      <c r="I4" s="516"/>
      <c r="J4" s="517" t="str">
        <f>+'Introducción de datos'!D16</f>
        <v>Desde:</v>
      </c>
      <c r="K4" s="517"/>
      <c r="L4" s="264" t="str">
        <f>+'Introducción de datos'!E16</f>
        <v>1 de enero de 2019</v>
      </c>
    </row>
    <row r="5" spans="1:13" ht="18.75" customHeight="1">
      <c r="B5" s="262"/>
      <c r="C5" s="262"/>
      <c r="D5" s="516" t="str">
        <f>+'Introducción de datos'!G4</f>
        <v>INNOVANDO SERVICIOS, REDUCIENDO RIESGOS, RENOVANDO VIDAS EN EL SALVADOR</v>
      </c>
      <c r="E5" s="516"/>
      <c r="F5" s="516"/>
      <c r="G5" s="516"/>
      <c r="H5" s="516"/>
      <c r="I5" s="516"/>
      <c r="J5" s="516"/>
      <c r="K5" s="262" t="str">
        <f>+'Introducción de datos'!F16</f>
        <v>Hasta:</v>
      </c>
      <c r="L5" s="264" t="str">
        <f>+'Introducción de datos'!G16</f>
        <v>30 de junio 2019</v>
      </c>
    </row>
    <row r="6" spans="1:13" ht="18.5">
      <c r="B6" s="74"/>
      <c r="C6" s="262"/>
      <c r="D6" s="265"/>
      <c r="E6" s="520" t="s">
        <v>241</v>
      </c>
      <c r="F6" s="520"/>
      <c r="G6" s="520"/>
      <c r="H6" s="520"/>
      <c r="I6" s="520"/>
    </row>
    <row r="7" spans="1:13" ht="18.5">
      <c r="E7" s="366"/>
      <c r="F7" s="366"/>
      <c r="G7" s="366"/>
      <c r="H7" s="366"/>
      <c r="I7" s="366"/>
    </row>
    <row r="8" spans="1:13" s="314" customFormat="1" ht="21" customHeight="1">
      <c r="B8" s="367" t="s">
        <v>242</v>
      </c>
      <c r="C8" s="367"/>
      <c r="D8" s="367"/>
      <c r="E8" s="367"/>
      <c r="F8" s="367"/>
      <c r="G8" s="367"/>
      <c r="H8" s="367"/>
      <c r="I8" s="367"/>
      <c r="J8" s="367"/>
      <c r="K8" s="367"/>
      <c r="L8" s="367"/>
    </row>
    <row r="9" spans="1:13" ht="6" customHeight="1">
      <c r="B9" s="368"/>
    </row>
    <row r="10" spans="1:13">
      <c r="B10" s="587"/>
      <c r="C10" s="587"/>
      <c r="D10" s="587"/>
      <c r="E10" s="587"/>
      <c r="F10" s="587"/>
      <c r="G10" s="587"/>
      <c r="H10" s="587"/>
      <c r="I10" s="587"/>
      <c r="J10" s="587"/>
      <c r="K10" s="587"/>
      <c r="L10" s="587"/>
    </row>
    <row r="11" spans="1:13">
      <c r="B11" s="587"/>
      <c r="C11" s="587"/>
      <c r="D11" s="587"/>
      <c r="E11" s="587"/>
      <c r="F11" s="587"/>
      <c r="G11" s="587"/>
      <c r="H11" s="587"/>
      <c r="I11" s="587"/>
      <c r="J11" s="587"/>
      <c r="K11" s="587"/>
      <c r="L11" s="587"/>
    </row>
    <row r="13" spans="1:13" ht="42" customHeight="1">
      <c r="A13" s="369"/>
      <c r="B13" s="588" t="s">
        <v>243</v>
      </c>
      <c r="C13" s="588"/>
      <c r="D13" s="588"/>
      <c r="E13" s="588"/>
      <c r="F13" s="370"/>
      <c r="G13" s="589" t="s">
        <v>244</v>
      </c>
      <c r="H13" s="589"/>
      <c r="I13" s="589"/>
      <c r="J13" s="371" t="s">
        <v>245</v>
      </c>
      <c r="K13" s="590" t="s">
        <v>246</v>
      </c>
      <c r="L13" s="590"/>
    </row>
    <row r="14" spans="1:13" ht="33.75" customHeight="1">
      <c r="A14" s="591" t="s">
        <v>103</v>
      </c>
      <c r="B14" s="592" t="s">
        <v>247</v>
      </c>
      <c r="C14" s="592"/>
      <c r="D14" s="592"/>
      <c r="E14" s="592"/>
      <c r="F14" s="79"/>
      <c r="G14" s="593"/>
      <c r="H14" s="593"/>
      <c r="I14" s="593"/>
      <c r="J14" s="594"/>
      <c r="K14" s="595"/>
      <c r="L14" s="595"/>
    </row>
    <row r="15" spans="1:13" ht="16.149999999999999" customHeight="1">
      <c r="A15" s="591"/>
      <c r="B15" s="592"/>
      <c r="C15" s="592"/>
      <c r="D15" s="592"/>
      <c r="E15" s="592"/>
      <c r="F15" s="79"/>
      <c r="G15" s="593"/>
      <c r="H15" s="593"/>
      <c r="I15" s="593"/>
      <c r="J15" s="594"/>
      <c r="K15" s="595"/>
      <c r="L15" s="595"/>
    </row>
    <row r="16" spans="1:13" ht="25.5" customHeight="1">
      <c r="A16" s="591"/>
      <c r="B16" s="592" t="s">
        <v>248</v>
      </c>
      <c r="C16" s="592"/>
      <c r="D16" s="592"/>
      <c r="E16" s="592"/>
      <c r="F16" s="79"/>
      <c r="G16" s="596"/>
      <c r="H16" s="596"/>
      <c r="I16" s="596"/>
      <c r="J16" s="597"/>
      <c r="K16" s="598"/>
      <c r="L16" s="598"/>
    </row>
    <row r="17" spans="1:12" ht="24" customHeight="1">
      <c r="A17" s="591"/>
      <c r="B17" s="592"/>
      <c r="C17" s="592"/>
      <c r="D17" s="592"/>
      <c r="E17" s="592"/>
      <c r="F17" s="79"/>
      <c r="G17" s="596"/>
      <c r="H17" s="596"/>
      <c r="I17" s="596"/>
      <c r="J17" s="597"/>
      <c r="K17" s="598"/>
      <c r="L17" s="598"/>
    </row>
    <row r="18" spans="1:12" ht="14.5" customHeight="1">
      <c r="A18" s="591"/>
      <c r="B18" s="592" t="s">
        <v>249</v>
      </c>
      <c r="C18" s="592"/>
      <c r="D18" s="592"/>
      <c r="E18" s="592"/>
      <c r="F18" s="79"/>
      <c r="G18" s="599"/>
      <c r="H18" s="599"/>
      <c r="I18" s="599"/>
      <c r="J18" s="600"/>
      <c r="K18" s="598"/>
      <c r="L18" s="598"/>
    </row>
    <row r="19" spans="1:12" ht="39.65" customHeight="1">
      <c r="A19" s="591"/>
      <c r="B19" s="592"/>
      <c r="C19" s="592"/>
      <c r="D19" s="592"/>
      <c r="E19" s="592"/>
      <c r="F19" s="79"/>
      <c r="G19" s="599"/>
      <c r="H19" s="599"/>
      <c r="I19" s="599"/>
      <c r="J19" s="600"/>
      <c r="K19" s="600"/>
      <c r="L19" s="598"/>
    </row>
    <row r="20" spans="1:12">
      <c r="A20" s="591"/>
      <c r="B20" s="592"/>
      <c r="C20" s="592"/>
      <c r="D20" s="592"/>
      <c r="E20" s="592"/>
      <c r="F20" s="79"/>
      <c r="G20" s="601"/>
      <c r="H20" s="601"/>
      <c r="I20" s="601"/>
      <c r="J20" s="600"/>
      <c r="K20" s="598"/>
      <c r="L20" s="598"/>
    </row>
    <row r="21" spans="1:12">
      <c r="A21" s="591"/>
      <c r="B21" s="592"/>
      <c r="C21" s="592"/>
      <c r="D21" s="592"/>
      <c r="E21" s="592"/>
      <c r="F21" s="79"/>
      <c r="G21" s="601"/>
      <c r="H21" s="601"/>
      <c r="I21" s="601"/>
      <c r="J21" s="600"/>
      <c r="K21" s="600"/>
      <c r="L21" s="598"/>
    </row>
    <row r="22" spans="1:12">
      <c r="A22" s="591"/>
      <c r="B22" s="592"/>
      <c r="C22" s="592"/>
      <c r="D22" s="592"/>
      <c r="E22" s="592"/>
      <c r="F22" s="79"/>
      <c r="G22" s="601"/>
      <c r="H22" s="601"/>
      <c r="I22" s="601"/>
      <c r="J22" s="600"/>
      <c r="K22" s="598"/>
      <c r="L22" s="598"/>
    </row>
    <row r="23" spans="1:12">
      <c r="A23" s="591"/>
      <c r="B23" s="592"/>
      <c r="C23" s="592"/>
      <c r="D23" s="592"/>
      <c r="E23" s="592"/>
      <c r="F23" s="79"/>
      <c r="G23" s="601"/>
      <c r="H23" s="601"/>
      <c r="I23" s="601"/>
      <c r="J23" s="600"/>
      <c r="K23" s="600"/>
      <c r="L23" s="598"/>
    </row>
    <row r="24" spans="1:12">
      <c r="A24" s="591"/>
      <c r="B24" s="602"/>
      <c r="C24" s="602"/>
      <c r="D24" s="602"/>
      <c r="E24" s="602"/>
      <c r="F24" s="79"/>
      <c r="G24" s="603"/>
      <c r="H24" s="603"/>
      <c r="I24" s="603"/>
      <c r="J24" s="604"/>
      <c r="K24" s="605"/>
      <c r="L24" s="605"/>
    </row>
    <row r="25" spans="1:12">
      <c r="A25" s="591"/>
      <c r="B25" s="602"/>
      <c r="C25" s="602"/>
      <c r="D25" s="602"/>
      <c r="E25" s="602"/>
      <c r="F25" s="79"/>
      <c r="G25" s="603"/>
      <c r="H25" s="603"/>
      <c r="I25" s="603"/>
      <c r="J25" s="604"/>
      <c r="K25" s="604"/>
      <c r="L25" s="605"/>
    </row>
    <row r="26" spans="1:12">
      <c r="A26" s="369"/>
      <c r="B26" s="369"/>
      <c r="C26" s="369"/>
      <c r="D26" s="369"/>
      <c r="E26" s="369"/>
      <c r="F26" s="369"/>
      <c r="G26" s="369"/>
      <c r="H26" s="369"/>
      <c r="I26" s="369"/>
      <c r="J26" s="369"/>
      <c r="K26" s="369"/>
      <c r="L26" s="369"/>
    </row>
    <row r="27" spans="1:12" ht="18.5">
      <c r="A27" s="369"/>
      <c r="B27" s="369"/>
      <c r="C27" s="369"/>
      <c r="D27" s="369"/>
      <c r="E27" s="372" t="s">
        <v>250</v>
      </c>
      <c r="F27" s="372"/>
      <c r="G27" s="372"/>
      <c r="H27" s="372"/>
      <c r="I27" s="372"/>
      <c r="J27" s="369"/>
      <c r="K27" s="369"/>
      <c r="L27" s="369"/>
    </row>
    <row r="28" spans="1:12" ht="6" customHeight="1">
      <c r="A28" s="369"/>
      <c r="B28" s="369"/>
      <c r="C28" s="369"/>
      <c r="D28" s="369"/>
      <c r="E28" s="373"/>
      <c r="F28" s="373"/>
      <c r="G28" s="373"/>
      <c r="H28" s="373"/>
      <c r="I28" s="373"/>
      <c r="J28" s="369"/>
      <c r="K28" s="369"/>
      <c r="L28" s="369"/>
    </row>
    <row r="29" spans="1:12" s="314" customFormat="1" ht="21" customHeight="1">
      <c r="A29" s="374"/>
      <c r="B29" s="367" t="s">
        <v>251</v>
      </c>
      <c r="C29" s="375"/>
      <c r="D29" s="375"/>
      <c r="E29" s="375"/>
      <c r="F29" s="375"/>
      <c r="G29" s="375"/>
      <c r="H29" s="375"/>
      <c r="I29" s="375"/>
      <c r="J29" s="375"/>
      <c r="K29" s="375"/>
      <c r="L29" s="375"/>
    </row>
    <row r="30" spans="1:12" ht="6" customHeight="1">
      <c r="A30" s="369"/>
      <c r="B30" s="376"/>
      <c r="C30" s="369"/>
      <c r="D30" s="369"/>
      <c r="E30" s="369"/>
      <c r="F30" s="369"/>
      <c r="G30" s="369"/>
      <c r="H30" s="369"/>
      <c r="I30" s="369"/>
      <c r="J30" s="369"/>
      <c r="K30" s="369"/>
      <c r="L30" s="369"/>
    </row>
    <row r="31" spans="1:12" ht="45" customHeight="1">
      <c r="A31" s="369"/>
      <c r="B31" s="588" t="s">
        <v>244</v>
      </c>
      <c r="C31" s="588"/>
      <c r="D31" s="588"/>
      <c r="E31" s="588"/>
      <c r="F31" s="370"/>
      <c r="G31" s="589" t="s">
        <v>252</v>
      </c>
      <c r="H31" s="589"/>
      <c r="I31" s="589"/>
      <c r="J31" s="371" t="s">
        <v>245</v>
      </c>
      <c r="K31" s="590" t="s">
        <v>246</v>
      </c>
      <c r="L31" s="590"/>
    </row>
    <row r="32" spans="1:12" ht="18.75" customHeight="1">
      <c r="A32" s="591" t="s">
        <v>253</v>
      </c>
      <c r="B32" s="606"/>
      <c r="C32" s="606"/>
      <c r="D32" s="606"/>
      <c r="E32" s="606"/>
      <c r="F32" s="79"/>
      <c r="G32" s="607"/>
      <c r="H32" s="607"/>
      <c r="I32" s="607"/>
      <c r="J32" s="608"/>
      <c r="K32" s="609"/>
      <c r="L32" s="609"/>
    </row>
    <row r="33" spans="1:12" ht="18.75" customHeight="1">
      <c r="A33" s="591"/>
      <c r="B33" s="606"/>
      <c r="C33" s="606"/>
      <c r="D33" s="606"/>
      <c r="E33" s="606"/>
      <c r="F33" s="79"/>
      <c r="G33" s="607"/>
      <c r="H33" s="607"/>
      <c r="I33" s="607"/>
      <c r="J33" s="608"/>
      <c r="K33" s="608"/>
      <c r="L33" s="609"/>
    </row>
    <row r="34" spans="1:12" ht="18.75" customHeight="1">
      <c r="A34" s="591"/>
      <c r="B34" s="610" t="str">
        <f>IF(Recomendaciones!I43="","",Recomendaciones!I43)</f>
        <v/>
      </c>
      <c r="C34" s="610"/>
      <c r="D34" s="610"/>
      <c r="E34" s="610"/>
      <c r="F34" s="79"/>
      <c r="G34" s="601"/>
      <c r="H34" s="601"/>
      <c r="I34" s="601"/>
      <c r="J34" s="600"/>
      <c r="K34" s="598"/>
      <c r="L34" s="598"/>
    </row>
    <row r="35" spans="1:12" ht="18.75" customHeight="1">
      <c r="A35" s="591"/>
      <c r="B35" s="610"/>
      <c r="C35" s="610"/>
      <c r="D35" s="610"/>
      <c r="E35" s="610"/>
      <c r="F35" s="79"/>
      <c r="G35" s="601"/>
      <c r="H35" s="601"/>
      <c r="I35" s="601"/>
      <c r="J35" s="600"/>
      <c r="K35" s="600"/>
      <c r="L35" s="598"/>
    </row>
    <row r="36" spans="1:12" ht="18.75" customHeight="1">
      <c r="A36" s="591"/>
      <c r="B36" s="610" t="str">
        <f>+IF(Recomendaciones!I53="","",Recomendaciones!I53)</f>
        <v/>
      </c>
      <c r="C36" s="610"/>
      <c r="D36" s="610"/>
      <c r="E36" s="610"/>
      <c r="F36" s="79"/>
      <c r="G36" s="601"/>
      <c r="H36" s="601"/>
      <c r="I36" s="601"/>
      <c r="J36" s="600"/>
      <c r="K36" s="598"/>
      <c r="L36" s="598"/>
    </row>
    <row r="37" spans="1:12" ht="18.75" customHeight="1">
      <c r="A37" s="591"/>
      <c r="B37" s="610"/>
      <c r="C37" s="610"/>
      <c r="D37" s="610"/>
      <c r="E37" s="610"/>
      <c r="F37" s="79"/>
      <c r="G37" s="601"/>
      <c r="H37" s="601"/>
      <c r="I37" s="601"/>
      <c r="J37" s="600"/>
      <c r="K37" s="600"/>
      <c r="L37" s="598"/>
    </row>
    <row r="38" spans="1:12" ht="18.75" customHeight="1">
      <c r="A38" s="591"/>
      <c r="B38" s="610"/>
      <c r="C38" s="610"/>
      <c r="D38" s="610"/>
      <c r="E38" s="610"/>
      <c r="F38" s="79"/>
      <c r="G38" s="601"/>
      <c r="H38" s="601"/>
      <c r="I38" s="601"/>
      <c r="J38" s="600"/>
      <c r="K38" s="598"/>
      <c r="L38" s="598"/>
    </row>
    <row r="39" spans="1:12" ht="18.75" customHeight="1">
      <c r="A39" s="591"/>
      <c r="B39" s="610"/>
      <c r="C39" s="610"/>
      <c r="D39" s="610"/>
      <c r="E39" s="610"/>
      <c r="F39" s="79"/>
      <c r="G39" s="601"/>
      <c r="H39" s="601"/>
      <c r="I39" s="601"/>
      <c r="J39" s="600"/>
      <c r="K39" s="600"/>
      <c r="L39" s="598"/>
    </row>
    <row r="40" spans="1:12" ht="18.75" customHeight="1">
      <c r="A40" s="591"/>
      <c r="B40" s="610"/>
      <c r="C40" s="610"/>
      <c r="D40" s="610"/>
      <c r="E40" s="610"/>
      <c r="F40" s="79"/>
      <c r="G40" s="601"/>
      <c r="H40" s="601"/>
      <c r="I40" s="601"/>
      <c r="J40" s="600"/>
      <c r="K40" s="598"/>
      <c r="L40" s="598"/>
    </row>
    <row r="41" spans="1:12" ht="18.75" customHeight="1">
      <c r="A41" s="591"/>
      <c r="B41" s="610"/>
      <c r="C41" s="610"/>
      <c r="D41" s="610"/>
      <c r="E41" s="610"/>
      <c r="F41" s="79"/>
      <c r="G41" s="601"/>
      <c r="H41" s="601"/>
      <c r="I41" s="601"/>
      <c r="J41" s="600"/>
      <c r="K41" s="600"/>
      <c r="L41" s="598"/>
    </row>
    <row r="42" spans="1:12" ht="18.75" customHeight="1">
      <c r="A42" s="591"/>
      <c r="B42" s="611"/>
      <c r="C42" s="611"/>
      <c r="D42" s="611"/>
      <c r="E42" s="611"/>
      <c r="F42" s="79"/>
      <c r="G42" s="603"/>
      <c r="H42" s="603"/>
      <c r="I42" s="603"/>
      <c r="J42" s="604"/>
      <c r="K42" s="605"/>
      <c r="L42" s="605"/>
    </row>
    <row r="43" spans="1:12" ht="18.75" customHeight="1">
      <c r="A43" s="591"/>
      <c r="B43" s="611"/>
      <c r="C43" s="611"/>
      <c r="D43" s="611"/>
      <c r="E43" s="611"/>
      <c r="F43" s="79"/>
      <c r="G43" s="603"/>
      <c r="H43" s="603"/>
      <c r="I43" s="603"/>
      <c r="J43" s="604"/>
      <c r="K43" s="604"/>
      <c r="L43" s="605"/>
    </row>
  </sheetData>
  <sheetProtection selectLockedCells="1" selectUnlockedCells="1"/>
  <mergeCells count="66">
    <mergeCell ref="K42:L43"/>
    <mergeCell ref="B38:E39"/>
    <mergeCell ref="G38:I39"/>
    <mergeCell ref="J38:J39"/>
    <mergeCell ref="K38:L39"/>
    <mergeCell ref="B40:E41"/>
    <mergeCell ref="G40:I41"/>
    <mergeCell ref="J40:J41"/>
    <mergeCell ref="K40:L41"/>
    <mergeCell ref="A32:A43"/>
    <mergeCell ref="B32:E33"/>
    <mergeCell ref="G32:I33"/>
    <mergeCell ref="J32:J33"/>
    <mergeCell ref="K32:L33"/>
    <mergeCell ref="B34:E35"/>
    <mergeCell ref="G34:I35"/>
    <mergeCell ref="J34:J35"/>
    <mergeCell ref="K34:L35"/>
    <mergeCell ref="B36:E37"/>
    <mergeCell ref="G36:I37"/>
    <mergeCell ref="J36:J37"/>
    <mergeCell ref="K36:L37"/>
    <mergeCell ref="B42:E43"/>
    <mergeCell ref="G42:I43"/>
    <mergeCell ref="J42:J43"/>
    <mergeCell ref="B24:E25"/>
    <mergeCell ref="G24:I25"/>
    <mergeCell ref="J24:J25"/>
    <mergeCell ref="K24:L25"/>
    <mergeCell ref="B31:E31"/>
    <mergeCell ref="G31:I31"/>
    <mergeCell ref="K31:L31"/>
    <mergeCell ref="K20:L21"/>
    <mergeCell ref="B22:E23"/>
    <mergeCell ref="G22:I23"/>
    <mergeCell ref="J22:J23"/>
    <mergeCell ref="K22:L23"/>
    <mergeCell ref="A14:A25"/>
    <mergeCell ref="B14:E15"/>
    <mergeCell ref="G14:I15"/>
    <mergeCell ref="J14:J15"/>
    <mergeCell ref="K14:L15"/>
    <mergeCell ref="B16:E17"/>
    <mergeCell ref="G16:I17"/>
    <mergeCell ref="J16:J17"/>
    <mergeCell ref="K16:L17"/>
    <mergeCell ref="B18:E19"/>
    <mergeCell ref="G18:I19"/>
    <mergeCell ref="J18:J19"/>
    <mergeCell ref="K18:L19"/>
    <mergeCell ref="B20:E21"/>
    <mergeCell ref="G20:I21"/>
    <mergeCell ref="J20:J21"/>
    <mergeCell ref="D5:J5"/>
    <mergeCell ref="E6:I6"/>
    <mergeCell ref="B10:L11"/>
    <mergeCell ref="B13:E13"/>
    <mergeCell ref="G13:I13"/>
    <mergeCell ref="K13:L13"/>
    <mergeCell ref="B2:L2"/>
    <mergeCell ref="C3:D3"/>
    <mergeCell ref="E3:I3"/>
    <mergeCell ref="J3:K3"/>
    <mergeCell ref="C4:D4"/>
    <mergeCell ref="E4:I4"/>
    <mergeCell ref="J4:K4"/>
  </mergeCells>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33333333333337" right="0.70833333333333337" top="0.74791666666666667" bottom="0.74861111111111112" header="0.51180555555555551" footer="0.31527777777777777"/>
  <pageSetup paperSize="9" scale="70" firstPageNumber="0" orientation="landscape" horizontalDpi="300" verticalDpi="300"/>
  <headerFooter alignWithMargins="0">
    <oddFooter>&amp;L&amp;F&amp;C&amp;A&amp;R&amp;D</oddFooter>
  </headerFooter>
  <drawing r:id="rId1"/>
</worksheet>
</file>

<file path=docProps/app.xml><?xml version="1.0" encoding="utf-8"?>
<Properties xmlns="http://schemas.openxmlformats.org/officeDocument/2006/extended-properties" xmlns:vt="http://schemas.openxmlformats.org/officeDocument/2006/docPropsVTypes">
  <Template/>
  <TotalTime>16843</TotalTime>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25</vt:i4>
      </vt:variant>
    </vt:vector>
  </HeadingPairs>
  <TitlesOfParts>
    <vt:vector size="36" baseType="lpstr">
      <vt:lpstr>Menú</vt:lpstr>
      <vt:lpstr>Lista de indicadores</vt:lpstr>
      <vt:lpstr>Introducción de datos</vt:lpstr>
      <vt:lpstr>Información de la subvención</vt:lpstr>
      <vt:lpstr>Financiamiento</vt:lpstr>
      <vt:lpstr>Gestión</vt:lpstr>
      <vt:lpstr>Programatico</vt:lpstr>
      <vt:lpstr>Recomendaciones</vt:lpstr>
      <vt:lpstr>Acciones</vt:lpstr>
      <vt:lpstr>Setup</vt:lpstr>
      <vt:lpstr>Hoja1</vt:lpstr>
      <vt:lpstr>Acciones!Área_de_impresión</vt:lpstr>
      <vt:lpstr>Financiamiento!Área_de_impresión</vt:lpstr>
      <vt:lpstr>Gestión!Área_de_impresión</vt:lpstr>
      <vt:lpstr>'Información de la subvención'!Área_de_impresión</vt:lpstr>
      <vt:lpstr>'Introducción de datos'!Área_de_impresión</vt:lpstr>
      <vt:lpstr>Programatico!Área_de_impresión</vt:lpstr>
      <vt:lpstr>Ciudades</vt:lpstr>
      <vt:lpstr>Component</vt:lpstr>
      <vt:lpstr>Countries</vt:lpstr>
      <vt:lpstr>Currency</vt:lpstr>
      <vt:lpstr>LFA</vt:lpstr>
      <vt:lpstr>Medicaments</vt:lpstr>
      <vt:lpstr>PERIOD</vt:lpstr>
      <vt:lpstr>Phase</vt:lpstr>
      <vt:lpstr>PrintA</vt:lpstr>
      <vt:lpstr>PrintDataF</vt:lpstr>
      <vt:lpstr>PrintDataM</vt:lpstr>
      <vt:lpstr>PrintF</vt:lpstr>
      <vt:lpstr>PrintGD</vt:lpstr>
      <vt:lpstr>Acciones!PrintM</vt:lpstr>
      <vt:lpstr>PrintM</vt:lpstr>
      <vt:lpstr>PrintP</vt:lpstr>
      <vt:lpstr>PrintR</vt:lpstr>
      <vt:lpstr>Rating</vt:lpstr>
      <vt:lpstr>Round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CCM_Generic_Dashboard_es</dc:title>
  <dc:subject>&amp;lt;p&amp;gt;Setup  Acciones  Recomendaciones  Programatico  Gesti n  Financiamiento  Informaci n de la subvenci n  Introducci n de datos  Lista de indicadores  Men   Afganist n  Afganist n  Ciudades  Component  Countries  Countries  Currency  LFA  Medicaments  PERIOD  Phase  PrintA  PrintDataF  PrintDataM  PrintF  PrintGD  PrintM &amp;lt;/p&amp;gt;</dc:subject>
  <dc:creator>Administrador</dc:creator>
  <cp:keywords/>
  <dc:description>&amp;lt;p&amp;gt;Setup  Acciones  Recomendaciones  Programatico  Gesti n  Financiamiento  Informaci n de la subvenci n  Introducci n de datos  Lista de indicadores  Men   Afganist n  Afganist n  Ciudades  Component  Countries  Countries  Currency  LFA  Medicaments  PERIOD  Phase  PrintA  PrintDataF  PrintDataM  PrintF  PrintGD  PrintM &amp;lt;/p&amp;gt;</dc:description>
  <cp:lastModifiedBy>UAFM1</cp:lastModifiedBy>
  <cp:revision>55</cp:revision>
  <cp:lastPrinted>2019-09-16T14:55:44Z</cp:lastPrinted>
  <dcterms:created xsi:type="dcterms:W3CDTF">2017-04-18T21:46:44Z</dcterms:created>
  <dcterms:modified xsi:type="dcterms:W3CDTF">2019-09-26T02:12:11Z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0x0101004BF1F6075714FF459EA7921B9223C8F9</vt:lpwstr>
  </property>
  <property fmtid="{D5CDD505-2E9C-101B-9397-08002B2CF9AE}" pid="4" name="EktCmsPath">
    <vt:lpwstr>&amp;lt;p&amp;gt;Setup  Acciones  Recomendaciones  Programatico  Gesti n  Financiamiento  Informaci n de la subvenci n  Introducci n de datos  Lista de indicadores  Men   Afganist n  Afganist n  Ciudades  Component  Countries  Countries  Currency  LFA  Medicament</vt:lpwstr>
  </property>
  <property fmtid="{D5CDD505-2E9C-101B-9397-08002B2CF9AE}" pid="5" name="EktCmsSize">
    <vt:i4>856576</vt:i4>
  </property>
  <property fmtid="{D5CDD505-2E9C-101B-9397-08002B2CF9AE}" pid="6" name="EktContentLanguage">
    <vt:i4>1033</vt:i4>
  </property>
  <property fmtid="{D5CDD505-2E9C-101B-9397-08002B2CF9AE}" pid="7" name="EktContentSubType">
    <vt:i4>0</vt:i4>
  </property>
  <property fmtid="{D5CDD505-2E9C-101B-9397-08002B2CF9AE}" pid="8" name="EktContentType">
    <vt:i4>101</vt:i4>
  </property>
  <property fmtid="{D5CDD505-2E9C-101B-9397-08002B2CF9AE}" pid="9" name="EktDateCreated">
    <vt:filetime>2011-06-15T08:46:35Z</vt:filetime>
  </property>
  <property fmtid="{D5CDD505-2E9C-101B-9397-08002B2CF9AE}" pid="10" name="EktDateModified">
    <vt:filetime>2011-06-15T08:46:36Z</vt:filetime>
  </property>
  <property fmtid="{D5CDD505-2E9C-101B-9397-08002B2CF9AE}" pid="11" name="EktEDescription">
    <vt:lpwstr>Summary &amp;lt;p&amp;gt;Setup  Acciones  Recomendaciones  Programatico  Gesti n  Financiamiento  Informaci n de la subvenci n  Introducci n de datos  Lista de indicadores  Men   Afganist n  Afganist n  Ciudades  Component  Countries  Countries  Currency  LFA  Me</vt:lpwstr>
  </property>
  <property fmtid="{D5CDD505-2E9C-101B-9397-08002B2CF9AE}" pid="12" name="EktExpiryType">
    <vt:i4>1</vt:i4>
  </property>
  <property fmtid="{D5CDD505-2E9C-101B-9397-08002B2CF9AE}" pid="13" name="EktFile_Size">
    <vt:lpwstr>819 KB</vt:lpwstr>
  </property>
  <property fmtid="{D5CDD505-2E9C-101B-9397-08002B2CF9AE}" pid="14" name="EktFile_Type">
    <vt:lpwstr>XLS</vt:lpwstr>
  </property>
  <property fmtid="{D5CDD505-2E9C-101B-9397-08002B2CF9AE}" pid="15" name="EktQuickLink">
    <vt:lpwstr>DownloadAsset.aspx?id=10409</vt:lpwstr>
  </property>
  <property fmtid="{D5CDD505-2E9C-101B-9397-08002B2CF9AE}" pid="16" name="EktSearchable">
    <vt:i4>1</vt:i4>
  </property>
  <property fmtid="{D5CDD505-2E9C-101B-9397-08002B2CF9AE}" pid="17" name="EktTaxCategory">
    <vt:lpwstr> #eksep# \Navigation\documents\ccm #eksep# </vt:lpwstr>
  </property>
  <property fmtid="{D5CDD505-2E9C-101B-9397-08002B2CF9AE}" pid="18" name="Root_Map">
    <vt:lpwstr>C:\Documents and Settings\rfplain\Desktop\Root_Map.xsd</vt:lpwstr>
  </property>
  <property fmtid="{D5CDD505-2E9C-101B-9397-08002B2CF9AE}" pid="19" name="ekttaxonomyenabled">
    <vt:i4>1</vt:i4>
  </property>
</Properties>
</file>