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35" tabRatio="820" activeTab="2"/>
  </bookViews>
  <sheets>
    <sheet name="Menú" sheetId="1" r:id="rId1"/>
    <sheet name="Lista de indicadores" sheetId="2" r:id="rId2"/>
    <sheet name="Introducción de datos" sheetId="3" r:id="rId3"/>
    <sheet name="Información de la subvención" sheetId="4" r:id="rId4"/>
    <sheet name="Financiamiento" sheetId="5" r:id="rId5"/>
    <sheet name="Gestión" sheetId="6" r:id="rId6"/>
    <sheet name="Programatico" sheetId="7" r:id="rId7"/>
    <sheet name="Recomendaciones" sheetId="8" r:id="rId8"/>
    <sheet name="Acciones" sheetId="9" r:id="rId9"/>
    <sheet name="Setup" sheetId="10" state="hidden" r:id="rId10"/>
  </sheets>
  <externalReferences>
    <externalReference r:id="rId13"/>
    <externalReference r:id="rId14"/>
  </externalReferences>
  <definedNames>
    <definedName name="_xlfn_COMPOUNDVALUE">NA()</definedName>
    <definedName name="_xlfn_CUBEKPIMEMBER">NA()</definedName>
    <definedName name="_xlfn_CUBEMEMBER">NA()</definedName>
    <definedName name="_xlfn_CUBERANKEDMEMBER">NA()</definedName>
    <definedName name="_xlfn_CUBESET">NA()</definedName>
    <definedName name="_xlfn_CUBEVALUE">NA()</definedName>
    <definedName name="Afganistán" localSheetId="0">Countries</definedName>
    <definedName name="Afganistán">Countries</definedName>
    <definedName name="_xlnm.Print_Area" localSheetId="8">'Acciones'!$A$1:$L$43</definedName>
    <definedName name="_xlnm.Print_Area" localSheetId="4">'Financiamiento'!$A$2:$L$31</definedName>
    <definedName name="_xlnm.Print_Area" localSheetId="5">'Gestión'!$A$1:$L$34</definedName>
    <definedName name="_xlnm.Print_Area" localSheetId="3">'Información de la subvención'!$A$1:$K$15</definedName>
    <definedName name="_xlnm.Print_Area" localSheetId="2">'Introducción de datos'!$A$1:$Q$180</definedName>
    <definedName name="_xlnm.Print_Area" localSheetId="6">'Programatico'!$A$1:$Q$29</definedName>
    <definedName name="Ciudades">'Setup'!$J$9:$J$48</definedName>
    <definedName name="Component">'Setup'!$B$9:$B$14</definedName>
    <definedName name="Countries" localSheetId="0">'[1]Setup'!$J$9:$J$48</definedName>
    <definedName name="Countries">'Setup'!$J$9:$J$48</definedName>
    <definedName name="Currency">'Setup'!$C$9:$C$11</definedName>
    <definedName name="LFA">'Setup'!$H$9:$H$22</definedName>
    <definedName name="Medicaments">'Setup'!$I$9:$I$30</definedName>
    <definedName name="PERIOD">'Setup'!$F$9:$F$21</definedName>
    <definedName name="Phase">'Setup'!$E$9:$E$13</definedName>
    <definedName name="PrintA">'Acciones'!$A$2:$L$34</definedName>
    <definedName name="PrintDataF">'Introducción de datos'!$B$25:$J$65</definedName>
    <definedName name="PrintDataM">'Introducción de datos'!$B$67:$H$112</definedName>
    <definedName name="PrintF">'Financiamiento'!$A$2:$K$31</definedName>
    <definedName name="PrintGD">'Información de la subvención'!$A$2:$J$13</definedName>
    <definedName name="PrintM" localSheetId="8">'Acciones'!$A$2:$L$6</definedName>
    <definedName name="PrintM">'Gestión'!$A$2:$L$36</definedName>
    <definedName name="PrintP">'Programatico'!$A$2:$P$29</definedName>
    <definedName name="PrintR">'Recomendaciones'!$A$2:$N$41</definedName>
    <definedName name="Rating">'Setup'!$G$9:$G$14</definedName>
    <definedName name="Round">'Setup'!$D$9:$D$21</definedName>
  </definedNames>
  <calcPr fullCalcOnLoad="1"/>
</workbook>
</file>

<file path=xl/comments3.xml><?xml version="1.0" encoding="utf-8"?>
<comments xmlns="http://schemas.openxmlformats.org/spreadsheetml/2006/main">
  <authors>
    <author/>
  </authors>
  <commentList>
    <comment ref="B72" authorId="0">
      <text>
        <r>
          <rPr>
            <b/>
            <sz val="8"/>
            <color indexed="32"/>
            <rFont val="Tahoma"/>
            <family val="2"/>
          </rPr>
          <t xml:space="preserve">Si los datos no están disponibles, no introduzca ceros; deje las celdas de la tabla en blanco. </t>
        </r>
      </text>
    </comment>
    <comment ref="B73" authorId="0">
      <text>
        <r>
          <rPr>
            <b/>
            <sz val="8"/>
            <color indexed="32"/>
            <rFont val="Tahoma"/>
            <family val="2"/>
          </rPr>
          <t>Si los datos no están disponibles, no introduzca ceros; deje las celdas de esta tabla en blanco.</t>
        </r>
      </text>
    </comment>
  </commentList>
</comments>
</file>

<file path=xl/sharedStrings.xml><?xml version="1.0" encoding="utf-8"?>
<sst xmlns="http://schemas.openxmlformats.org/spreadsheetml/2006/main" count="601" uniqueCount="402">
  <si>
    <r>
      <t xml:space="preserve">En total se detectaron </t>
    </r>
    <r>
      <rPr>
        <b/>
        <sz val="8"/>
        <color indexed="8"/>
        <rFont val="Calibri"/>
        <family val="2"/>
      </rPr>
      <t>1,498</t>
    </r>
    <r>
      <rPr>
        <sz val="8"/>
        <color indexed="8"/>
        <rFont val="Calibri"/>
        <family val="2"/>
      </rPr>
      <t xml:space="preserve"> casos de TB todas las formas en los 30 municipios priorizados notificados a las autoridades nacionales; en los cuales se incluyen los casos de MINSAL, ISSS y CP. Lo que da como resultado [(1,498 / 1,253)x100] = 119.55%.
Meta lograda y superada por las acciones de búsqueda a través del fortalecimiento y socialización de las nuevas definiciones de tuberculosis dadas por las OMS a los niveles locales, así como también la importancia de la utilización de los nuevos métodos diagnósticos tales como el Gene Xpert MTB-Rif.</t>
    </r>
  </si>
  <si>
    <r>
      <t xml:space="preserve">En total de detectaron </t>
    </r>
    <r>
      <rPr>
        <b/>
        <sz val="8"/>
        <color indexed="8"/>
        <rFont val="Calibri"/>
        <family val="2"/>
      </rPr>
      <t>900</t>
    </r>
    <r>
      <rPr>
        <sz val="8"/>
        <color indexed="8"/>
        <rFont val="Calibri"/>
        <family val="2"/>
      </rPr>
      <t xml:space="preserve"> casos de tuberculosis baciloscopía positiva en los 30 municipios priorizados notificados a las autoridades nacionales.
Dando como resultado de logro alcanzado para este período el siguiente: [(900 / 714)x100] = 126.05%.
Meta alcanzada y superada para el periodo; el logro es debido a las acciones de trabajo del personal de salud de los diferentes niveles de atención comprometidos en la búsqueda activa del sintomático respiratorio, tanto en las comunidades, poblaciones de mayor riesgo y establecimientos de salud (tanto MINSAL, ISSS y Centros Penales). 
De igual manera el algoritmo para el uso de Gene Xpert MTB-Rif  el cual describe que todo sintomático respiratorio de poblaciones vulnerables se le indique Gene Xpert MTB-Rif como primer método diagnóstico.</t>
    </r>
  </si>
  <si>
    <r>
      <t xml:space="preserve">De un total de </t>
    </r>
    <r>
      <rPr>
        <b/>
        <sz val="8"/>
        <color indexed="8"/>
        <rFont val="Calibri"/>
        <family val="2"/>
      </rPr>
      <t xml:space="preserve">1,001 </t>
    </r>
    <r>
      <rPr>
        <sz val="8"/>
        <color indexed="8"/>
        <rFont val="Calibri"/>
        <family val="2"/>
      </rPr>
      <t xml:space="preserve">casos pulmonares baciloscopía positiva (Bk+) de los 30 municipios priorizados notificados a las autoridades nacionales, egresaron como curados y tratamiento terminado un total de </t>
    </r>
    <r>
      <rPr>
        <b/>
        <sz val="8"/>
        <color indexed="8"/>
        <rFont val="Calibri"/>
        <family val="2"/>
      </rPr>
      <t xml:space="preserve">942 </t>
    </r>
    <r>
      <rPr>
        <sz val="8"/>
        <color indexed="8"/>
        <rFont val="Calibri"/>
        <family val="2"/>
      </rPr>
      <t xml:space="preserve">casos, obteniendo un éxito en el tratamiento del 94.1%.
Meta alcanzada y superada; el logro del indicador supera el porcentaje de éxito del tratamiento obtenido a nivel nacional que es del 93.6%.  El ëxito de este indicador es debido a que existe un alto compromiso del personal de salud operativo, de SIBASI y de las Regiones del MINSAL, así como del personal del ISSS y Centros Penales, los cuales brindan el seguimiento y administraciòn estricto de los tratamientos antifimicos. Ademas existe fuerte compromiso gerencial de las autoridades del MINSAL para continuar priorizando el trabajo en prevenciòn y control de la TB     </t>
    </r>
  </si>
  <si>
    <r>
      <t xml:space="preserve">De un total acumulado </t>
    </r>
    <r>
      <rPr>
        <b/>
        <sz val="8"/>
        <color indexed="8"/>
        <rFont val="Calibri"/>
        <family val="2"/>
      </rPr>
      <t xml:space="preserve">1,498 </t>
    </r>
    <r>
      <rPr>
        <sz val="8"/>
        <color indexed="8"/>
        <rFont val="Calibri"/>
        <family val="2"/>
      </rPr>
      <t xml:space="preserve">de casos de tuberculosis todas las formas diagnosticados en este período fueron testados con pruebas para VIH un total de </t>
    </r>
    <r>
      <rPr>
        <b/>
        <sz val="8"/>
        <color indexed="8"/>
        <rFont val="Calibri"/>
        <family val="2"/>
      </rPr>
      <t>1,471</t>
    </r>
    <r>
      <rPr>
        <sz val="8"/>
        <color indexed="8"/>
        <rFont val="Calibri"/>
        <family val="2"/>
      </rPr>
      <t xml:space="preserve"> casos lo que corresponde a un 98.19%
Meta lograda con un logro de cobertura del 99.2%.
No se logra el 100% debido a casos como: niños menores de 10 años con TB cuyos padres no aceptaron realizarles el tamizaje, así como pacientes indigentes y otros casos como pandilleros.</t>
    </r>
  </si>
  <si>
    <r>
      <t xml:space="preserve">De un  total de </t>
    </r>
    <r>
      <rPr>
        <b/>
        <sz val="8"/>
        <color indexed="8"/>
        <rFont val="Calibri"/>
        <family val="2"/>
      </rPr>
      <t>3,950</t>
    </r>
    <r>
      <rPr>
        <sz val="8"/>
        <color indexed="8"/>
        <rFont val="Calibri"/>
        <family val="2"/>
      </rPr>
      <t xml:space="preserve"> PVS adultos y niños inscritos en el programa de VIH en el período a evaluar se les descartó la tuberculosis a </t>
    </r>
    <r>
      <rPr>
        <b/>
        <sz val="8"/>
        <color indexed="8"/>
        <rFont val="Calibri"/>
        <family val="2"/>
      </rPr>
      <t xml:space="preserve">3,950 </t>
    </r>
    <r>
      <rPr>
        <sz val="8"/>
        <color indexed="8"/>
        <rFont val="Calibri"/>
        <family val="2"/>
      </rPr>
      <t xml:space="preserve">PVS obteniendo un resultado de 100%.
En las 20 clinicas TAR se atendieros durante el año 2014 </t>
    </r>
    <r>
      <rPr>
        <b/>
        <sz val="8"/>
        <color indexed="8"/>
        <rFont val="Calibri"/>
        <family val="2"/>
      </rPr>
      <t xml:space="preserve">3,950 </t>
    </r>
    <r>
      <rPr>
        <sz val="8"/>
        <color indexed="8"/>
        <rFont val="Calibri"/>
        <family val="2"/>
      </rPr>
      <t xml:space="preserve">adultos y niños inscritos en el programa del VIH cuyo domicilio se encuentra dentro de los 30 municipios priorizados y de los cuales a 3,950 se les descato la TB a traves del algoritmo clínico de descarte (se le pregunta si ha tenido fiebre, tos actual, sudoracion nocturna, perdida de peso)     </t>
    </r>
  </si>
  <si>
    <r>
      <t xml:space="preserve">De un  total de </t>
    </r>
    <r>
      <rPr>
        <b/>
        <sz val="8"/>
        <color indexed="8"/>
        <rFont val="Calibri"/>
        <family val="2"/>
      </rPr>
      <t xml:space="preserve">3,950 </t>
    </r>
    <r>
      <rPr>
        <sz val="8"/>
        <color indexed="8"/>
        <rFont val="Calibri"/>
        <family val="2"/>
      </rPr>
      <t xml:space="preserve"> PVS a los que se les descartó la tuberculosis solamente un total de </t>
    </r>
    <r>
      <rPr>
        <b/>
        <sz val="8"/>
        <color indexed="8"/>
        <rFont val="Calibri"/>
        <family val="2"/>
      </rPr>
      <t xml:space="preserve">807 </t>
    </r>
    <r>
      <rPr>
        <sz val="8"/>
        <color indexed="8"/>
        <rFont val="Calibri"/>
        <family val="2"/>
      </rPr>
      <t xml:space="preserve">iniciaron quimioprofilaxis con INH; obteniendo un resultado de 20.43%  
El porcentaje representó un número menor debido a que muchos de estos pacientes al ser evaluados no ameritaba indicarseles la TPI debido a que ya se les habia indicado en los ultimos dos años, y/o había sido casos de TB o tenía otra condición que no aplicaba la quimioprofilaxis.  </t>
    </r>
  </si>
  <si>
    <r>
      <t xml:space="preserve">De un total de </t>
    </r>
    <r>
      <rPr>
        <b/>
        <sz val="8"/>
        <color indexed="8"/>
        <rFont val="Calibri"/>
        <family val="2"/>
      </rPr>
      <t>157</t>
    </r>
    <r>
      <rPr>
        <sz val="8"/>
        <color indexed="8"/>
        <rFont val="Calibri"/>
        <family val="2"/>
      </rPr>
      <t xml:space="preserve"> pacientes coinfectados con TB más VIH, solamente </t>
    </r>
    <r>
      <rPr>
        <b/>
        <sz val="8"/>
        <color indexed="8"/>
        <rFont val="Calibri"/>
        <family val="2"/>
      </rPr>
      <t>130</t>
    </r>
    <r>
      <rPr>
        <sz val="8"/>
        <color indexed="8"/>
        <rFont val="Calibri"/>
        <family val="2"/>
      </rPr>
      <t xml:space="preserve"> de estos recibieron TAR, obteniendo un porcentaje de 82.80%.    
Esta meta ha sido lograda y alcanzada; debido a las buenas intervenciones de seguimiento a los pacientes en las Clinicas de Atención Integral al paciente con VIH (Clinicas TAR). Los datos obtenidos y consolidados corresponden a las 20 clinicas TAR dentro de los 30 municipios priorizados, los pacientes registrados en su totalidad provienen de los diferentes municipios de el pais.</t>
    </r>
  </si>
  <si>
    <r>
      <t xml:space="preserve">Con un total acumulado al periodo de </t>
    </r>
    <r>
      <rPr>
        <b/>
        <sz val="8"/>
        <color indexed="8"/>
        <rFont val="Calibri"/>
        <family val="2"/>
      </rPr>
      <t>10,475</t>
    </r>
    <r>
      <rPr>
        <sz val="8"/>
        <color indexed="8"/>
        <rFont val="Calibri"/>
        <family val="2"/>
      </rPr>
      <t xml:space="preserve"> contactos detectados y registrados de los casos de TB en este período; se investigaron en total </t>
    </r>
    <r>
      <rPr>
        <b/>
        <sz val="8"/>
        <color indexed="8"/>
        <rFont val="Calibri"/>
        <family val="2"/>
      </rPr>
      <t xml:space="preserve">10,039 </t>
    </r>
    <r>
      <rPr>
        <sz val="8"/>
        <color indexed="8"/>
        <rFont val="Calibri"/>
        <family val="2"/>
      </rPr>
      <t>contactos de los casos de TB en los 30 municipios priorizados, obteniendo un porcentaje de investigación del 95.83%.
Meta alcanzada y superada; esto debido a la identificación, investigación, seguimiento y evaluación de los contactos de los casos con tuberculosis; a través del buen aporte del personal en los niveles operativos locales.</t>
    </r>
  </si>
  <si>
    <r>
      <t xml:space="preserve">En este período acumulado se tuvo un total </t>
    </r>
    <r>
      <rPr>
        <b/>
        <sz val="8"/>
        <color indexed="8"/>
        <rFont val="Calibri"/>
        <family val="2"/>
      </rPr>
      <t>105</t>
    </r>
    <r>
      <rPr>
        <sz val="8"/>
        <color indexed="8"/>
        <rFont val="Calibri"/>
        <family val="2"/>
      </rPr>
      <t xml:space="preserve"> pacientes sospechosos de fármacoresistencia a drogas antituberculosas, de los cuales se examinaron a los </t>
    </r>
    <r>
      <rPr>
        <b/>
        <sz val="8"/>
        <color indexed="8"/>
        <rFont val="Calibri"/>
        <family val="2"/>
      </rPr>
      <t>105</t>
    </r>
    <r>
      <rPr>
        <sz val="8"/>
        <color indexed="8"/>
        <rFont val="Calibri"/>
        <family val="2"/>
      </rPr>
      <t xml:space="preserve"> en su totalidad, obteniéndose un resultado del 100%.  
Debido a la vigilancia sistematica y rutinaria de los  pacientes con sospecha a  farmacoresistencia (recaidas, fracasos, abandonos recuperados).     </t>
    </r>
  </si>
  <si>
    <t xml:space="preserve">se detecto 1 casos de TB MDR de Julio a Diciembre de  2014; Sin embargo aun estan pendientes los resultados de cultivo ya que el resultado de las pruebas de sensibilidad son del mes de diciembre. </t>
  </si>
  <si>
    <r>
      <t xml:space="preserve">De un total de </t>
    </r>
    <r>
      <rPr>
        <b/>
        <sz val="8"/>
        <color indexed="8"/>
        <rFont val="Calibri"/>
        <family val="2"/>
      </rPr>
      <t>8</t>
    </r>
    <r>
      <rPr>
        <sz val="8"/>
        <color indexed="8"/>
        <rFont val="Calibri"/>
        <family val="2"/>
      </rPr>
      <t xml:space="preserve"> casos MDR- confirmados bacteriológicamente que ingresaron en la cohorte de tratamiento de Enero a Junio 2012, egresaron </t>
    </r>
    <r>
      <rPr>
        <b/>
        <sz val="8"/>
        <color indexed="8"/>
        <rFont val="Calibri"/>
        <family val="2"/>
      </rPr>
      <t>8</t>
    </r>
    <r>
      <rPr>
        <sz val="8"/>
        <color indexed="8"/>
        <rFont val="Calibri"/>
        <family val="2"/>
      </rPr>
      <t xml:space="preserve"> casos como curados, con cultivo negativo al final de su tratamiento, obteniendo un porcentaje del 100%.</t>
    </r>
  </si>
  <si>
    <t>INDICADORES DE IMPACTO EN LA SUBVENCIÓN DE TUBERCULOSIS.</t>
  </si>
  <si>
    <r>
      <t xml:space="preserve">El porcentaje de mortalidad es mayor para el periodo debido a que se reportan un total de </t>
    </r>
    <r>
      <rPr>
        <b/>
        <sz val="8"/>
        <color indexed="8"/>
        <rFont val="Calibri"/>
        <family val="2"/>
      </rPr>
      <t xml:space="preserve">41 </t>
    </r>
    <r>
      <rPr>
        <sz val="8"/>
        <color indexed="8"/>
        <rFont val="Calibri"/>
        <family val="2"/>
      </rPr>
      <t xml:space="preserve">casos nuevos pulmonares baciloscopías positiva coinfectados TB/VIH que ingresaron a la cohorte de tratamiento de los 30 municipios priorizados. </t>
    </r>
    <r>
      <rPr>
        <b/>
        <sz val="8"/>
        <color indexed="8"/>
        <rFont val="Calibri"/>
        <family val="2"/>
      </rPr>
      <t>10</t>
    </r>
    <r>
      <rPr>
        <sz val="8"/>
        <color indexed="8"/>
        <rFont val="Calibri"/>
        <family val="2"/>
      </rPr>
      <t xml:space="preserve"> casos nuevos pulmonares baciloscopias positiva coinfectados TB/VIH egresaron de la cohorte de tratamiento como fallecido, por diferentes causas. Dandonos un total de 24.39 % a reportar al periodo, estando por arriba de la meta prevista 11.10% 
Para el periodo comprendido de Enero a Diciembre 2013 =  10 /41.
</t>
    </r>
    <r>
      <rPr>
        <b/>
        <i/>
        <sz val="8"/>
        <color indexed="8"/>
        <rFont val="Calibri"/>
        <family val="2"/>
      </rPr>
      <t xml:space="preserve">CONDICION DE FALLECIMIENTO:  
</t>
    </r>
    <r>
      <rPr>
        <sz val="8"/>
        <color indexed="8"/>
        <rFont val="Calibri"/>
        <family val="2"/>
      </rPr>
      <t>El envejecimiento de los PVS conlleva enfermedades cronicas no transmisibles y otras inmunosupresiones no VIH que incrementan el riesgo de fallecer, este factor influyo de forma importante para no lograr la meta establecida para el periodo, en las cuales se detalla:
* (7) CON VIH AVANZADO: Ahuachapan 1, Santa Ana 1, Sonsonate 1, Izalco 1 (privado de libertad mas histoplasmosis), Ilopango 1,San Salvador 1, Apopa 1 siendo en total 7 pacientes .  
* (3) COINFECTADOS SIN ARV (No aceptaron ARV): Un paciente privado de libertad del Centro Penal la Esperanza (MARIONA) los PPL generan mayor riesgo de mortalidad no solamente por las condiciones medioambientales que lo rodean, si no por la morbilidad asociada al riesgo social y dos paciente la UCSF de mejicanos, haciendose un total de tres pacientes.</t>
    </r>
  </si>
  <si>
    <r>
      <t xml:space="preserve">De un total de </t>
    </r>
    <r>
      <rPr>
        <b/>
        <sz val="8"/>
        <color indexed="8"/>
        <rFont val="Calibri"/>
        <family val="2"/>
      </rPr>
      <t>1,498</t>
    </r>
    <r>
      <rPr>
        <sz val="8"/>
        <color indexed="8"/>
        <rFont val="Calibri"/>
        <family val="2"/>
      </rPr>
      <t xml:space="preserve"> casos de TB de todas las formas notificada; y con una población estimada en los 30 municipios priorizados de </t>
    </r>
    <r>
      <rPr>
        <b/>
        <sz val="8"/>
        <color indexed="8"/>
        <rFont val="Calibri"/>
        <family val="2"/>
      </rPr>
      <t xml:space="preserve">2,983,370 </t>
    </r>
    <r>
      <rPr>
        <sz val="8"/>
        <color indexed="8"/>
        <rFont val="Calibri"/>
        <family val="2"/>
      </rPr>
      <t xml:space="preserve">habitantes para el periodo, nos da como resultado una tasa de notificación de TB de todas las formas de </t>
    </r>
    <r>
      <rPr>
        <b/>
        <sz val="8"/>
        <color indexed="8"/>
        <rFont val="Calibri"/>
        <family val="2"/>
      </rPr>
      <t>50.01</t>
    </r>
    <r>
      <rPr>
        <sz val="8"/>
        <color indexed="8"/>
        <rFont val="Calibri"/>
        <family val="2"/>
      </rPr>
      <t xml:space="preserve"> x 100,000 habitantes. 
El aumento significativo de la tasa obedece a la utilización de los nuevos métodos diagnósticos para el diagnóstico temprano y oportuno de la enfermedad, desglosados de la manera siguiente:
*La mayoria de los centros penales están ubicado en los municipios priorizados que están en la tasa de notificación, estos aumentaron el 33 punto porcentuales en relacion al año 2013.
*Cambio de algoritmo diagnostico, donde el GenXperte se indica al sintomatico respiratorio que pertence al grupo de mayor riesgo.
* 167 casos nuevos de TB fueron diagnosticados por GENE XPERT y CULTIVO  
* 6 casos Extrapulmonares recaidas. 
* 900 casos por Baciloscopia positiva.
* 425 Incluyendo las recaidas,fracasos, abandonos recuperados,Extra-pulmonar y Pulmonar negativo niños y adultos.
* Así como también la ampliación de cobertura, como estrategia universal del MINSAL en el marco de la reforma de salud. En esta tasa se incluyen todos los casos detectados en el sector salud tales como: MINSAL, ISSS y Centros Penales.</t>
    </r>
  </si>
  <si>
    <r>
      <t xml:space="preserve">De un total de </t>
    </r>
    <r>
      <rPr>
        <b/>
        <sz val="8"/>
        <color indexed="8"/>
        <rFont val="Calibri"/>
        <family val="2"/>
      </rPr>
      <t xml:space="preserve">900 </t>
    </r>
    <r>
      <rPr>
        <sz val="8"/>
        <color indexed="8"/>
        <rFont val="Calibri"/>
        <family val="2"/>
      </rPr>
      <t xml:space="preserve">casos de tuberculosis baciloscopía positiva, se tiene una población estimada para los 30 municipios priorizados en el período de enero a diciembre del año 2014 de 2,983,370 habitantes; el cual al determinar la tasa tuberculosis baciloscopía positiva, nos da como resultado </t>
    </r>
    <r>
      <rPr>
        <b/>
        <sz val="8"/>
        <color indexed="8"/>
        <rFont val="Calibri"/>
        <family val="2"/>
      </rPr>
      <t xml:space="preserve">30.16 </t>
    </r>
    <r>
      <rPr>
        <sz val="8"/>
        <color indexed="8"/>
        <rFont val="Calibri"/>
        <family val="2"/>
      </rPr>
      <t>x 100,000 habitantes.
El aumento de la tasa obedece a:
* Aplicación de las nuevas definiones de caso emanadas por la OMS.
En esta tasa se incluyen todos los casos detectados en el sector salud tales como: MINSAL, ISSS y Centros Penales.</t>
    </r>
  </si>
  <si>
    <t>Para el año 2014 se realizaron a 383 PRUEBAS DE SENSIBILIDAD a sospechosos de resistencias (Coinfectado,paciente con tratamiento despues de perdida en el seguimiento, recaidas, pacientes con diabetes, contactos de TB MDR sintomaticos, fracasos, migrantes y pacientes que no negativizan al segundo mes). De los cuales 10 personas obtuvieron en su resultado resistencia:
* 7 personas con resistencia a Isoniacida.
* 2 personas con resistencia a Rifampicina.
* 1 persona con resistencia a Isoniacida + Rifampicina (MDR).
El resultado del Indicador se debe a la vigilancia rutinaria y sistematica de la farmacoresistencia.</t>
  </si>
  <si>
    <r>
      <t xml:space="preserve">De un total de </t>
    </r>
    <r>
      <rPr>
        <b/>
        <sz val="8"/>
        <color indexed="8"/>
        <rFont val="Calibri"/>
        <family val="2"/>
      </rPr>
      <t>1,001</t>
    </r>
    <r>
      <rPr>
        <sz val="8"/>
        <color indexed="8"/>
        <rFont val="Calibri"/>
        <family val="2"/>
      </rPr>
      <t xml:space="preserve"> casos nuevos pulmonares de tuberculosis con Bk+ que ingresaron a la cohorte de tratamiento en los 30 municipios priorizados para el periodo; </t>
    </r>
    <r>
      <rPr>
        <b/>
        <sz val="8"/>
        <color indexed="8"/>
        <rFont val="Calibri"/>
        <family val="2"/>
      </rPr>
      <t>942</t>
    </r>
    <r>
      <rPr>
        <sz val="8"/>
        <color indexed="8"/>
        <rFont val="Calibri"/>
        <family val="2"/>
      </rPr>
      <t xml:space="preserve"> casos egresaron como curados y tratamiento terminado de las comunidades en el periodo. El cual nos da como resultado como Éxito de tratamiento del 94.1%.
El aumento significativo del Éxito de tratamiento obedece a un mayor seguimiento a través de baciloscopias y cultivo de los casos nuevos lo que permitio egresarlos con la condición de curados al final de su tratamiento. </t>
    </r>
  </si>
  <si>
    <r>
      <t xml:space="preserve">Reporte Anual correspondiente a la Cohorte 2012; donde el Número total de casos de TB-MDR confirmados en laboratorio e inscrito en segunda línea de tratamiento anti-TB durante el año de evaluación fueron </t>
    </r>
    <r>
      <rPr>
        <b/>
        <sz val="8"/>
        <color indexed="8"/>
        <rFont val="Calibri"/>
        <family val="2"/>
      </rPr>
      <t xml:space="preserve">8 </t>
    </r>
    <r>
      <rPr>
        <sz val="8"/>
        <color indexed="8"/>
        <rFont val="Calibri"/>
        <family val="2"/>
      </rPr>
      <t xml:space="preserve">casos MDR-TB y que estos casos de TB-MDR confirmados en laboratorio e inscrito en el tratamiento de segunda línea durante el año de evaluación que fueron tratados con éxito (curado mas  tratamiento terminado) han sido los mismos </t>
    </r>
    <r>
      <rPr>
        <b/>
        <sz val="8"/>
        <color indexed="8"/>
        <rFont val="Calibri"/>
        <family val="2"/>
      </rPr>
      <t xml:space="preserve">8 </t>
    </r>
    <r>
      <rPr>
        <sz val="8"/>
        <color indexed="8"/>
        <rFont val="Calibri"/>
        <family val="2"/>
      </rPr>
      <t>casos MDR. Dando como resultado para el periodo que estamos reportando el 100% de Éxito de tratamiento de casos MDR-TB de los 30 municipios priorizados.  
El éxito de curación se debe a que no hubo desabastecimiento de segunda linea y al tratamiento estrictamente supervisado y al seguimiento bacteriologico de los casos.</t>
    </r>
  </si>
  <si>
    <t>* Fuente de Información : PU_S9 TB, ABRIL 2015.</t>
  </si>
  <si>
    <t>¿Se están ejecutando los fondos de acuerdo al presupuesto?</t>
  </si>
  <si>
    <t>Financiera</t>
  </si>
  <si>
    <t>F1</t>
  </si>
  <si>
    <t>F2</t>
  </si>
  <si>
    <t>En el caso de la contratación de RRHH se recomienda enviar nota a la Ministra de Salud para agilizar este proceso. / Sugerir al Ministerio la asignación de dos personas de compras que se dediquen exclusivamente a la subvenciones del Fondo Mundial.</t>
  </si>
  <si>
    <t>F3</t>
  </si>
  <si>
    <t>F4</t>
  </si>
  <si>
    <t>¿Están las adquisiciones y contrataciones ejecutándose en el tiempo previsto?</t>
  </si>
  <si>
    <t>M3</t>
  </si>
  <si>
    <t>M4</t>
  </si>
  <si>
    <t>M5</t>
  </si>
  <si>
    <t>M6</t>
  </si>
  <si>
    <t>Recomenda al RP realizar las compras de medicamentos con márgen de seguridad de un promedio de 5 meses.</t>
  </si>
  <si>
    <t>¿Se están alcanzando las metas programáticas?</t>
  </si>
  <si>
    <t>Programa</t>
  </si>
  <si>
    <t>P1 - tendencia</t>
  </si>
  <si>
    <t>P2 - tendencia</t>
  </si>
  <si>
    <t>P3 - tendencia</t>
  </si>
  <si>
    <t>Decisiones y acciones</t>
  </si>
  <si>
    <t>¿Cuál es el estado general de la ejecución de esta subvención?</t>
  </si>
  <si>
    <t>Principales recomendaciones del Comité de Monitoreo Estratégico</t>
  </si>
  <si>
    <t>Decisión del MCP</t>
  </si>
  <si>
    <t>Fecha límite para ejecutarla</t>
  </si>
  <si>
    <t>Persona responsable</t>
  </si>
  <si>
    <t>Se enviará nota firmada por el Presidente al MCP y que el comité analice la forma de contratación con fondos de agencias cooperantes</t>
  </si>
  <si>
    <t>20 de Enero 2012</t>
  </si>
  <si>
    <t>Dirección Ejecutiva</t>
  </si>
  <si>
    <t xml:space="preserve">Mandar carta explicando al RP la necesidad de las compras con un margen más amplio </t>
  </si>
  <si>
    <t>Acciones programadas / Periodo anterior</t>
  </si>
  <si>
    <t>¿Cuál es el estado general de la ejecución de estas acciones?</t>
  </si>
  <si>
    <t>Acción realizada</t>
  </si>
  <si>
    <t>Periodo de referencia anterior</t>
  </si>
  <si>
    <t>Set-up = List of validation for Grant Detail page</t>
  </si>
  <si>
    <t>Component</t>
  </si>
  <si>
    <t>Currency</t>
  </si>
  <si>
    <t>Round</t>
  </si>
  <si>
    <t>Phase</t>
  </si>
  <si>
    <t>Period</t>
  </si>
  <si>
    <t>Rating</t>
  </si>
  <si>
    <t>LFA</t>
  </si>
  <si>
    <t>Medicaments</t>
  </si>
  <si>
    <t>Countries</t>
  </si>
  <si>
    <t>Seleccionar</t>
  </si>
  <si>
    <t>VIH / SIDA</t>
  </si>
  <si>
    <t>Ronda 1</t>
  </si>
  <si>
    <t>Fase 1</t>
  </si>
  <si>
    <t>CA (Crown Agents)</t>
  </si>
  <si>
    <t>Antigua y Barbuda</t>
  </si>
  <si>
    <t>MALARIA</t>
  </si>
  <si>
    <t>€</t>
  </si>
  <si>
    <t>Ronda 2</t>
  </si>
  <si>
    <t>A2</t>
  </si>
  <si>
    <t>DEL (Deloitte)</t>
  </si>
  <si>
    <t>Antillas Holandesas</t>
  </si>
  <si>
    <t>Ronda 3</t>
  </si>
  <si>
    <t>RCC</t>
  </si>
  <si>
    <t>B1</t>
  </si>
  <si>
    <t>DTT (DTT Emerging Markets)</t>
  </si>
  <si>
    <t>Argentina</t>
  </si>
  <si>
    <t>VIHSIDA / TB</t>
  </si>
  <si>
    <t>Ronda 4</t>
  </si>
  <si>
    <t>B2</t>
  </si>
  <si>
    <t>FIN (Finconsult)</t>
  </si>
  <si>
    <t>Aruba</t>
  </si>
  <si>
    <t>FSS</t>
  </si>
  <si>
    <t>Ronda 5</t>
  </si>
  <si>
    <t>C</t>
  </si>
  <si>
    <t>GT (Grant Thornton)</t>
  </si>
  <si>
    <t>Levofloxacina 500mg</t>
  </si>
  <si>
    <t>Bahamas</t>
  </si>
  <si>
    <t>Ronda 6</t>
  </si>
  <si>
    <t>H-C (Hodar-Conseil)</t>
  </si>
  <si>
    <t>NVP</t>
  </si>
  <si>
    <t>Barbados</t>
  </si>
  <si>
    <t>Ronda 7</t>
  </si>
  <si>
    <t>KPMG (KPMG)</t>
  </si>
  <si>
    <t>3TC</t>
  </si>
  <si>
    <t>Belice</t>
  </si>
  <si>
    <t>Ronda 8</t>
  </si>
  <si>
    <t>MSCI (MSCI)</t>
  </si>
  <si>
    <t>D4T</t>
  </si>
  <si>
    <t>Bermudas</t>
  </si>
  <si>
    <t>PwC (PricewaterhouseCoopers)</t>
  </si>
  <si>
    <t>AZT</t>
  </si>
  <si>
    <t>Bolivia</t>
  </si>
  <si>
    <t>Ronda 10</t>
  </si>
  <si>
    <t>DDI</t>
  </si>
  <si>
    <t>Brasil</t>
  </si>
  <si>
    <t>UNOPS</t>
  </si>
  <si>
    <t>EFV</t>
  </si>
  <si>
    <t>Cabo Verde</t>
  </si>
  <si>
    <t>AS/LF</t>
  </si>
  <si>
    <t>Chile</t>
  </si>
  <si>
    <t>AS/AQ</t>
  </si>
  <si>
    <t>Colombia</t>
  </si>
  <si>
    <t>AS/MQ</t>
  </si>
  <si>
    <t>Costa Rica</t>
  </si>
  <si>
    <t>Al/Lum</t>
  </si>
  <si>
    <t>Cuba</t>
  </si>
  <si>
    <t>Dominica</t>
  </si>
  <si>
    <t>TB nutri'l supplements</t>
  </si>
  <si>
    <t>Ecuador</t>
  </si>
  <si>
    <t>E-PAP</t>
  </si>
  <si>
    <t>Producto 1</t>
  </si>
  <si>
    <t>España</t>
  </si>
  <si>
    <t>Producto 2</t>
  </si>
  <si>
    <t>Guadalupe</t>
  </si>
  <si>
    <t>Producto 3</t>
  </si>
  <si>
    <t>Guatemala</t>
  </si>
  <si>
    <t>Guinea</t>
  </si>
  <si>
    <t>Guinea Ecuatorial</t>
  </si>
  <si>
    <t>Guinea-Bissau</t>
  </si>
  <si>
    <t>Guyana</t>
  </si>
  <si>
    <t>Haití</t>
  </si>
  <si>
    <t>Honduras</t>
  </si>
  <si>
    <t>Islas Caimanes</t>
  </si>
  <si>
    <t>Jamaica</t>
  </si>
  <si>
    <t>México</t>
  </si>
  <si>
    <t>Nicaragua</t>
  </si>
  <si>
    <t>Panamá</t>
  </si>
  <si>
    <t>Paraguay</t>
  </si>
  <si>
    <t>Perú</t>
  </si>
  <si>
    <t>Puerto Rico</t>
  </si>
  <si>
    <t>San Vicente, Granadinas</t>
  </si>
  <si>
    <t>Trinidad y Tobago</t>
  </si>
  <si>
    <t>Uruguay</t>
  </si>
  <si>
    <t>Venezuela</t>
  </si>
  <si>
    <t>Indicadores Financieros</t>
  </si>
  <si>
    <t>Nombre:</t>
  </si>
  <si>
    <t>Definición</t>
  </si>
  <si>
    <t>Mediciones</t>
  </si>
  <si>
    <t>Fuentes de información</t>
  </si>
  <si>
    <r>
      <t xml:space="preserve">Presupuesto acumulado: </t>
    </r>
    <r>
      <rPr>
        <sz val="11"/>
        <color indexed="8"/>
        <rFont val="Arial"/>
        <family val="2"/>
      </rPr>
      <t xml:space="preserve">Importe del presupuesto de la subvención desde el periodo uno (trimestral, cuatrimestral o semestral) de la fase actual, hasta el periodo de referencia del cuadro de mando inclusive.
</t>
    </r>
    <r>
      <rPr>
        <b/>
        <sz val="11"/>
        <color indexed="8"/>
        <rFont val="Arial"/>
        <family val="2"/>
      </rPr>
      <t xml:space="preserve">Desembolsos acumulados realizados por el Fondo Mundial: </t>
    </r>
    <r>
      <rPr>
        <sz val="11"/>
        <color indexed="8"/>
        <rFont val="Arial"/>
        <family val="2"/>
      </rPr>
      <t>Suma de todos los fondos transferidos por el Fondo Mundial al RP o abonados directamente a los proveedores (p. ej. medicamentos, equipo, mosquiteras); hasta el periodo de referencia del cuadro de mando inclusive.</t>
    </r>
  </si>
  <si>
    <t>Moneda de la subvención ($ o euro) Acumulado – Cifras referidas al presupuesto y los desembolsos para todos los periodos de la fase hasta el periodo de referencia del cuadro de mando inclusive</t>
  </si>
  <si>
    <t>Información bancaria o contable del RP; notificación de desembolso del Fondo Mundial; informe de progreso actualizado/solicitud de desembolso; sitio web del Fondo Mundial</t>
  </si>
  <si>
    <r>
      <t>Presupuesto acumulado por objetivo:</t>
    </r>
    <r>
      <rPr>
        <sz val="11"/>
        <color indexed="8"/>
        <rFont val="Arial"/>
        <family val="2"/>
      </rPr>
      <t xml:space="preserve"> Suma del presupuesto de la subvención por Objetivo, desde el periodo uno de la fase actual hasta el periodo de referencia del cuadro de mando inclusive. 
</t>
    </r>
    <r>
      <rPr>
        <b/>
        <sz val="11"/>
        <color indexed="8"/>
        <rFont val="Arial"/>
        <family val="2"/>
      </rPr>
      <t>Gasto acumulado por objetivo:</t>
    </r>
    <r>
      <rPr>
        <sz val="11"/>
        <color indexed="8"/>
        <rFont val="Arial"/>
        <family val="2"/>
      </rPr>
      <t xml:space="preserve"> Suma de las cantidades gastadas por objetivo directamente por el RP más las cantidades transferidas por el RP a todos los subreceptores desde el principio de la fase hasta el periodo de referencia del cuadro de mando inclusive, por objetivo</t>
    </r>
  </si>
  <si>
    <t>• Acumulado – Cifras referidas al presupuesto, los desembolsos o el gasto para todos los periodos de la fase hasta el periodo de referencia del cuadro de mando inclusive.</t>
  </si>
  <si>
    <r>
      <t>Desembolso realizado por el Fondo Mundial: Antes de este periodo de referencia:</t>
    </r>
    <r>
      <rPr>
        <sz val="11"/>
        <color indexed="8"/>
        <rFont val="Arial"/>
        <family val="2"/>
      </rPr>
      <t xml:space="preserve"> Suma de las cantidades transferidas por el Fondo Mundial al RP o abonadas directamente a los proveedores (p. ej. medicamentos, equipo, mosquiteras),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Desembolso realizado por el Fondo Mundial: Periodo de referencia:</t>
    </r>
    <r>
      <rPr>
        <sz val="11"/>
        <color indexed="8"/>
        <rFont val="Arial"/>
        <family val="2"/>
      </rPr>
      <t xml:space="preserve"> Suma de las cantidades transferidas por el Fondo Mundial al RP o abonadas directamente a los proveedores (p. ej. medicamentos, equipo, mosquiteras), durante el periodo de referencia del cuadro de mando. 
</t>
    </r>
    <r>
      <rPr>
        <b/>
        <sz val="11"/>
        <color indexed="8"/>
        <rFont val="Arial"/>
        <family val="2"/>
      </rPr>
      <t>Desembolsos y gastos del RP:</t>
    </r>
    <r>
      <rPr>
        <sz val="11"/>
        <color indexed="8"/>
        <rFont val="Arial"/>
        <family val="2"/>
      </rPr>
      <t xml:space="preserve"> </t>
    </r>
    <r>
      <rPr>
        <b/>
        <sz val="11"/>
        <color indexed="8"/>
        <rFont val="Arial"/>
        <family val="2"/>
      </rPr>
      <t>Antes de este periodo de referencia:</t>
    </r>
    <r>
      <rPr>
        <sz val="11"/>
        <color indexed="8"/>
        <rFont val="Arial"/>
        <family val="2"/>
      </rPr>
      <t xml:space="preserve"> Total de fondos registrados como gastados por el RP y/o desembolsados a los subreceptores hasta, </t>
    </r>
    <r>
      <rPr>
        <b/>
        <i/>
        <sz val="11"/>
        <color indexed="8"/>
        <rFont val="Arial"/>
        <family val="2"/>
      </rPr>
      <t xml:space="preserve">aunque sin incluirlo, </t>
    </r>
    <r>
      <rPr>
        <sz val="11"/>
        <color indexed="8"/>
        <rFont val="Arial"/>
        <family val="2"/>
      </rPr>
      <t>el periodo de referencia del cuadro de mando.</t>
    </r>
    <r>
      <rPr>
        <b/>
        <sz val="11"/>
        <color indexed="8"/>
        <rFont val="Arial"/>
        <family val="2"/>
      </rPr>
      <t xml:space="preserve"> Desembolsos y gastos del RP: Periodo de referencia:</t>
    </r>
    <r>
      <rPr>
        <sz val="11"/>
        <color indexed="8"/>
        <rFont val="Arial"/>
        <family val="2"/>
      </rPr>
      <t xml:space="preserve"> Total de fondos registrados como gastados por el RP y/o desembolsados a los subreceptores durante el periodo de referencia del cuadro de mando.
</t>
    </r>
    <r>
      <rPr>
        <b/>
        <sz val="11"/>
        <color indexed="8"/>
        <rFont val="Arial"/>
        <family val="2"/>
      </rPr>
      <t xml:space="preserve">Desembolsos a los subreceptores: Antes de este periodo de referencia: </t>
    </r>
    <r>
      <rPr>
        <sz val="11"/>
        <color indexed="8"/>
        <rFont val="Arial"/>
        <family val="2"/>
      </rPr>
      <t xml:space="preserve">El importe total transferido por el RP a los subreceptores,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 xml:space="preserve">Desembolsos a los subreceptores: Periodo de referencia: </t>
    </r>
    <r>
      <rPr>
        <sz val="11"/>
        <color indexed="8"/>
        <rFont val="Arial"/>
        <family val="2"/>
      </rPr>
      <t xml:space="preserve">El importe total transferido por el RP a los subreceptores en el periodo de referencia del cuadro de mando.
</t>
    </r>
    <r>
      <rPr>
        <b/>
        <sz val="11"/>
        <color indexed="8"/>
        <rFont val="Arial"/>
        <family val="2"/>
      </rPr>
      <t xml:space="preserve">Gastos de los subreceptores: Antes de este periodo de referencia: </t>
    </r>
    <r>
      <rPr>
        <sz val="11"/>
        <color indexed="8"/>
        <rFont val="Arial"/>
        <family val="2"/>
      </rPr>
      <t xml:space="preserve">El importe de todos los gastos registrados por los subreceptores,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Gastos de los subreceptores: Periodo de referencia:</t>
    </r>
    <r>
      <rPr>
        <sz val="11"/>
        <color indexed="8"/>
        <rFont val="Arial"/>
        <family val="2"/>
      </rPr>
      <t xml:space="preserve"> El importe de todos los gastos registrados por los subreceptores durante el periodo de referencia del cuadro de mando.</t>
    </r>
  </si>
  <si>
    <r>
      <t xml:space="preserve">Moneda de la subvención ($ o euro)
• Periodo de referencia – Cifras referidas al presupuesto, los desembolsos o el gasto para el periodo de referencia al que alude el cuadro de mando.
• Antes del periodo de referencia - Cifras referidas a todo el presupuesto, los desembolsos o el gasto para todos los periodos antes, </t>
    </r>
    <r>
      <rPr>
        <b/>
        <i/>
        <sz val="11"/>
        <color indexed="8"/>
        <rFont val="Arial"/>
        <family val="2"/>
      </rPr>
      <t>aunque sin incluirlo,</t>
    </r>
    <r>
      <rPr>
        <sz val="11"/>
        <color indexed="8"/>
        <rFont val="Arial"/>
        <family val="2"/>
      </rPr>
      <t xml:space="preserve"> del periodo actual.</t>
    </r>
  </si>
  <si>
    <t>Informe de progreso actualizado/solicitud de desembolso; datos del RP: informes de los subreceptores al RP</t>
  </si>
  <si>
    <r>
      <t xml:space="preserve">Días tardados en enviar el informe de progreso actualizado y solicitud de desembolso al ALF – </t>
    </r>
    <r>
      <rPr>
        <sz val="11"/>
        <color indexed="8"/>
        <rFont val="Arial"/>
        <family val="2"/>
      </rPr>
      <t xml:space="preserve">Este indicador mide el número de días naturales que el RP ha tardado en enviar un informe de progreso actualizado y solicitud de desembolso final al ALF desde el final del periodo. Un informe de progreso actualizado y solicitud de desembolso final cuando el ALF no necesita más aclaraciones del RP.
El valor esperado es de 45 días a partir del final del periodo, según se establece en el acuerdo de subvención.
El valor real es el número de días naturales desde la fecha de finalización del periodo hasta la fecha en la que el RP ha enviado al ALF el informe de progreso actualizado y solicitud de desembolso final.
</t>
    </r>
    <r>
      <rPr>
        <b/>
        <sz val="11"/>
        <color indexed="8"/>
        <rFont val="Arial"/>
        <family val="2"/>
      </rPr>
      <t xml:space="preserve">Días que el desembolso ha tardado en llegar al RP – </t>
    </r>
    <r>
      <rPr>
        <sz val="11"/>
        <color indexed="8"/>
        <rFont val="Arial"/>
        <family val="2"/>
      </rPr>
      <t xml:space="preserve">Este indicador mide el número de días naturales que el Fondo Mundial ha tardado en enviar el último desembolso a la cuenta del RP tras la recepción del informe de progreso actualizado y solicitud de desembolso final aceptable por parte del ALF. 
El número esperado es de 45 días. 
El número real es el número de días desde la fecha de transmisión del RP al ALF del informe de progreso actualizado y solicitud de desembolso final aceptable hasta la fecha en la que el desembolso ha sido recibido por el RP en su banco.
</t>
    </r>
    <r>
      <rPr>
        <b/>
        <sz val="11"/>
        <color indexed="8"/>
        <rFont val="Arial"/>
        <family val="2"/>
      </rPr>
      <t xml:space="preserve">Días que el desembolso ha tardado en llegar a los subreceptores – </t>
    </r>
    <r>
      <rPr>
        <sz val="11"/>
        <color indexed="8"/>
        <rFont val="Arial"/>
        <family val="2"/>
      </rPr>
      <t>Este indicador mide la media de días en la que los desembolsos se han realizado a todos los subreceptores.
Los días esperados para este indicador se establecerán en el país por el RP y los subreceptores, preferiblemente en el Manual de Operaciones de la Subvención. 
Los días reales son la media de días desde que el RP recibió los fondos procedentes del Fondo Mundial hasta la fecha en la que los recibieron todos los subreceptores. Los distintos subreceptores pudieron recibir los fondos en fechas distintas, por lo que este indicador es la media de todos los subreceptores en relación al último desembolso.</t>
    </r>
  </si>
  <si>
    <r>
      <t xml:space="preserve">Número de días naturales; se refiere sólo al periodo de referencia para el que se recibió el último desembolso y </t>
    </r>
    <r>
      <rPr>
        <b/>
        <sz val="11"/>
        <color indexed="8"/>
        <rFont val="Arial"/>
        <family val="2"/>
      </rPr>
      <t>no es acumulado</t>
    </r>
  </si>
  <si>
    <t>Correos electrónicos y registros del RP, ALF y el Fondo Mundial; documentos de notificación bancaria o acuse de recibo por parte del RP al Fondo Mundial; informes de los subreceptores al RP según los registros bancarios</t>
  </si>
  <si>
    <t>Indicadores de gestión</t>
  </si>
  <si>
    <t>Fuente de información</t>
  </si>
  <si>
    <r>
      <t xml:space="preserve">Número de condiciones precedentes y acciones con fecha límite, cumplidas o incumplidas. 
</t>
    </r>
    <r>
      <rPr>
        <sz val="11"/>
        <color indexed="8"/>
        <rFont val="Arial"/>
        <family val="2"/>
      </rPr>
      <t>Cumplidas: Se refieren al número de las condiciones precedentes y acciones con fecha límite que se han llevado a cabo dentro el período establecido. 
No cumplidas: Se refiere al número de las condiciones precedentes y acciones con fecha límite incumplidas, diferenciando las que cuya fecha aún no ha pasado de su fecha límite con aquellas para los que el plazo ya se han pasado del tiempo establecido.</t>
    </r>
  </si>
  <si>
    <t>Número, acumulado hasta el periodo de referencia del cuadro de mando. El número de condiciones precedentes y actuaciones enmarcadas dentro de un calendario cumplidas más condiciones precedentes y actuaciones enmarcadas dentro de un calendario incumplidas debe ser igual al número total establecido por el Fondo Mundial en la subvención</t>
  </si>
  <si>
    <t>Registros del RP; informes de desempeño de la subvención;</t>
  </si>
  <si>
    <r>
      <t>Número de puestos directivos planificados de la subvención del RP actualmente cubiertos o vacantes.</t>
    </r>
    <r>
      <rPr>
        <sz val="11"/>
        <color indexed="8"/>
        <rFont val="Arial"/>
        <family val="2"/>
      </rPr>
      <t xml:space="preserve"> Puestos directos de tiempo completo que están en el organigrama (o planificados de otra forma) y que son directamente responsables de garantizar la ejecución de la subvención en el RP y dirigir a los subreceptores (si es necesario). Incluye las nuevas contrataciones, el personal actual asignado a la gestión de la subvención, así como cualquier otro personal trasladado temporalmente de otras divisiones y organizaciones asociadas.</t>
    </r>
  </si>
  <si>
    <t>Número, en el actual periodo de referencia</t>
  </si>
  <si>
    <t>Registros del RP</t>
  </si>
  <si>
    <r>
      <t xml:space="preserve">
</t>
    </r>
    <r>
      <rPr>
        <b/>
        <sz val="11"/>
        <color indexed="8"/>
        <rFont val="Arial"/>
        <family val="2"/>
      </rPr>
      <t xml:space="preserve">Identificados: </t>
    </r>
    <r>
      <rPr>
        <sz val="11"/>
        <color indexed="8"/>
        <rFont val="Arial"/>
        <family val="2"/>
      </rPr>
      <t xml:space="preserve">Número total de subreceptores potenciales identificados por el RP para la fase. </t>
    </r>
    <r>
      <rPr>
        <b/>
        <sz val="11"/>
        <color indexed="8"/>
        <rFont val="Arial"/>
        <family val="2"/>
      </rPr>
      <t xml:space="preserve">Evaluados: </t>
    </r>
    <r>
      <rPr>
        <sz val="11"/>
        <color indexed="8"/>
        <rFont val="Arial"/>
        <family val="2"/>
      </rPr>
      <t xml:space="preserve">Número total de subreceptores potenciales evaluados por el RP para determinar si cumplen los requisitos para actuar como subreceptores de la subvención. </t>
    </r>
    <r>
      <rPr>
        <b/>
        <sz val="11"/>
        <color indexed="8"/>
        <rFont val="Arial"/>
        <family val="2"/>
      </rPr>
      <t>Aprobados:</t>
    </r>
    <r>
      <rPr>
        <sz val="11"/>
        <color indexed="8"/>
        <rFont val="Arial"/>
        <family val="2"/>
      </rPr>
      <t xml:space="preserve"> Número total de subreceptores que han sido aprobados</t>
    </r>
    <r>
      <rPr>
        <b/>
        <sz val="11"/>
        <color indexed="8"/>
        <rFont val="Arial"/>
        <family val="2"/>
      </rPr>
      <t xml:space="preserve">. Firmados: </t>
    </r>
    <r>
      <rPr>
        <sz val="11"/>
        <color indexed="8"/>
        <rFont val="Arial"/>
        <family val="2"/>
      </rPr>
      <t xml:space="preserve">Número total de subreceptores que han firmado acuerdos o contratos con el RP en relación a la subvención. </t>
    </r>
    <r>
      <rPr>
        <b/>
        <sz val="11"/>
        <color indexed="8"/>
        <rFont val="Arial"/>
        <family val="2"/>
      </rPr>
      <t xml:space="preserve">Que reciben financiación: </t>
    </r>
    <r>
      <rPr>
        <sz val="11"/>
        <color indexed="8"/>
        <rFont val="Arial"/>
        <family val="2"/>
      </rPr>
      <t xml:space="preserve">Número total de subreceptores que están recibiendo fondos y/o provisiones del RP.
Los números de subreceptores identificados, evaluados, firmados y que reciben fondos son acumulados para la fase, con las siguientes excepciones:  
Si un subreceptor no necesita una nueva aprobación en la Fase II, se tiene en cuenta la aprobación de la Fase I. 
Si un subreceptor ha firmado en la fase anterior, pero </t>
    </r>
    <r>
      <rPr>
        <b/>
        <sz val="11"/>
        <color indexed="8"/>
        <rFont val="Arial"/>
        <family val="2"/>
      </rPr>
      <t>no</t>
    </r>
    <r>
      <rPr>
        <sz val="11"/>
        <color indexed="8"/>
        <rFont val="Arial"/>
        <family val="2"/>
      </rPr>
      <t xml:space="preserve"> está trabajando en la fase actual, dicho subreceptor ya no se tiene en cuenta en Identificados, evaluados, aprobados.</t>
    </r>
  </si>
  <si>
    <t>Número, acumulado hasta el periodo de referencia. Un subreceptor es una institución o programa con un plan de trabajo, un presupuesto y unas metas de cumplimiento propios.</t>
  </si>
  <si>
    <t>Registros del RP; subacuerdos / memorandos de entendimiento; registros del MCP</t>
  </si>
  <si>
    <t xml:space="preserve">El número total de informes periódicos con información (del programa) financiera, de gestión y de rendimiento actualizada recibida por el RP de parte de los subreceptores y por los subreceptores de parte de los sub subreceptores en la fecha esperada. Un informe “completo” es aquel que contiene toda la información que el RP exige para el informe de progreso actualizado y solicitud de desembolso.
La fecha esperada sería establecida por el RP en los subacuerdos. </t>
  </si>
  <si>
    <r>
      <t xml:space="preserve">Número de informes recibidos. La cifra refleja sólo el periodo de referencia; no es </t>
    </r>
    <r>
      <rPr>
        <b/>
        <i/>
        <sz val="11"/>
        <color indexed="8"/>
        <rFont val="Arial"/>
        <family val="2"/>
      </rPr>
      <t>acumulada.</t>
    </r>
  </si>
  <si>
    <t>Registros del RP y el subreceptor</t>
  </si>
  <si>
    <r>
      <t xml:space="preserve">Este indicador mide el presupuesto aprobado para la fase actual de la subvención para la compra de productos y equipos sanitarios, productos farmacéuticos y medicinas (categorías 4 y 5 en los nuevos Informes Financieros Mejorados) y las cantidades acumuladas de las obligaciones financieras y gastos hasta el periodo de referencia del cuadro de mando. 
Presupuesto </t>
    </r>
    <r>
      <rPr>
        <b/>
        <sz val="11"/>
        <color indexed="8"/>
        <rFont val="Arial"/>
        <family val="2"/>
      </rPr>
      <t xml:space="preserve">aprobado: </t>
    </r>
    <r>
      <rPr>
        <sz val="11"/>
        <color indexed="8"/>
        <rFont val="Arial"/>
        <family val="2"/>
      </rPr>
      <t xml:space="preserve">Presupuesto total aprobado para las compras (categorías 4 y 5) </t>
    </r>
    <r>
      <rPr>
        <b/>
        <i/>
        <sz val="11"/>
        <color indexed="8"/>
        <rFont val="Arial"/>
        <family val="2"/>
      </rPr>
      <t>para la fase completa</t>
    </r>
    <r>
      <rPr>
        <i/>
        <sz val="11"/>
        <color indexed="8"/>
        <rFont val="Arial"/>
        <family val="2"/>
      </rPr>
      <t xml:space="preserve"> </t>
    </r>
    <r>
      <rPr>
        <sz val="11"/>
        <color indexed="8"/>
        <rFont val="Arial"/>
        <family val="2"/>
      </rPr>
      <t xml:space="preserve">de la subvención. No incluye las sumas para honorarios, gastos de gestión, gastos operativos, etc.
</t>
    </r>
    <r>
      <rPr>
        <b/>
        <sz val="11"/>
        <color indexed="8"/>
        <rFont val="Arial"/>
        <family val="2"/>
      </rPr>
      <t>Obligaciones acumuladas:</t>
    </r>
    <r>
      <rPr>
        <sz val="11"/>
        <color indexed="8"/>
        <rFont val="Arial"/>
        <family val="2"/>
      </rPr>
      <t xml:space="preserve"> Total de todos los pedidos realizados y sumas de dinero comprometidas para estas compras por parte del RP </t>
    </r>
    <r>
      <rPr>
        <b/>
        <i/>
        <sz val="11"/>
        <color indexed="8"/>
        <rFont val="Arial"/>
        <family val="2"/>
      </rPr>
      <t xml:space="preserve">hasta </t>
    </r>
    <r>
      <rPr>
        <sz val="11"/>
        <color indexed="8"/>
        <rFont val="Arial"/>
        <family val="2"/>
      </rPr>
      <t xml:space="preserve">el periodo de referencia del cuadro de mando inclusive. Lo ideal es que, al final de la fase, el presupuesto iguale a las obligaciones.
</t>
    </r>
    <r>
      <rPr>
        <b/>
        <sz val="11"/>
        <color indexed="8"/>
        <rFont val="Arial"/>
        <family val="2"/>
      </rPr>
      <t>Gasto acumulado:</t>
    </r>
    <r>
      <rPr>
        <sz val="11"/>
        <color indexed="8"/>
        <rFont val="Arial"/>
        <family val="2"/>
      </rPr>
      <t xml:space="preserve"> Total del gasto real en las categorías 4 y 5 </t>
    </r>
    <r>
      <rPr>
        <b/>
        <i/>
        <sz val="11"/>
        <color indexed="8"/>
        <rFont val="Arial"/>
        <family val="2"/>
      </rPr>
      <t>hasta</t>
    </r>
    <r>
      <rPr>
        <sz val="11"/>
        <color indexed="8"/>
        <rFont val="Arial"/>
        <family val="2"/>
      </rPr>
      <t xml:space="preserve"> el periodo de referencia del cuadro de mando inclusive (tanto si ha sido pagado por el RP como si ha sido autorizado a ser abonado por otra entidad, como el Fondo Mundial u otro).</t>
    </r>
  </si>
  <si>
    <t>Moneda de la subvención ($ o euro)</t>
  </si>
  <si>
    <t>Presupuesto aprobado del acuerdo de subvención (para las categorías 4 y 5 de los informes financieros mejorados de la fase actual); y datos financieros del RP (para gastos) y/o unidades de gestión de adquisición y suministro (para pedidos realizados y fondos comprometidos u obligados).</t>
  </si>
  <si>
    <r>
      <t xml:space="preserve">Nota: </t>
    </r>
    <r>
      <rPr>
        <sz val="11"/>
        <color indexed="8"/>
        <rFont val="Arial"/>
        <family val="2"/>
      </rPr>
      <t xml:space="preserve">La categoría 6 de los Informes Financieros Mejorados no será considerada como parte del presupuesto de productos farmacéuticos. La categoría 6 tiene diversos gastos que resultan difíciles de separar o cuantificar, tales como gastos de depósito, costos de distribución (especialmente cuando la distribución es realizada por los Ministerios de Sanidad) y otros relacionados con los costos operativos de la gestión de adquisición y suministro. </t>
    </r>
  </si>
  <si>
    <t xml:space="preserve">Este indicador es un reflejo de la diferencia entre el nivel de existencias actuales (o del último mes) de un producto específico (combinaciones en dosis fija de medicamentos, mosquitero, equipos de diagnóstico, etc.) de una dosis determinada, expresada en necesidades mensuales (número de meses de tratamiento disponible) para todos los pacientes del programa y las existencias de seguridad o de regulación (también expresado en meses) según se establece en el programa de la enfermedad, el sistema de almacenamiento o el programa de medicamentos esenciales, para el determinado producto o dosis.  
La tabla mostrará la diferencia de los meses en colores:
• ROJO: cuando la diferencia es negativa o 0 y muestra que los meses de las existencias actuales son inferiores o iguales a los que han sido establecidos como meses de existencias de seguridad
• AMARILLO: cuando disponemos de más que el nivel de existencias de seguridad (&gt;0), pero menos de 3 meses (+3).
• VERDE: cuando la diferencia es entre 3 y 18 meses.
• VIOLETA: Cuando la diferencia muestra que el nivel sobre las existencias de seguridad es mayor o igual a 18 meses, lo que indica un posible problema de excedentes de existencias.
Para ver una descripción completa de la forma de cálculo de este indicador, consulte el Manual de Usuario.
</t>
  </si>
  <si>
    <t>Número de meses</t>
  </si>
  <si>
    <t>Registros del RP: datos de almacenamiento.</t>
  </si>
  <si>
    <t>Indicadores del programa (del Marco de Referencia)</t>
  </si>
  <si>
    <t>Indicador</t>
  </si>
  <si>
    <t>Definición (del Plan de Monitoreo y Evaluación, junio de 2007)</t>
  </si>
  <si>
    <t xml:space="preserve">Los indicadores deben ser seleccionados del Marco de Referencia por los RP y los miembros del MCP o del Comité Técnico del MCP </t>
  </si>
  <si>
    <t>Marco de referencia</t>
  </si>
  <si>
    <t>Información de la subvención</t>
  </si>
  <si>
    <t>País:</t>
  </si>
  <si>
    <t>El Salvador</t>
  </si>
  <si>
    <t>Título de la subvención:</t>
  </si>
  <si>
    <t>Prevention and control of tuberculosis in high risk populations in 30
municipalities in El Salvador</t>
  </si>
  <si>
    <t>Subvención nº:</t>
  </si>
  <si>
    <t>SLV-910-G08-T</t>
  </si>
  <si>
    <t>Componente:</t>
  </si>
  <si>
    <t>TB</t>
  </si>
  <si>
    <t>Financiación total:</t>
  </si>
  <si>
    <t>Receptor Principal:</t>
  </si>
  <si>
    <t xml:space="preserve">Ministerio de Salud </t>
  </si>
  <si>
    <t>Convocatoria:</t>
  </si>
  <si>
    <t>Ronda 9</t>
  </si>
  <si>
    <t>Fase:</t>
  </si>
  <si>
    <t>Fase 2</t>
  </si>
  <si>
    <t>Fecha de inicio (dd/mm/aa):</t>
  </si>
  <si>
    <t>Agente Local del Fondo:</t>
  </si>
  <si>
    <t xml:space="preserve">STI (Swiss Tropical Institute), </t>
  </si>
  <si>
    <t>Ultima calificación:</t>
  </si>
  <si>
    <t>A1</t>
  </si>
  <si>
    <t>Gerente de Cartera del Fondo:</t>
  </si>
  <si>
    <t>Giulia Perrone</t>
  </si>
  <si>
    <t>Periodo de referencia del que se informa</t>
  </si>
  <si>
    <t>Periodo:</t>
  </si>
  <si>
    <t>P9</t>
  </si>
  <si>
    <t>Desde:</t>
  </si>
  <si>
    <t>Hasta:</t>
  </si>
  <si>
    <t>Fecha de introducción de la información:</t>
  </si>
  <si>
    <t>Elaborado por:</t>
  </si>
  <si>
    <t>UCP/UFE/MINSAL.</t>
  </si>
  <si>
    <t>Información sobre los indicadores</t>
  </si>
  <si>
    <t>Introduzca los datos según el código de colores de las celdas</t>
  </si>
  <si>
    <t xml:space="preserve">Información financiera: </t>
  </si>
  <si>
    <t xml:space="preserve">Información de gestión: </t>
  </si>
  <si>
    <t xml:space="preserve">Información de programa: </t>
  </si>
  <si>
    <t xml:space="preserve">     Introduzca los datos financieros en todas las celdas naranjas como ésta.</t>
  </si>
  <si>
    <t>Moneda de la subvención</t>
  </si>
  <si>
    <t>$</t>
  </si>
  <si>
    <t>F1: Presupuesto y desembolsos del Fondo Mundial</t>
  </si>
  <si>
    <t>Desembolsos</t>
  </si>
  <si>
    <t>Periodo de referencia</t>
  </si>
  <si>
    <t>P1</t>
  </si>
  <si>
    <t>P2</t>
  </si>
  <si>
    <t>P3</t>
  </si>
  <si>
    <t>P4</t>
  </si>
  <si>
    <t>P5</t>
  </si>
  <si>
    <t>P6</t>
  </si>
  <si>
    <t>P7</t>
  </si>
  <si>
    <t>P8</t>
  </si>
  <si>
    <t>P10</t>
  </si>
  <si>
    <t>P11</t>
  </si>
  <si>
    <t>P12</t>
  </si>
  <si>
    <t>Presupuesto acumulado</t>
  </si>
  <si>
    <t>Desembolsos  acumulados</t>
  </si>
  <si>
    <t>F2: Presupuesto y gastos reales por objetivo de la subvención</t>
  </si>
  <si>
    <t>Objetivo de la subvención</t>
  </si>
  <si>
    <t>Objetivo 1</t>
  </si>
  <si>
    <t>Objetivo 2</t>
  </si>
  <si>
    <t>Objetivo 3</t>
  </si>
  <si>
    <t>Objetivo 4</t>
  </si>
  <si>
    <t>Objetivo 5</t>
  </si>
  <si>
    <t>Objetivo 6</t>
  </si>
  <si>
    <t>Total</t>
  </si>
  <si>
    <t>F3: Desembolsos y gastos</t>
  </si>
  <si>
    <t>Anterior al periodo de referencia</t>
  </si>
  <si>
    <t>Periodo de referencia actual</t>
  </si>
  <si>
    <t>Desembolsado por el Fondo Mundial</t>
  </si>
  <si>
    <t>Gasto RP + desembolso a SRs</t>
  </si>
  <si>
    <t>Desembolsado a los subreceptores</t>
  </si>
  <si>
    <t>Gastos de los subreceptores</t>
  </si>
  <si>
    <t>F4: Último ciclo de información y desembolso del RP</t>
  </si>
  <si>
    <t>Último desembolso de fondos: Número de días calendario</t>
  </si>
  <si>
    <t>(Días) esperados</t>
  </si>
  <si>
    <t>(Días) reales</t>
  </si>
  <si>
    <t>Días tardados en presentar el informe de progreso actualizado y solicitud de desembolso al ALF</t>
  </si>
  <si>
    <t>Días que el desembolso ha tardado en llegar al RP</t>
  </si>
  <si>
    <t xml:space="preserve">Días que el desembolso ha tardado en llegar a los subreceptores </t>
  </si>
  <si>
    <t>Información de gestión:</t>
  </si>
  <si>
    <t xml:space="preserve">     Introduzca los datos de gestión en todas las celdas azules.</t>
  </si>
  <si>
    <t>M1: Estado de las condiciones precedentes y acciones con fecha límite</t>
  </si>
  <si>
    <t>Cumplidas</t>
  </si>
  <si>
    <t>No cumplidas, aunque dentro de plazo</t>
  </si>
  <si>
    <t>No cumplidas y con el plazo vencido</t>
  </si>
  <si>
    <t>Condiciones precedentes</t>
  </si>
  <si>
    <t>Acciones con fecha límite</t>
  </si>
  <si>
    <t>M2: Estado de los principales puestos directivos del RP</t>
  </si>
  <si>
    <t>Planificados</t>
  </si>
  <si>
    <t>Cubiertos</t>
  </si>
  <si>
    <t>Vacantes</t>
  </si>
  <si>
    <t>Unidad de gestión de proyecto</t>
  </si>
  <si>
    <t xml:space="preserve">M3: Acuerdos contractuales (subreceptores) </t>
  </si>
  <si>
    <t>Identificados</t>
  </si>
  <si>
    <t>Evaluados</t>
  </si>
  <si>
    <t>Aprobados</t>
  </si>
  <si>
    <t>Firmados</t>
  </si>
  <si>
    <t>Que reciben financiación</t>
  </si>
  <si>
    <t>Subreceptores</t>
  </si>
  <si>
    <t>M4: Número de informes completos recibidos a tiempo</t>
  </si>
  <si>
    <t>Esperados</t>
  </si>
  <si>
    <t>Recibidos</t>
  </si>
  <si>
    <t>Pendientes</t>
  </si>
  <si>
    <t>Sub SR al SR</t>
  </si>
  <si>
    <t>Personal Técnico al RP</t>
  </si>
  <si>
    <t>M5: Presupuesto y compra de productos y equipo sanitario, medicamentos y productos farmacéuticos</t>
  </si>
  <si>
    <t>Presupuesto aprobado*</t>
  </si>
  <si>
    <t>Obligaciones</t>
  </si>
  <si>
    <t>Gastos</t>
  </si>
  <si>
    <t>Presupuesto aprobado acumulado*</t>
  </si>
  <si>
    <t>Obligaciones acumuladas</t>
  </si>
  <si>
    <t>Gastos acumulados</t>
  </si>
  <si>
    <t>* Incluye sólo los montos de las categorías 4 y 5 (Productos y equipamientos sanitarios y Medicamentos y productos farmacéuticos) de los  Informes Financieros Mejorados</t>
  </si>
  <si>
    <t>M6: Diferencia entre existencias actuales y existencias de seguridad</t>
  </si>
  <si>
    <t>Componente</t>
  </si>
  <si>
    <t>Productos</t>
  </si>
  <si>
    <t>(1)
Número de pastillas por paciente/día
(Revisión de las normas de tratamiento del país)</t>
  </si>
  <si>
    <t>(2 = 1 x 30)
Tratamiento mensual 
(Pastillas por paciente cada 30 días)</t>
  </si>
  <si>
    <t>(3)
Número total de pacientes en tratamiento</t>
  </si>
  <si>
    <t>(4 = 2 x 3)
Número total de pastillas que se necesitan para todos los pacientes durante un mes</t>
  </si>
  <si>
    <t>(5)
Existencias actuales en el almacén central (que no caducarán en los próximos 3 meses)</t>
  </si>
  <si>
    <t>(6 = 5 / 4)
Nivel de existencias expresado en meses de tratamiento para todos los pacientes actuales</t>
  </si>
  <si>
    <t xml:space="preserve">(7)
Nivel de existencias de seguridad
(expresado en meses y diferenciado por países) </t>
  </si>
  <si>
    <t>(8 = 6 - 7)
Diferencia entre existencias actuales y existencias de seguridad</t>
  </si>
  <si>
    <t>PASER</t>
  </si>
  <si>
    <t>Cicloserina 250mg</t>
  </si>
  <si>
    <t>Kanamicina 1gr</t>
  </si>
  <si>
    <t>Etionamida 250mg</t>
  </si>
  <si>
    <t>Levofloxacina</t>
  </si>
  <si>
    <t>Información de programa:</t>
  </si>
  <si>
    <t xml:space="preserve">     Introduzca los datos de desempeño en todas las celdas amarillas.</t>
  </si>
  <si>
    <t>Indicadores de programa (Marco de Referencia)</t>
  </si>
  <si>
    <t>Código</t>
  </si>
  <si>
    <t>¿Directamente vinculados?</t>
  </si>
  <si>
    <t>3 PRIMEROS</t>
  </si>
  <si>
    <r>
      <t xml:space="preserve">Pacientes gestionados (atendidos) por la comunidad de los 30 Municipios Priorizados durante el tratamiento (número y porcentaje) - </t>
    </r>
    <r>
      <rPr>
        <b/>
        <sz val="10"/>
        <rFont val="Arial"/>
        <family val="2"/>
      </rPr>
      <t>TOP 10 -</t>
    </r>
  </si>
  <si>
    <t>Yes</t>
  </si>
  <si>
    <t>Meta</t>
  </si>
  <si>
    <t>Logro</t>
  </si>
  <si>
    <r>
      <t xml:space="preserve">   Número de casos nuevos de tuberculosis Bacteriologicamente (+) diagnosticados recientemente en cárceles </t>
    </r>
    <r>
      <rPr>
        <b/>
        <sz val="10"/>
        <rFont val="Arial"/>
        <family val="2"/>
      </rPr>
      <t xml:space="preserve"> - TOP 10 -</t>
    </r>
  </si>
  <si>
    <r>
      <t xml:space="preserve"> Tasa de éxito del tratamiento para casos de tuberculosis con BK+ recientemente diagnosticados detectados en cárceles </t>
    </r>
    <r>
      <rPr>
        <b/>
        <sz val="10"/>
        <rFont val="Arial"/>
        <family val="2"/>
      </rPr>
      <t>- TOP 10 -</t>
    </r>
  </si>
  <si>
    <t>Casos nuevos de tuberculosis Bk (+) captados directamente y/o referidos por la comunidad de los 30 Municipios Priorizados a servicios de diagnostico (número y porcentaje)</t>
  </si>
  <si>
    <t>Centros privados/públicos externos al programa PNT y que participan en actividades del sistema DOTS siguiendo las normas internacionales para la atención a los enfermos de tuberculosis (ISTC) entre todos los previstos en los 30 Municipios (número y porcentaje)</t>
  </si>
  <si>
    <r>
      <t xml:space="preserve">Número de casos de tuberculosis (todas las formas) notificados a las autoridades nacionales </t>
    </r>
    <r>
      <rPr>
        <b/>
        <sz val="10"/>
        <rFont val="Arial"/>
        <family val="2"/>
      </rPr>
      <t>- TOP 10 -</t>
    </r>
  </si>
  <si>
    <r>
      <t xml:space="preserve">Numero de casos de tuberculosis (Baciloscopias positivas) notificados a las autoridades nacionales </t>
    </r>
    <r>
      <rPr>
        <b/>
        <sz val="10"/>
        <rFont val="Arial"/>
        <family val="2"/>
      </rPr>
      <t>- TOP 10 -</t>
    </r>
  </si>
  <si>
    <r>
      <t xml:space="preserve">Nuevos casos de tuberculosis con frotis positivo tratados con éxito (curados y completado tratamiento) entre todos los nuevos casos de tuberculosis con frotis positivo notificados a las autoridades nacionales (número)  </t>
    </r>
    <r>
      <rPr>
        <b/>
        <sz val="10"/>
        <rFont val="Arial"/>
        <family val="2"/>
      </rPr>
      <t>- TOP 10 -</t>
    </r>
  </si>
  <si>
    <t>Pacientes con TB registrados que se han realizado pruebas del VIH (antes y durante el tratamiento para la TB) expresados en proporción del número total de todos los casos de TB registrados (número y porcentaje)</t>
  </si>
  <si>
    <t>Número y Porcentaje de adultos y niños inscritos en el Programa del VIH, que se sometieron a pruebas de la TB y se registro dicha información durante su última visita durante el período de reporte, de entre todos los adultos y niños inscritos en el programa VIH y atendidos durante el período de notificación.</t>
  </si>
  <si>
    <t>Numero y porcentaje de PVS que a los que se les descarto tuberculosis e inician quimioprofilaxis con INH.</t>
  </si>
  <si>
    <r>
      <t xml:space="preserve">Numero y Porcentaje de PVS con tuberculosis que iniciaron o continúan TAR durante o al final del tratamiento de la tuberculosis entre todos las PVS con tuberculosis registrados durante el periodo que se examina.   </t>
    </r>
    <r>
      <rPr>
        <b/>
        <sz val="10"/>
        <rFont val="Arial"/>
        <family val="2"/>
      </rPr>
      <t xml:space="preserve"> - TOP 10  -</t>
    </r>
  </si>
  <si>
    <t xml:space="preserve">Porcentaje de contactos examinados de los contactos registrados.  </t>
  </si>
  <si>
    <t>Porcentaje de pacientes con sospecha de resistencia examinados</t>
  </si>
  <si>
    <t>Número y Porcentaje de casos de TB-MR que han iniciado un tratamiento contra la tuberculosis de segunda línea y que tienen un cultivo negativo al final de los seis meses de tratamiento durante el periodo de valoración especificado.</t>
  </si>
  <si>
    <r>
      <t xml:space="preserve">Tasa de éxito del tratamiento para casos de MDR-confirmados bacteriológicamente entre todos los casos de MDR-TB registrados en tratamiento durante un período de tiempo específico  </t>
    </r>
    <r>
      <rPr>
        <b/>
        <sz val="10"/>
        <rFont val="Arial"/>
        <family val="2"/>
      </rPr>
      <t xml:space="preserve"> - TOP 10 -</t>
    </r>
  </si>
  <si>
    <t>INDICADORES DE IMPACTO</t>
  </si>
  <si>
    <t>Mortalidad de Casos notificados por TB/VIH en 30 Municipios Priorizados.</t>
  </si>
  <si>
    <t>IMPACTO</t>
  </si>
  <si>
    <t>N/A
No corresponde este semestre</t>
  </si>
  <si>
    <t xml:space="preserve">Tasa de Tuberculosis notificada ( todas las formas) en 30 Municipios Priorizados. </t>
  </si>
  <si>
    <t>SI
Correspondiente este Semestre</t>
  </si>
  <si>
    <t>Tasa de notificación de tuberculosis baciloscopía positiva en 30 Municipios Priorizados</t>
  </si>
  <si>
    <t>Tasa de multidroresistencia ( Tasa de Tuberculosis MDR)</t>
  </si>
  <si>
    <t xml:space="preserve">Éxito del tratamiento: nuevos casos de tuberculosis con frotis positivo de los 30 Municipios Priorizados. </t>
  </si>
  <si>
    <t>Éxito del tratamiento: Casos de MDR-tuberculosis confirmados bacteriologicamente de los 30 Municipios Priorizados.</t>
  </si>
  <si>
    <t>La tabla se actualiza de forma automática. No debe introducirse aquí ningún dato o información.</t>
  </si>
  <si>
    <t>Fecha de inicio:</t>
  </si>
  <si>
    <t>Financiación total</t>
  </si>
  <si>
    <t>Receptor principal:</t>
  </si>
  <si>
    <t>Periodo de referencia:</t>
  </si>
  <si>
    <t>desde:</t>
  </si>
  <si>
    <t>hasta:</t>
  </si>
  <si>
    <t>Última calificación:</t>
  </si>
  <si>
    <t>Fecha de elaboración del informe:</t>
  </si>
  <si>
    <t>Indicadores financieros</t>
  </si>
  <si>
    <t>Comentarios:</t>
  </si>
  <si>
    <t>Periodo Actual</t>
  </si>
  <si>
    <t>Periodo Anterior</t>
  </si>
  <si>
    <t xml:space="preserve">Comentarios: </t>
  </si>
  <si>
    <t>la diferencia entre el presupuesto y los gastos se debe a que existen compromisos con proveedores que seran pagados durante el proximo trimestre.</t>
  </si>
  <si>
    <t>se ha cumplido con los informes presentados de forma oportuna, asi como el FM a enviado los desembolsos de forma anticipados. En este semestre en Fondo Global da 60 dias para entregar el PUDR debido a que se presenta informe mejorado</t>
  </si>
  <si>
    <t>Último desembolso de fondos: Días calendario</t>
  </si>
  <si>
    <t>Condiciones precedentes cumplidas</t>
  </si>
  <si>
    <t>Meta Cumplida</t>
  </si>
  <si>
    <t>No hay Sub receptores</t>
  </si>
  <si>
    <t>Adquisición a traves del Convenio NIM(PNUD)</t>
  </si>
  <si>
    <t>están en tránsito las compras del año 2015, se espera la entrega de la orden de compra APO 1500319 correspondiente a los medicamentos Levofloxacina, Linezolid, Moxifloxacina y Cicloserina los cuales se estima que ingresen el 17 de abril y la  APO 1500320  correspondiente a Kanamicina, PASER y Etionamida  se espera entrega para el 17 de agosto 2015.</t>
  </si>
  <si>
    <t>Nivel de existencias expresado en meses de tratamiento para todos los pacientes actuales.</t>
  </si>
  <si>
    <t>Meses de existencias de seguridad</t>
  </si>
  <si>
    <t>Diferencia entre existencias actuales y existencias de seguridad</t>
  </si>
  <si>
    <t>máx.</t>
  </si>
  <si>
    <t>Clasificación</t>
  </si>
  <si>
    <t>Indicadores de programa:</t>
  </si>
  <si>
    <t>Comentario:</t>
  </si>
  <si>
    <t>El AUS se traslada al domicilio de los pacientes para brindar TAES, especialmente a aquella población en riesgo social que podría ocasionar abandono del tratamiento, además del acercamiento en la comunidad, hay busqueda activa de Sintomaticos Respiratorios.</t>
  </si>
  <si>
    <t>Para el periodo se supero la meta propuesta, debido a la utilización de metodos diagnosticos innovadores tales como la Unidad movil de RX con la incorporacion de tecnico y especialista de radiologia en situ, Ogawa Kudho cultivo y GeneXpert.</t>
  </si>
  <si>
    <t>Se ha alcanzado tasa de Éxito en el tratamiento para los casos de Bk(+) en Centros Penales; que curaron y terminaron su tratamiento según standares Nacionales e Internacionales. Meta Cumplida</t>
  </si>
  <si>
    <t>Indicadores</t>
  </si>
  <si>
    <t>Lograda</t>
  </si>
  <si>
    <t>0% - 59%</t>
  </si>
  <si>
    <t>60% - 89%</t>
  </si>
  <si>
    <t>&gt; 90%</t>
  </si>
  <si>
    <t>Comentarios</t>
  </si>
  <si>
    <t>¿Cumplen lo acordado la adquisición y la contratación?</t>
  </si>
  <si>
    <t>Gestión</t>
  </si>
  <si>
    <r>
      <t xml:space="preserve">Para este período acumulado anualmente, de un total de </t>
    </r>
    <r>
      <rPr>
        <b/>
        <sz val="8"/>
        <color indexed="8"/>
        <rFont val="Calibri"/>
        <family val="2"/>
      </rPr>
      <t>1,498</t>
    </r>
    <r>
      <rPr>
        <sz val="8"/>
        <color indexed="8"/>
        <rFont val="Calibri"/>
        <family val="2"/>
      </rPr>
      <t xml:space="preserve"> casos de tuberculosis de todas las formas en los cuales se incluyen los casos del ISSS y Centros Penales;  los AUS y/o promotores de salud urbanos del MINSAL atendieron </t>
    </r>
    <r>
      <rPr>
        <b/>
        <sz val="8"/>
        <color indexed="8"/>
        <rFont val="Calibri"/>
        <family val="2"/>
      </rPr>
      <t>207</t>
    </r>
    <r>
      <rPr>
        <sz val="8"/>
        <color indexed="8"/>
        <rFont val="Calibri"/>
        <family val="2"/>
      </rPr>
      <t xml:space="preserve">  pacientes gestionados con TAES, a lo que corresponde a un 13.82%.
Por el fenomeno social de violencia por maras o pandillas en las que muchos de estos recursos son amenazados a muerte, el seguimiento de estos atentan contra su vida; tambien se puede mencionar el fenomeno de que a pesar que se han hecho actividades de disminucion de estigma y discriminacion, existe aún temor por parte de la poblacion de tomar sus medicamentos en sus lugares de habitación, por lo que ellos reciben su tratamiento en las UCSF o en los ECOS. A pesar de los factores descritos y del apoyo brindado por los AUS en las epidemias, siempre se brindo seguimiento a los pacientes en TAES.
Se obtuvo un logro de cobertura de 90.9%, para este indicador, ya que se ha superado el número de casos de TB a los cuales los AUS les supervisan el TAES. Tómese en cuenta que el denominador ha aumentado con respecto a la meta prevista.</t>
    </r>
  </si>
  <si>
    <t>Comentarios resumidos</t>
  </si>
  <si>
    <t>Recomendaciones</t>
  </si>
  <si>
    <r>
      <t xml:space="preserve">Para este período acumulado, se logró detectar en centros penales un total de </t>
    </r>
    <r>
      <rPr>
        <b/>
        <sz val="8"/>
        <color indexed="8"/>
        <rFont val="Calibri"/>
        <family val="2"/>
      </rPr>
      <t xml:space="preserve">495 </t>
    </r>
    <r>
      <rPr>
        <sz val="8"/>
        <color indexed="8"/>
        <rFont val="Calibri"/>
        <family val="2"/>
      </rPr>
      <t>casos de TB todas las formas, lo que nos permite un logro alcanzado en relación a la meta prevista de: [(495 / 243)x100 = 203.7%]                                                                                                                                                                                                                                                                                                                                                                              Meta lograda y alcanzada, el trabajo continuo y conjunto con la Dirección General de Centros Penales a través de la Unidad Médica y las clínicas en los diferentes Centros Penales en coordinación con el PNTYER,  ha permitido alcanzar la meta prevista y sobrepasarla debido al seguimiento y capacitaciones continua de los niveles locales, SIBASI, Regiones de Salud, formación de voluntarios penitenciarios y PNTYER, lo cual ha contribuido en el incremento de la detección temprana de casos con tuberculosis en la población privada de libertad.</t>
    </r>
  </si>
  <si>
    <t>M1</t>
  </si>
  <si>
    <t>M2</t>
  </si>
  <si>
    <r>
      <t xml:space="preserve">Para este período acumulado, fueron ingresados </t>
    </r>
    <r>
      <rPr>
        <b/>
        <sz val="8"/>
        <color indexed="8"/>
        <rFont val="Calibri"/>
        <family val="2"/>
      </rPr>
      <t>290</t>
    </r>
    <r>
      <rPr>
        <sz val="8"/>
        <color indexed="8"/>
        <rFont val="Calibri"/>
        <family val="2"/>
      </rPr>
      <t xml:space="preserve"> casos de TB pulmonares Bk (+) en Centros Penales de los cuales </t>
    </r>
    <r>
      <rPr>
        <b/>
        <sz val="8"/>
        <color indexed="8"/>
        <rFont val="Calibri"/>
        <family val="2"/>
      </rPr>
      <t xml:space="preserve">281 </t>
    </r>
    <r>
      <rPr>
        <sz val="8"/>
        <color indexed="8"/>
        <rFont val="Calibri"/>
        <family val="2"/>
      </rPr>
      <t>egresaron de la cohorte como curados y/o  tratamiento terminado lo que corresponde a un 96.89% de éxito en el tratamiento.
Meta para el periodo lograda.
En total acumulado fueron 290 casos de TB BK (+) en prisiones, de los cuales 281 egresaron de la cohorte de tratamiento como curados; 0 con tratamiento terminado; 4 fallecidos en periodo de Enero a Junio; 5 abandonos; 0 fracaso.</t>
    </r>
  </si>
  <si>
    <r>
      <t xml:space="preserve">Para este período acumulado se han captados y/o referidos </t>
    </r>
    <r>
      <rPr>
        <b/>
        <sz val="8"/>
        <color indexed="8"/>
        <rFont val="Calibri"/>
        <family val="2"/>
      </rPr>
      <t xml:space="preserve">43 </t>
    </r>
    <r>
      <rPr>
        <sz val="8"/>
        <color indexed="8"/>
        <rFont val="Calibri"/>
        <family val="2"/>
      </rPr>
      <t xml:space="preserve">casos Bk+ por los AUS y/o promotores de salud urbanos del MINSAL. De un total de </t>
    </r>
    <r>
      <rPr>
        <b/>
        <sz val="8"/>
        <color indexed="8"/>
        <rFont val="Calibri"/>
        <family val="2"/>
      </rPr>
      <t>900</t>
    </r>
    <r>
      <rPr>
        <sz val="8"/>
        <color indexed="8"/>
        <rFont val="Calibri"/>
        <family val="2"/>
      </rPr>
      <t xml:space="preserve"> casos Bk+ en los 30 municipios priorizados incluyendose los casos del ISSS y Centros Penales. Por tal motivo corresponde a un 4.77% de logro alcanzado para este período. 
Para este indicador a pesar del aumento del numerador que procede de la comunidad, el deniominador incluye los positivos provenientes de todo el municipio en los que están contenidos positivos de CP y del ISSS un denominador numericamente alto y como consecuencia una dilución del porcentaje captado por los AUS y comunidad, resultando este al periodo, bajo al semestre y al acumulado. 
Por el fenomeno social de violencia por maras o pandillas en las que muchos de estos recursos son amenazados a muerte, el seguimiento de estos atentan contra la vida del promotor. La captación fue influenciada a nivel comunitario con acciones de Epidemia de Dengue y Fiebre por Chikungunya</t>
    </r>
  </si>
  <si>
    <r>
      <t xml:space="preserve">Para el periodo acumulado con un total de </t>
    </r>
    <r>
      <rPr>
        <b/>
        <sz val="8"/>
        <color indexed="8"/>
        <rFont val="Calibri"/>
        <family val="2"/>
      </rPr>
      <t>997</t>
    </r>
    <r>
      <rPr>
        <sz val="8"/>
        <color indexed="8"/>
        <rFont val="Calibri"/>
        <family val="2"/>
      </rPr>
      <t xml:space="preserve"> Proveedores No PNT Públicos y Privados en los 30 municipios priorizados, colaboraron </t>
    </r>
    <r>
      <rPr>
        <b/>
        <sz val="8"/>
        <color indexed="8"/>
        <rFont val="Calibri"/>
        <family val="2"/>
      </rPr>
      <t>220</t>
    </r>
    <r>
      <rPr>
        <sz val="8"/>
        <color indexed="8"/>
        <rFont val="Calibri"/>
        <family val="2"/>
      </rPr>
      <t xml:space="preserve"> con actividades de la estrategia DOTS/TAES siguiendo las normas internacionales para la atención a los pacientes con TB. Lo que corresponde a 22.06%. 
Debido a violencia social, delicuencia asociada a grupos como "pandillas" mucho de los proveedores han migrado o cambiado de su ubicación dentro de los municipios priorizados he incluso han cerrado por motivos de seguridad, lo que no permitió una mayor participación de otros proveedores en este período. (Ej.: Clínicas Privadas, Laboratorios, etc). </t>
    </r>
  </si>
  <si>
    <t>La diferencia entre el presupuesto y desembolso, obedece a que el fondo global envia un anticipo para cubrir el proximo trimestre</t>
  </si>
  <si>
    <t>La diferencia entre  lo desembolsado y el gasto obedece a que se tienen compras en proceso y el fondo de anticipado que envia el FM</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</si>
</sst>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_);_(@_)"/>
    <numFmt numFmtId="173" formatCode="_(* #,##0.00_);_(* \(#,##0.00\);_(* \-??_);_(@_)"/>
    <numFmt numFmtId="174" formatCode="_(\$* #,##0.00_);_(\$* \(#,##0.00\);_(\$* \-??_);_(@_)"/>
    <numFmt numFmtId="175" formatCode="d&quot; de &quot;mmm&quot; de &quot;yy"/>
    <numFmt numFmtId="176" formatCode="\Q#,##0_);[Red]&quot;(Q&quot;#,##0\)"/>
    <numFmt numFmtId="177" formatCode="_(* #,##0_);_(* \(#,##0\);_(* \-??_);_(@_)"/>
    <numFmt numFmtId="178" formatCode="#.##0"/>
    <numFmt numFmtId="179" formatCode="_-* #,##0.00\ _€_-;\-* #,##0.00\ _€_-;_-* \-??\ _€_-;_-@_-"/>
    <numFmt numFmtId="180" formatCode="#,##0.00\ _€;[Red]#,##0.00\ _€"/>
    <numFmt numFmtId="181" formatCode="#.##000"/>
    <numFmt numFmtId="182" formatCode="[$$-409]#,##0"/>
    <numFmt numFmtId="183" formatCode="000%"/>
    <numFmt numFmtId="184" formatCode="#"/>
    <numFmt numFmtId="185" formatCode="0.0"/>
    <numFmt numFmtId="186" formatCode="#.00"/>
    <numFmt numFmtId="187" formatCode="#.##"/>
    <numFmt numFmtId="188" formatCode="dd/mm/yyyy"/>
    <numFmt numFmtId="189" formatCode="[$$-409]#,##0_);\([$$-409]#,##0\)"/>
    <numFmt numFmtId="190" formatCode="d/mmm/yyyy;@"/>
    <numFmt numFmtId="191" formatCode="dd/mm/yy\ hh:mm"/>
    <numFmt numFmtId="192" formatCode="000"/>
    <numFmt numFmtId="193" formatCode="#.0"/>
    <numFmt numFmtId="194" formatCode="_ * #,##0_ ;_ * \-#,##0_ ;_ * \-_ ;_ @_ "/>
    <numFmt numFmtId="195" formatCode=";;;"/>
    <numFmt numFmtId="196" formatCode=";;;&quot;Financial Variance in %&quot;"/>
    <numFmt numFmtId="197" formatCode="#,##0.00;[Red]#,##0.00"/>
    <numFmt numFmtId="198" formatCode="_ [$$-240A]\ * #,##0.00_ ;_ [$$-240A]\ * \-#,##0.00_ ;_ [$$-240A]\ * \-??_ ;_ @_ "/>
  </numFmts>
  <fonts count="153">
    <font>
      <sz val="11"/>
      <color indexed="8"/>
      <name val="Calibri"/>
      <family val="2"/>
    </font>
    <font>
      <sz val="10"/>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b/>
      <sz val="11"/>
      <color indexed="63"/>
      <name val="Calibri"/>
      <family val="2"/>
    </font>
    <font>
      <b/>
      <sz val="18"/>
      <color indexed="62"/>
      <name val="Cambria"/>
      <family val="2"/>
    </font>
    <font>
      <sz val="11"/>
      <color indexed="53"/>
      <name val="Calibri"/>
      <family val="2"/>
    </font>
    <font>
      <sz val="22"/>
      <color indexed="9"/>
      <name val="Calibri"/>
      <family val="2"/>
    </font>
    <font>
      <sz val="28"/>
      <color indexed="9"/>
      <name val="Calibri"/>
      <family val="2"/>
    </font>
    <font>
      <b/>
      <sz val="14"/>
      <color indexed="8"/>
      <name val="Calibri"/>
      <family val="2"/>
    </font>
    <font>
      <b/>
      <sz val="16"/>
      <color indexed="8"/>
      <name val="Calibri"/>
      <family val="2"/>
    </font>
    <font>
      <sz val="10"/>
      <color indexed="9"/>
      <name val="Arial"/>
      <family val="2"/>
    </font>
    <font>
      <b/>
      <i/>
      <sz val="11"/>
      <color indexed="8"/>
      <name val="Calibri"/>
      <family val="2"/>
    </font>
    <font>
      <sz val="10"/>
      <color indexed="8"/>
      <name val="Arial"/>
      <family val="2"/>
    </font>
    <font>
      <sz val="11"/>
      <color indexed="8"/>
      <name val="Arial"/>
      <family val="2"/>
    </font>
    <font>
      <b/>
      <sz val="18"/>
      <color indexed="8"/>
      <name val="Calibri"/>
      <family val="2"/>
    </font>
    <font>
      <sz val="16"/>
      <color indexed="8"/>
      <name val="Calibri"/>
      <family val="2"/>
    </font>
    <font>
      <b/>
      <sz val="12"/>
      <color indexed="8"/>
      <name val="Arial"/>
      <family val="2"/>
    </font>
    <font>
      <b/>
      <sz val="11"/>
      <color indexed="8"/>
      <name val="Arial"/>
      <family val="2"/>
    </font>
    <font>
      <b/>
      <i/>
      <sz val="11"/>
      <color indexed="8"/>
      <name val="Arial"/>
      <family val="2"/>
    </font>
    <font>
      <i/>
      <sz val="11"/>
      <color indexed="8"/>
      <name val="Arial"/>
      <family val="2"/>
    </font>
    <font>
      <sz val="11"/>
      <name val="Arial"/>
      <family val="2"/>
    </font>
    <font>
      <b/>
      <sz val="14"/>
      <color indexed="61"/>
      <name val="Calibri"/>
      <family val="2"/>
    </font>
    <font>
      <b/>
      <sz val="11"/>
      <color indexed="8"/>
      <name val="Calibri"/>
      <family val="2"/>
    </font>
    <font>
      <b/>
      <sz val="12"/>
      <color indexed="8"/>
      <name val="Calibri"/>
      <family val="2"/>
    </font>
    <font>
      <b/>
      <sz val="12"/>
      <name val="Arial"/>
      <family val="2"/>
    </font>
    <font>
      <sz val="10"/>
      <color indexed="8"/>
      <name val="Calibri"/>
      <family val="2"/>
    </font>
    <font>
      <sz val="14"/>
      <color indexed="9"/>
      <name val="Calibri"/>
      <family val="2"/>
    </font>
    <font>
      <sz val="16"/>
      <color indexed="9"/>
      <name val="Calibri"/>
      <family val="2"/>
    </font>
    <font>
      <i/>
      <sz val="11"/>
      <color indexed="8"/>
      <name val="Calibri"/>
      <family val="2"/>
    </font>
    <font>
      <i/>
      <sz val="9"/>
      <color indexed="8"/>
      <name val="Calibri"/>
      <family val="2"/>
    </font>
    <font>
      <b/>
      <sz val="14"/>
      <color indexed="60"/>
      <name val="Calibri"/>
      <family val="2"/>
    </font>
    <font>
      <b/>
      <sz val="11"/>
      <color indexed="60"/>
      <name val="Calibri"/>
      <family val="2"/>
    </font>
    <font>
      <sz val="11"/>
      <color indexed="12"/>
      <name val="Calibri"/>
      <family val="2"/>
    </font>
    <font>
      <b/>
      <sz val="10"/>
      <color indexed="8"/>
      <name val="Calibri"/>
      <family val="2"/>
    </font>
    <font>
      <b/>
      <sz val="11"/>
      <color indexed="16"/>
      <name val="Calibri"/>
      <family val="2"/>
    </font>
    <font>
      <sz val="11"/>
      <color indexed="60"/>
      <name val="Calibri"/>
      <family val="2"/>
    </font>
    <font>
      <sz val="11"/>
      <color indexed="16"/>
      <name val="Calibri"/>
      <family val="2"/>
    </font>
    <font>
      <b/>
      <sz val="10"/>
      <color indexed="16"/>
      <name val="Calibri"/>
      <family val="2"/>
    </font>
    <font>
      <sz val="10"/>
      <color indexed="60"/>
      <name val="Calibri"/>
      <family val="2"/>
    </font>
    <font>
      <b/>
      <sz val="10"/>
      <color indexed="60"/>
      <name val="Calibri"/>
      <family val="2"/>
    </font>
    <font>
      <sz val="11"/>
      <name val="Calibri"/>
      <family val="2"/>
    </font>
    <font>
      <sz val="10"/>
      <name val="Calibri"/>
      <family val="2"/>
    </font>
    <font>
      <b/>
      <sz val="14"/>
      <color indexed="40"/>
      <name val="Calibri"/>
      <family val="2"/>
    </font>
    <font>
      <b/>
      <sz val="14"/>
      <color indexed="44"/>
      <name val="Calibri"/>
      <family val="2"/>
    </font>
    <font>
      <sz val="11"/>
      <color indexed="40"/>
      <name val="Calibri"/>
      <family val="2"/>
    </font>
    <font>
      <i/>
      <sz val="11"/>
      <name val="Calibri"/>
      <family val="2"/>
    </font>
    <font>
      <b/>
      <sz val="14"/>
      <color indexed="52"/>
      <name val="Calibri"/>
      <family val="2"/>
    </font>
    <font>
      <b/>
      <sz val="14"/>
      <color indexed="51"/>
      <name val="Calibri"/>
      <family val="2"/>
    </font>
    <font>
      <b/>
      <sz val="10"/>
      <color indexed="53"/>
      <name val="Calibri"/>
      <family val="2"/>
    </font>
    <font>
      <b/>
      <sz val="10"/>
      <name val="Arial"/>
      <family val="2"/>
    </font>
    <font>
      <b/>
      <sz val="16"/>
      <name val="Arial"/>
      <family val="2"/>
    </font>
    <font>
      <b/>
      <sz val="8"/>
      <color indexed="32"/>
      <name val="Tahoma"/>
      <family val="2"/>
    </font>
    <font>
      <sz val="28"/>
      <name val="Calibri"/>
      <family val="2"/>
    </font>
    <font>
      <sz val="12"/>
      <color indexed="8"/>
      <name val="Calibri"/>
      <family val="2"/>
    </font>
    <font>
      <b/>
      <sz val="11"/>
      <name val="Calibri"/>
      <family val="2"/>
    </font>
    <font>
      <sz val="11"/>
      <color indexed="9"/>
      <name val="Arial"/>
      <family val="2"/>
    </font>
    <font>
      <sz val="14"/>
      <color indexed="8"/>
      <name val="Calibri"/>
      <family val="2"/>
    </font>
    <font>
      <sz val="12"/>
      <color indexed="9"/>
      <name val="Calibri"/>
      <family val="2"/>
    </font>
    <font>
      <b/>
      <sz val="11"/>
      <color indexed="61"/>
      <name val="Calibri"/>
      <family val="2"/>
    </font>
    <font>
      <sz val="11"/>
      <color indexed="59"/>
      <name val="Calibri"/>
      <family val="2"/>
    </font>
    <font>
      <sz val="9"/>
      <color indexed="8"/>
      <name val="Calibri"/>
      <family val="2"/>
    </font>
    <font>
      <b/>
      <i/>
      <sz val="14"/>
      <color indexed="12"/>
      <name val="Calibri"/>
      <family val="2"/>
    </font>
    <font>
      <b/>
      <sz val="9"/>
      <color indexed="8"/>
      <name val="Calibri"/>
      <family val="2"/>
    </font>
    <font>
      <sz val="8"/>
      <color indexed="8"/>
      <name val="Calibri"/>
      <family val="2"/>
    </font>
    <font>
      <b/>
      <sz val="8"/>
      <name val="Calibri"/>
      <family val="2"/>
    </font>
    <font>
      <sz val="9"/>
      <name val="Calibri"/>
      <family val="2"/>
    </font>
    <font>
      <b/>
      <sz val="8"/>
      <color indexed="8"/>
      <name val="Calibri"/>
      <family val="2"/>
    </font>
    <font>
      <sz val="9"/>
      <color indexed="16"/>
      <name val="Calibri"/>
      <family val="2"/>
    </font>
    <font>
      <sz val="7"/>
      <color indexed="16"/>
      <name val="Calibri"/>
      <family val="2"/>
    </font>
    <font>
      <sz val="8"/>
      <name val="Calibri"/>
      <family val="2"/>
    </font>
    <font>
      <i/>
      <sz val="8"/>
      <color indexed="8"/>
      <name val="Calibri"/>
      <family val="2"/>
    </font>
    <font>
      <sz val="11"/>
      <color indexed="10"/>
      <name val="Calibri"/>
      <family val="2"/>
    </font>
    <font>
      <b/>
      <sz val="9"/>
      <name val="Calibri"/>
      <family val="2"/>
    </font>
    <font>
      <b/>
      <sz val="14"/>
      <color indexed="56"/>
      <name val="Calibri"/>
      <family val="2"/>
    </font>
    <font>
      <b/>
      <i/>
      <sz val="8"/>
      <color indexed="8"/>
      <name val="Calibri"/>
      <family val="2"/>
    </font>
    <font>
      <sz val="9"/>
      <color indexed="8"/>
      <name val="Verdana"/>
      <family val="2"/>
    </font>
    <font>
      <b/>
      <sz val="10"/>
      <color indexed="63"/>
      <name val="Verdana"/>
      <family val="2"/>
    </font>
    <font>
      <b/>
      <sz val="10"/>
      <name val="Verdana"/>
      <family val="2"/>
    </font>
    <font>
      <sz val="8"/>
      <color indexed="8"/>
      <name val="Verdana"/>
      <family val="2"/>
    </font>
    <font>
      <b/>
      <sz val="12"/>
      <color indexed="56"/>
      <name val="Tahoma"/>
      <family val="2"/>
    </font>
    <font>
      <b/>
      <sz val="8"/>
      <name val="Tahoma"/>
      <family val="2"/>
    </font>
    <font>
      <b/>
      <sz val="8"/>
      <color indexed="9"/>
      <name val="Tahoma"/>
      <family val="2"/>
    </font>
    <font>
      <sz val="8"/>
      <name val="Webdings"/>
      <family val="1"/>
    </font>
    <font>
      <sz val="7"/>
      <color indexed="43"/>
      <name val="Verdana"/>
      <family val="2"/>
    </font>
    <font>
      <sz val="14"/>
      <name val="Calibri"/>
      <family val="2"/>
    </font>
    <font>
      <sz val="9"/>
      <color indexed="8"/>
      <name val="Tahoma"/>
      <family val="2"/>
    </font>
    <font>
      <sz val="11"/>
      <color indexed="8"/>
      <name val="Micro Line Charts 1.1"/>
      <family val="2"/>
    </font>
    <font>
      <sz val="7"/>
      <color indexed="23"/>
      <name val="Verdana"/>
      <family val="2"/>
    </font>
    <font>
      <sz val="10"/>
      <name val="Micro Bar Charts 1.1"/>
      <family val="0"/>
    </font>
    <font>
      <sz val="9"/>
      <name val="Tahoma"/>
      <family val="2"/>
    </font>
    <font>
      <sz val="8"/>
      <color indexed="63"/>
      <name val="Micro Bar Charts 1.1"/>
      <family val="0"/>
    </font>
    <font>
      <b/>
      <sz val="8"/>
      <name val="Arial"/>
      <family val="2"/>
    </font>
    <font>
      <b/>
      <sz val="8"/>
      <color indexed="56"/>
      <name val="Tahoma"/>
      <family val="2"/>
    </font>
    <font>
      <b/>
      <sz val="8"/>
      <color indexed="9"/>
      <name val="Calibri"/>
      <family val="2"/>
    </font>
    <font>
      <sz val="8"/>
      <color indexed="9"/>
      <name val="Arial"/>
      <family val="2"/>
    </font>
    <font>
      <sz val="8"/>
      <color indexed="9"/>
      <name val="Tahoma"/>
      <family val="2"/>
    </font>
    <font>
      <b/>
      <sz val="8"/>
      <color indexed="9"/>
      <name val="Verdana"/>
      <family val="2"/>
    </font>
    <font>
      <b/>
      <sz val="10"/>
      <color indexed="8"/>
      <name val="Arial"/>
      <family val="2"/>
    </font>
    <font>
      <b/>
      <sz val="10"/>
      <color indexed="16"/>
      <name val="Arial"/>
      <family val="2"/>
    </font>
    <font>
      <sz val="11"/>
      <color indexed="16"/>
      <name val="Arial Black"/>
      <family val="2"/>
    </font>
    <font>
      <b/>
      <sz val="14"/>
      <color indexed="16"/>
      <name val="Calibri"/>
      <family val="2"/>
    </font>
    <font>
      <sz val="9"/>
      <color indexed="16"/>
      <name val="Verdana"/>
      <family val="2"/>
    </font>
    <font>
      <b/>
      <sz val="10"/>
      <color indexed="16"/>
      <name val="Verdana"/>
      <family val="2"/>
    </font>
    <font>
      <b/>
      <sz val="14"/>
      <color indexed="9"/>
      <name val="Calibri"/>
      <family val="2"/>
    </font>
    <font>
      <sz val="10"/>
      <color indexed="59"/>
      <name val="Calibri"/>
      <family val="2"/>
    </font>
    <font>
      <sz val="6"/>
      <color indexed="8"/>
      <name val="Arial"/>
      <family val="0"/>
    </font>
    <font>
      <sz val="4"/>
      <color indexed="8"/>
      <name val="Arial"/>
      <family val="0"/>
    </font>
    <font>
      <sz val="7"/>
      <color indexed="8"/>
      <name val="Arial"/>
      <family val="0"/>
    </font>
    <font>
      <sz val="5"/>
      <color indexed="8"/>
      <name val="Arial"/>
      <family val="0"/>
    </font>
    <font>
      <b/>
      <sz val="10.5"/>
      <color indexed="8"/>
      <name val="Calibri"/>
      <family val="0"/>
    </font>
    <font>
      <sz val="8.45"/>
      <color indexed="8"/>
      <name val="Calibri"/>
      <family val="0"/>
    </font>
    <font>
      <sz val="8"/>
      <color indexed="8"/>
      <name val="Arial"/>
      <family val="0"/>
    </font>
    <font>
      <b/>
      <sz val="9"/>
      <color indexed="8"/>
      <name val="Arial"/>
      <family val="0"/>
    </font>
    <font>
      <b/>
      <sz val="8"/>
      <color indexed="8"/>
      <name val="Arial"/>
      <family val="0"/>
    </font>
    <font>
      <sz val="5.7"/>
      <color indexed="8"/>
      <name val="Arial"/>
      <family val="0"/>
    </font>
    <font>
      <sz val="6.75"/>
      <color indexed="8"/>
      <name val="Arial"/>
      <family val="0"/>
    </font>
    <font>
      <sz val="4.25"/>
      <color indexed="8"/>
      <name val="Arial"/>
      <family val="0"/>
    </font>
    <font>
      <sz val="5.85"/>
      <color indexed="8"/>
      <name val="Arial"/>
      <family val="0"/>
    </font>
    <font>
      <b/>
      <sz val="5.5"/>
      <color indexed="8"/>
      <name val="Arial"/>
      <family val="0"/>
    </font>
    <font>
      <sz val="4.75"/>
      <color indexed="8"/>
      <name val="Arial"/>
      <family val="0"/>
    </font>
    <font>
      <b/>
      <sz val="11"/>
      <color indexed="38"/>
      <name val="Calibri"/>
      <family val="2"/>
    </font>
    <font>
      <b/>
      <sz val="18"/>
      <color indexed="38"/>
      <name val="Cambria"/>
      <family val="2"/>
    </font>
    <font>
      <b/>
      <sz val="15"/>
      <color indexed="38"/>
      <name val="Calibri"/>
      <family val="2"/>
    </font>
    <font>
      <b/>
      <sz val="13"/>
      <color indexed="38"/>
      <name val="Calibri"/>
      <family val="2"/>
    </font>
    <font>
      <sz val="12"/>
      <color indexed="8"/>
      <name val="Arial"/>
      <family val="0"/>
    </font>
    <font>
      <b/>
      <sz val="5.7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5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1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61"/>
        <bgColor indexed="64"/>
      </patternFill>
    </fill>
    <fill>
      <patternFill patternType="solid">
        <fgColor indexed="45"/>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3"/>
        <bgColor indexed="64"/>
      </patternFill>
    </fill>
    <fill>
      <patternFill patternType="solid">
        <fgColor indexed="34"/>
        <bgColor indexed="64"/>
      </patternFill>
    </fill>
    <fill>
      <patternFill patternType="solid">
        <fgColor indexed="15"/>
        <bgColor indexed="64"/>
      </patternFill>
    </fill>
    <fill>
      <patternFill patternType="solid">
        <fgColor indexed="25"/>
        <bgColor indexed="64"/>
      </patternFill>
    </fill>
    <fill>
      <patternFill patternType="solid">
        <fgColor indexed="11"/>
        <bgColor indexed="64"/>
      </patternFill>
    </fill>
    <fill>
      <patternFill patternType="solid">
        <fgColor indexed="47"/>
        <bgColor indexed="64"/>
      </patternFill>
    </fill>
    <fill>
      <patternFill patternType="solid">
        <fgColor indexed="18"/>
        <bgColor indexed="64"/>
      </patternFill>
    </fill>
    <fill>
      <patternFill patternType="solid">
        <fgColor indexed="62"/>
        <bgColor indexed="64"/>
      </patternFill>
    </fill>
    <fill>
      <patternFill patternType="solid">
        <fgColor indexed="13"/>
        <bgColor indexed="64"/>
      </patternFill>
    </fill>
  </fills>
  <borders count="181">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style="thin">
        <color indexed="32"/>
      </left>
      <right>
        <color indexed="63"/>
      </right>
      <top style="thin">
        <color indexed="32"/>
      </top>
      <bottom style="thin">
        <color indexed="32"/>
      </bottom>
    </border>
    <border>
      <left>
        <color indexed="63"/>
      </left>
      <right>
        <color indexed="63"/>
      </right>
      <top style="thin">
        <color indexed="32"/>
      </top>
      <bottom style="thin">
        <color indexed="32"/>
      </bottom>
    </border>
    <border>
      <left>
        <color indexed="63"/>
      </left>
      <right style="thin">
        <color indexed="32"/>
      </right>
      <top style="thin">
        <color indexed="32"/>
      </top>
      <bottom style="thin">
        <color indexed="32"/>
      </bottom>
    </border>
    <border>
      <left style="thin">
        <color indexed="32"/>
      </left>
      <right style="thin">
        <color indexed="32"/>
      </right>
      <top style="thin">
        <color indexed="32"/>
      </top>
      <bottom style="thin">
        <color indexed="32"/>
      </bottom>
    </border>
    <border>
      <left style="thin">
        <color indexed="32"/>
      </left>
      <right>
        <color indexed="63"/>
      </right>
      <top>
        <color indexed="63"/>
      </top>
      <bottom>
        <color indexed="63"/>
      </bottom>
    </border>
    <border>
      <left>
        <color indexed="63"/>
      </left>
      <right>
        <color indexed="63"/>
      </right>
      <top>
        <color indexed="63"/>
      </top>
      <bottom style="medium">
        <color indexed="60"/>
      </bottom>
    </border>
    <border>
      <left style="medium">
        <color indexed="60"/>
      </left>
      <right style="medium">
        <color indexed="60"/>
      </right>
      <top style="medium">
        <color indexed="60"/>
      </top>
      <bottom style="medium">
        <color indexed="60"/>
      </bottom>
    </border>
    <border>
      <left style="medium">
        <color indexed="16"/>
      </left>
      <right style="thin">
        <color indexed="16"/>
      </right>
      <top style="thin">
        <color indexed="16"/>
      </top>
      <bottom style="thin">
        <color indexed="16"/>
      </bottom>
    </border>
    <border>
      <left style="thin">
        <color indexed="16"/>
      </left>
      <right style="thin">
        <color indexed="16"/>
      </right>
      <top>
        <color indexed="63"/>
      </top>
      <bottom style="thin">
        <color indexed="16"/>
      </bottom>
    </border>
    <border>
      <left style="medium">
        <color indexed="16"/>
      </left>
      <right style="thin">
        <color indexed="16"/>
      </right>
      <top>
        <color indexed="63"/>
      </top>
      <bottom style="thin">
        <color indexed="16"/>
      </bottom>
    </border>
    <border>
      <left style="medium">
        <color indexed="16"/>
      </left>
      <right>
        <color indexed="63"/>
      </right>
      <top style="thin">
        <color indexed="16"/>
      </top>
      <bottom style="thin">
        <color indexed="16"/>
      </bottom>
    </border>
    <border>
      <left style="medium">
        <color indexed="16"/>
      </left>
      <right>
        <color indexed="63"/>
      </right>
      <top style="thin">
        <color indexed="16"/>
      </top>
      <bottom style="medium">
        <color indexed="16"/>
      </bottom>
    </border>
    <border>
      <left style="thin">
        <color indexed="32"/>
      </left>
      <right style="thin">
        <color indexed="32"/>
      </right>
      <top style="thin">
        <color indexed="32"/>
      </top>
      <bottom style="medium">
        <color indexed="16"/>
      </bottom>
    </border>
    <border>
      <left style="medium">
        <color indexed="60"/>
      </left>
      <right style="thin">
        <color indexed="60"/>
      </right>
      <top style="medium">
        <color indexed="60"/>
      </top>
      <bottom style="thin">
        <color indexed="60"/>
      </bottom>
    </border>
    <border>
      <left style="thin">
        <color indexed="60"/>
      </left>
      <right style="thin">
        <color indexed="60"/>
      </right>
      <top style="medium">
        <color indexed="60"/>
      </top>
      <bottom style="thin">
        <color indexed="60"/>
      </bottom>
    </border>
    <border>
      <left style="thin">
        <color indexed="60"/>
      </left>
      <right style="medium">
        <color indexed="60"/>
      </right>
      <top style="medium">
        <color indexed="60"/>
      </top>
      <bottom style="thin">
        <color indexed="60"/>
      </bottom>
    </border>
    <border>
      <left style="medium">
        <color indexed="60"/>
      </left>
      <right style="thin">
        <color indexed="60"/>
      </right>
      <top style="thin">
        <color indexed="60"/>
      </top>
      <bottom style="thin">
        <color indexed="60"/>
      </bottom>
    </border>
    <border>
      <left style="thin">
        <color indexed="60"/>
      </left>
      <right style="thin">
        <color indexed="60"/>
      </right>
      <top style="thin">
        <color indexed="60"/>
      </top>
      <bottom style="thin">
        <color indexed="60"/>
      </bottom>
    </border>
    <border>
      <left style="thin">
        <color indexed="60"/>
      </left>
      <right style="medium">
        <color indexed="60"/>
      </right>
      <top style="thin">
        <color indexed="60"/>
      </top>
      <bottom style="thin">
        <color indexed="60"/>
      </bottom>
    </border>
    <border>
      <left style="medium">
        <color indexed="60"/>
      </left>
      <right style="thin">
        <color indexed="60"/>
      </right>
      <top style="thin">
        <color indexed="60"/>
      </top>
      <bottom style="medium">
        <color indexed="60"/>
      </bottom>
    </border>
    <border>
      <left style="thin">
        <color indexed="60"/>
      </left>
      <right style="thin">
        <color indexed="60"/>
      </right>
      <top style="thin">
        <color indexed="60"/>
      </top>
      <bottom style="medium">
        <color indexed="60"/>
      </bottom>
    </border>
    <border>
      <left style="thin">
        <color indexed="60"/>
      </left>
      <right style="medium">
        <color indexed="60"/>
      </right>
      <top style="thin">
        <color indexed="60"/>
      </top>
      <bottom style="medium">
        <color indexed="60"/>
      </bottom>
    </border>
    <border>
      <left style="medium">
        <color indexed="60"/>
      </left>
      <right>
        <color indexed="63"/>
      </right>
      <top style="medium">
        <color indexed="60"/>
      </top>
      <bottom style="thin">
        <color indexed="32"/>
      </bottom>
    </border>
    <border>
      <left style="thin">
        <color indexed="60"/>
      </left>
      <right style="thin">
        <color indexed="60"/>
      </right>
      <top style="medium">
        <color indexed="60"/>
      </top>
      <bottom style="thin">
        <color indexed="32"/>
      </bottom>
    </border>
    <border>
      <left>
        <color indexed="63"/>
      </left>
      <right style="medium">
        <color indexed="60"/>
      </right>
      <top style="medium">
        <color indexed="60"/>
      </top>
      <bottom>
        <color indexed="63"/>
      </bottom>
    </border>
    <border>
      <left style="medium">
        <color indexed="60"/>
      </left>
      <right style="thin">
        <color indexed="32"/>
      </right>
      <top style="thin">
        <color indexed="32"/>
      </top>
      <bottom style="thin">
        <color indexed="32"/>
      </bottom>
    </border>
    <border>
      <left style="thin">
        <color indexed="32"/>
      </left>
      <right style="medium">
        <color indexed="60"/>
      </right>
      <top style="thin">
        <color indexed="32"/>
      </top>
      <bottom style="thin">
        <color indexed="32"/>
      </bottom>
    </border>
    <border>
      <left style="medium">
        <color indexed="60"/>
      </left>
      <right style="thin">
        <color indexed="32"/>
      </right>
      <top style="thin">
        <color indexed="32"/>
      </top>
      <bottom style="medium">
        <color indexed="60"/>
      </bottom>
    </border>
    <border>
      <left style="thin">
        <color indexed="32"/>
      </left>
      <right style="thin">
        <color indexed="32"/>
      </right>
      <top style="thin">
        <color indexed="32"/>
      </top>
      <bottom style="medium">
        <color indexed="60"/>
      </bottom>
    </border>
    <border>
      <left style="thin">
        <color indexed="32"/>
      </left>
      <right style="medium">
        <color indexed="60"/>
      </right>
      <top style="thin">
        <color indexed="32"/>
      </top>
      <bottom style="medium">
        <color indexed="60"/>
      </bottom>
    </border>
    <border>
      <left style="medium">
        <color indexed="16"/>
      </left>
      <right style="thin">
        <color indexed="32"/>
      </right>
      <top style="thin">
        <color indexed="32"/>
      </top>
      <bottom style="thin">
        <color indexed="32"/>
      </bottom>
    </border>
    <border>
      <left style="thin">
        <color indexed="32"/>
      </left>
      <right style="medium">
        <color indexed="16"/>
      </right>
      <top style="thin">
        <color indexed="32"/>
      </top>
      <bottom style="thin">
        <color indexed="32"/>
      </bottom>
    </border>
    <border>
      <left style="medium">
        <color indexed="32"/>
      </left>
      <right style="thin">
        <color indexed="32"/>
      </right>
      <top style="thin">
        <color indexed="32"/>
      </top>
      <bottom style="thin">
        <color indexed="32"/>
      </bottom>
    </border>
    <border>
      <left style="medium">
        <color indexed="16"/>
      </left>
      <right style="thin">
        <color indexed="32"/>
      </right>
      <top style="thin">
        <color indexed="32"/>
      </top>
      <bottom style="medium">
        <color indexed="16"/>
      </bottom>
    </border>
    <border>
      <left style="thin">
        <color indexed="32"/>
      </left>
      <right style="medium">
        <color indexed="16"/>
      </right>
      <top style="thin">
        <color indexed="32"/>
      </top>
      <bottom style="medium">
        <color indexed="16"/>
      </bottom>
    </border>
    <border>
      <left>
        <color indexed="63"/>
      </left>
      <right>
        <color indexed="63"/>
      </right>
      <top>
        <color indexed="63"/>
      </top>
      <bottom style="medium">
        <color indexed="12"/>
      </bottom>
    </border>
    <border>
      <left style="medium">
        <color indexed="12"/>
      </left>
      <right>
        <color indexed="63"/>
      </right>
      <top style="medium">
        <color indexed="12"/>
      </top>
      <bottom style="medium">
        <color indexed="12"/>
      </bottom>
    </border>
    <border>
      <left style="medium">
        <color indexed="12"/>
      </left>
      <right>
        <color indexed="63"/>
      </right>
      <top>
        <color indexed="63"/>
      </top>
      <bottom>
        <color indexed="63"/>
      </bottom>
    </border>
    <border>
      <left style="thin">
        <color indexed="32"/>
      </left>
      <right style="thin">
        <color indexed="32"/>
      </right>
      <top style="medium">
        <color indexed="48"/>
      </top>
      <bottom style="thin">
        <color indexed="32"/>
      </bottom>
    </border>
    <border>
      <left style="thin">
        <color indexed="32"/>
      </left>
      <right style="medium">
        <color indexed="48"/>
      </right>
      <top style="medium">
        <color indexed="48"/>
      </top>
      <bottom style="thin">
        <color indexed="32"/>
      </bottom>
    </border>
    <border>
      <left style="medium">
        <color indexed="48"/>
      </left>
      <right style="thin">
        <color indexed="32"/>
      </right>
      <top style="thin">
        <color indexed="32"/>
      </top>
      <bottom style="thin">
        <color indexed="32"/>
      </bottom>
    </border>
    <border>
      <left style="thin">
        <color indexed="32"/>
      </left>
      <right style="medium">
        <color indexed="48"/>
      </right>
      <top style="thin">
        <color indexed="32"/>
      </top>
      <bottom style="thin">
        <color indexed="32"/>
      </bottom>
    </border>
    <border>
      <left style="medium">
        <color indexed="48"/>
      </left>
      <right style="thin">
        <color indexed="32"/>
      </right>
      <top style="thin">
        <color indexed="32"/>
      </top>
      <bottom style="medium">
        <color indexed="48"/>
      </bottom>
    </border>
    <border>
      <left style="thin">
        <color indexed="32"/>
      </left>
      <right style="thin">
        <color indexed="32"/>
      </right>
      <top style="thin">
        <color indexed="32"/>
      </top>
      <bottom style="medium">
        <color indexed="48"/>
      </bottom>
    </border>
    <border>
      <left style="thin">
        <color indexed="32"/>
      </left>
      <right style="medium">
        <color indexed="48"/>
      </right>
      <top style="thin">
        <color indexed="32"/>
      </top>
      <bottom style="medium">
        <color indexed="48"/>
      </bottom>
    </border>
    <border>
      <left style="medium">
        <color indexed="48"/>
      </left>
      <right>
        <color indexed="63"/>
      </right>
      <top style="medium">
        <color indexed="48"/>
      </top>
      <bottom>
        <color indexed="63"/>
      </bottom>
    </border>
    <border>
      <left style="medium">
        <color indexed="32"/>
      </left>
      <right style="thin">
        <color indexed="32"/>
      </right>
      <top style="medium">
        <color indexed="32"/>
      </top>
      <bottom style="thin">
        <color indexed="32"/>
      </bottom>
    </border>
    <border>
      <left style="thin">
        <color indexed="16"/>
      </left>
      <right style="thin">
        <color indexed="16"/>
      </right>
      <top style="medium">
        <color indexed="32"/>
      </top>
      <bottom style="thin">
        <color indexed="32"/>
      </bottom>
    </border>
    <border>
      <left style="thin">
        <color indexed="16"/>
      </left>
      <right style="medium">
        <color indexed="16"/>
      </right>
      <top style="medium">
        <color indexed="32"/>
      </top>
      <bottom style="thin">
        <color indexed="32"/>
      </bottom>
    </border>
    <border>
      <left style="medium">
        <color indexed="32"/>
      </left>
      <right>
        <color indexed="63"/>
      </right>
      <top>
        <color indexed="63"/>
      </top>
      <bottom style="thin">
        <color indexed="32"/>
      </bottom>
    </border>
    <border>
      <left style="thin">
        <color indexed="58"/>
      </left>
      <right style="thin">
        <color indexed="58"/>
      </right>
      <top style="thin">
        <color indexed="58"/>
      </top>
      <bottom style="thin">
        <color indexed="58"/>
      </bottom>
    </border>
    <border>
      <left style="medium">
        <color indexed="32"/>
      </left>
      <right style="thin">
        <color indexed="32"/>
      </right>
      <top>
        <color indexed="63"/>
      </top>
      <bottom style="thin">
        <color indexed="32"/>
      </bottom>
    </border>
    <border>
      <left style="thin">
        <color indexed="32"/>
      </left>
      <right style="thin">
        <color indexed="32"/>
      </right>
      <top style="medium">
        <color indexed="32"/>
      </top>
      <bottom style="thin">
        <color indexed="32"/>
      </bottom>
    </border>
    <border>
      <left style="thin">
        <color indexed="32"/>
      </left>
      <right style="medium">
        <color indexed="32"/>
      </right>
      <top style="medium">
        <color indexed="32"/>
      </top>
      <bottom style="thin">
        <color indexed="32"/>
      </bottom>
    </border>
    <border>
      <left style="thin">
        <color indexed="32"/>
      </left>
      <right style="thin">
        <color indexed="32"/>
      </right>
      <top style="thin">
        <color indexed="32"/>
      </top>
      <bottom style="medium">
        <color indexed="32"/>
      </bottom>
    </border>
    <border>
      <left style="thin">
        <color indexed="58"/>
      </left>
      <right style="thin">
        <color indexed="58"/>
      </right>
      <top style="thin">
        <color indexed="58"/>
      </top>
      <bottom>
        <color indexed="63"/>
      </bottom>
    </border>
    <border>
      <left style="thin">
        <color indexed="58"/>
      </left>
      <right style="thin">
        <color indexed="58"/>
      </right>
      <top style="thin">
        <color indexed="58"/>
      </top>
      <bottom style="medium">
        <color indexed="58"/>
      </bottom>
    </border>
    <border>
      <left>
        <color indexed="63"/>
      </left>
      <right>
        <color indexed="63"/>
      </right>
      <top>
        <color indexed="63"/>
      </top>
      <bottom style="medium">
        <color indexed="51"/>
      </bottom>
    </border>
    <border>
      <left style="medium">
        <color indexed="51"/>
      </left>
      <right style="medium">
        <color indexed="51"/>
      </right>
      <top style="medium">
        <color indexed="51"/>
      </top>
      <bottom style="thin">
        <color indexed="32"/>
      </bottom>
    </border>
    <border>
      <left>
        <color indexed="63"/>
      </left>
      <right style="thin">
        <color indexed="32"/>
      </right>
      <top style="medium">
        <color indexed="51"/>
      </top>
      <bottom style="thin">
        <color indexed="32"/>
      </bottom>
    </border>
    <border>
      <left style="thin">
        <color indexed="32"/>
      </left>
      <right style="thin">
        <color indexed="32"/>
      </right>
      <top style="medium">
        <color indexed="51"/>
      </top>
      <bottom style="thin">
        <color indexed="32"/>
      </bottom>
    </border>
    <border>
      <left style="thin">
        <color indexed="16"/>
      </left>
      <right style="thin">
        <color indexed="16"/>
      </right>
      <top style="medium">
        <color indexed="51"/>
      </top>
      <bottom style="thin">
        <color indexed="32"/>
      </bottom>
    </border>
    <border>
      <left style="medium">
        <color indexed="51"/>
      </left>
      <right>
        <color indexed="63"/>
      </right>
      <top>
        <color indexed="63"/>
      </top>
      <bottom style="thin">
        <color indexed="32"/>
      </bottom>
    </border>
    <border>
      <left>
        <color indexed="63"/>
      </left>
      <right>
        <color indexed="63"/>
      </right>
      <top>
        <color indexed="63"/>
      </top>
      <bottom style="thin">
        <color indexed="32"/>
      </bottom>
    </border>
    <border>
      <left style="medium">
        <color indexed="51"/>
      </left>
      <right style="medium">
        <color indexed="51"/>
      </right>
      <top>
        <color indexed="63"/>
      </top>
      <bottom style="thin">
        <color indexed="32"/>
      </bottom>
    </border>
    <border>
      <left>
        <color indexed="63"/>
      </left>
      <right style="thin">
        <color indexed="32"/>
      </right>
      <top>
        <color indexed="63"/>
      </top>
      <bottom style="thin">
        <color indexed="32"/>
      </bottom>
    </border>
    <border>
      <left style="thin">
        <color indexed="32"/>
      </left>
      <right style="thin">
        <color indexed="32"/>
      </right>
      <top>
        <color indexed="63"/>
      </top>
      <bottom style="thin">
        <color indexed="32"/>
      </bottom>
    </border>
    <border>
      <left>
        <color indexed="63"/>
      </left>
      <right style="medium">
        <color indexed="51"/>
      </right>
      <top>
        <color indexed="63"/>
      </top>
      <bottom>
        <color indexed="63"/>
      </bottom>
    </border>
    <border>
      <left style="thin">
        <color indexed="32"/>
      </left>
      <right style="thin">
        <color indexed="32"/>
      </right>
      <top style="thin">
        <color indexed="32"/>
      </top>
      <bottom style="medium">
        <color indexed="51"/>
      </bottom>
    </border>
    <border>
      <left style="thin">
        <color indexed="32"/>
      </left>
      <right>
        <color indexed="63"/>
      </right>
      <top>
        <color indexed="63"/>
      </top>
      <bottom style="thin">
        <color indexed="32"/>
      </bottom>
    </border>
    <border>
      <left style="thin">
        <color indexed="32"/>
      </left>
      <right>
        <color indexed="63"/>
      </right>
      <top style="thin">
        <color indexed="32"/>
      </top>
      <bottom style="medium">
        <color indexed="51"/>
      </bottom>
    </border>
    <border>
      <left style="thin">
        <color indexed="58"/>
      </left>
      <right style="thin">
        <color indexed="58"/>
      </right>
      <top style="thin">
        <color indexed="58"/>
      </top>
      <bottom style="medium">
        <color indexed="51"/>
      </bottom>
    </border>
    <border>
      <left>
        <color indexed="63"/>
      </left>
      <right>
        <color indexed="63"/>
      </right>
      <top style="thin">
        <color indexed="30"/>
      </top>
      <bottom style="thin">
        <color indexed="30"/>
      </bottom>
    </border>
    <border>
      <left style="thin">
        <color indexed="32"/>
      </left>
      <right style="medium">
        <color indexed="32"/>
      </right>
      <top style="thin">
        <color indexed="32"/>
      </top>
      <bottom style="medium">
        <color indexed="32"/>
      </bottom>
    </border>
    <border>
      <left style="medium">
        <color indexed="32"/>
      </left>
      <right style="thin">
        <color indexed="32"/>
      </right>
      <top style="thin">
        <color indexed="32"/>
      </top>
      <bottom style="medium">
        <color indexed="32"/>
      </bottom>
    </border>
    <border>
      <left style="thin">
        <color indexed="32"/>
      </left>
      <right>
        <color indexed="63"/>
      </right>
      <top style="medium">
        <color indexed="32"/>
      </top>
      <bottom style="thin">
        <color indexed="32"/>
      </bottom>
    </border>
    <border>
      <left>
        <color indexed="63"/>
      </left>
      <right style="medium">
        <color indexed="32"/>
      </right>
      <top style="medium">
        <color indexed="32"/>
      </top>
      <bottom style="thin">
        <color indexed="32"/>
      </bottom>
    </border>
    <border>
      <left>
        <color indexed="63"/>
      </left>
      <right style="medium">
        <color indexed="32"/>
      </right>
      <top style="thin">
        <color indexed="32"/>
      </top>
      <bottom style="thin">
        <color indexed="32"/>
      </bottom>
    </border>
    <border>
      <left style="thin">
        <color indexed="32"/>
      </left>
      <right>
        <color indexed="63"/>
      </right>
      <top style="thin">
        <color indexed="32"/>
      </top>
      <bottom style="medium">
        <color indexed="32"/>
      </bottom>
    </border>
    <border>
      <left style="thin">
        <color indexed="9"/>
      </left>
      <right style="thin">
        <color indexed="9"/>
      </right>
      <top style="thin">
        <color indexed="9"/>
      </top>
      <bottom style="thin">
        <color indexed="9"/>
      </bottom>
    </border>
    <border>
      <left style="thin">
        <color indexed="32"/>
      </left>
      <right style="thin">
        <color indexed="32"/>
      </right>
      <top style="thin">
        <color indexed="32"/>
      </top>
      <bottom>
        <color indexed="63"/>
      </bottom>
    </border>
    <border>
      <left style="thin">
        <color indexed="58"/>
      </left>
      <right>
        <color indexed="63"/>
      </right>
      <top style="thin">
        <color indexed="58"/>
      </top>
      <bottom style="thin">
        <color indexed="58"/>
      </bottom>
    </border>
    <border>
      <left style="medium">
        <color indexed="60"/>
      </left>
      <right style="dotted">
        <color indexed="32"/>
      </right>
      <top style="medium">
        <color indexed="60"/>
      </top>
      <bottom style="hair">
        <color indexed="32"/>
      </bottom>
    </border>
    <border>
      <left style="dotted">
        <color indexed="32"/>
      </left>
      <right style="dotted">
        <color indexed="32"/>
      </right>
      <top style="medium">
        <color indexed="52"/>
      </top>
      <bottom style="hair">
        <color indexed="32"/>
      </bottom>
    </border>
    <border>
      <left style="medium">
        <color indexed="60"/>
      </left>
      <right style="dotted">
        <color indexed="32"/>
      </right>
      <top style="hair">
        <color indexed="32"/>
      </top>
      <bottom style="hair">
        <color indexed="32"/>
      </bottom>
    </border>
    <border>
      <left style="dotted">
        <color indexed="32"/>
      </left>
      <right style="dotted">
        <color indexed="32"/>
      </right>
      <top style="hair">
        <color indexed="32"/>
      </top>
      <bottom style="hair">
        <color indexed="32"/>
      </bottom>
    </border>
    <border>
      <left style="medium">
        <color indexed="60"/>
      </left>
      <right style="dotted">
        <color indexed="32"/>
      </right>
      <top style="hair">
        <color indexed="32"/>
      </top>
      <bottom style="medium">
        <color indexed="60"/>
      </bottom>
    </border>
    <border>
      <left style="dotted">
        <color indexed="32"/>
      </left>
      <right style="dotted">
        <color indexed="32"/>
      </right>
      <top style="hair">
        <color indexed="32"/>
      </top>
      <bottom style="medium">
        <color indexed="52"/>
      </bottom>
    </border>
    <border>
      <left style="medium">
        <color indexed="62"/>
      </left>
      <right>
        <color indexed="63"/>
      </right>
      <top style="medium">
        <color indexed="62"/>
      </top>
      <bottom style="hair">
        <color indexed="32"/>
      </bottom>
    </border>
    <border>
      <left style="dotted">
        <color indexed="62"/>
      </left>
      <right style="dotted">
        <color indexed="32"/>
      </right>
      <top style="medium">
        <color indexed="62"/>
      </top>
      <bottom style="hair">
        <color indexed="32"/>
      </bottom>
    </border>
    <border>
      <left style="medium">
        <color indexed="62"/>
      </left>
      <right>
        <color indexed="63"/>
      </right>
      <top style="hair">
        <color indexed="32"/>
      </top>
      <bottom style="hair">
        <color indexed="32"/>
      </bottom>
    </border>
    <border>
      <left style="dotted">
        <color indexed="62"/>
      </left>
      <right style="dotted">
        <color indexed="32"/>
      </right>
      <top style="hair">
        <color indexed="32"/>
      </top>
      <bottom style="hair">
        <color indexed="32"/>
      </bottom>
    </border>
    <border>
      <left style="medium">
        <color indexed="62"/>
      </left>
      <right>
        <color indexed="63"/>
      </right>
      <top style="hair">
        <color indexed="32"/>
      </top>
      <bottom style="medium">
        <color indexed="62"/>
      </bottom>
    </border>
    <border>
      <left style="dotted">
        <color indexed="62"/>
      </left>
      <right style="dotted">
        <color indexed="32"/>
      </right>
      <top style="hair">
        <color indexed="32"/>
      </top>
      <bottom style="medium">
        <color indexed="62"/>
      </bottom>
    </border>
    <border>
      <left style="medium">
        <color indexed="51"/>
      </left>
      <right style="hair">
        <color indexed="32"/>
      </right>
      <top style="medium">
        <color indexed="51"/>
      </top>
      <bottom style="hair">
        <color indexed="32"/>
      </bottom>
    </border>
    <border>
      <left style="hair">
        <color indexed="32"/>
      </left>
      <right style="hair">
        <color indexed="32"/>
      </right>
      <top style="medium">
        <color indexed="51"/>
      </top>
      <bottom style="hair">
        <color indexed="32"/>
      </bottom>
    </border>
    <border>
      <left style="medium">
        <color indexed="51"/>
      </left>
      <right style="hair">
        <color indexed="32"/>
      </right>
      <top style="hair">
        <color indexed="32"/>
      </top>
      <bottom style="hair">
        <color indexed="32"/>
      </bottom>
    </border>
    <border>
      <left style="hair">
        <color indexed="32"/>
      </left>
      <right style="hair">
        <color indexed="32"/>
      </right>
      <top>
        <color indexed="63"/>
      </top>
      <bottom style="hair">
        <color indexed="32"/>
      </bottom>
    </border>
    <border>
      <left style="medium">
        <color indexed="51"/>
      </left>
      <right>
        <color indexed="63"/>
      </right>
      <top>
        <color indexed="63"/>
      </top>
      <bottom style="hair">
        <color indexed="32"/>
      </bottom>
    </border>
    <border>
      <left style="hair">
        <color indexed="32"/>
      </left>
      <right style="hair">
        <color indexed="32"/>
      </right>
      <top>
        <color indexed="63"/>
      </top>
      <bottom>
        <color indexed="63"/>
      </bottom>
    </border>
    <border>
      <left style="hair">
        <color indexed="32"/>
      </left>
      <right style="hair">
        <color indexed="32"/>
      </right>
      <top style="hair">
        <color indexed="32"/>
      </top>
      <bottom style="medium">
        <color indexed="51"/>
      </bottom>
    </border>
    <border>
      <left>
        <color indexed="63"/>
      </left>
      <right>
        <color indexed="63"/>
      </right>
      <top>
        <color indexed="63"/>
      </top>
      <bottom style="medium">
        <color indexed="18"/>
      </bottom>
    </border>
    <border>
      <left style="hair">
        <color indexed="57"/>
      </left>
      <right style="hair">
        <color indexed="57"/>
      </right>
      <top style="medium">
        <color indexed="57"/>
      </top>
      <bottom style="medium">
        <color indexed="57"/>
      </bottom>
    </border>
    <border>
      <left style="thin">
        <color indexed="16"/>
      </left>
      <right style="thin">
        <color indexed="16"/>
      </right>
      <top style="thin">
        <color indexed="16"/>
      </top>
      <bottom>
        <color indexed="63"/>
      </bottom>
    </border>
    <border>
      <left>
        <color indexed="63"/>
      </left>
      <right>
        <color indexed="63"/>
      </right>
      <top style="thin">
        <color indexed="32"/>
      </top>
      <bottom>
        <color indexed="63"/>
      </bottom>
    </border>
    <border>
      <left style="medium">
        <color indexed="51"/>
      </left>
      <right style="medium">
        <color indexed="51"/>
      </right>
      <top style="medium">
        <color indexed="51"/>
      </top>
      <bottom style="medium">
        <color indexed="51"/>
      </bottom>
    </border>
    <border>
      <left style="medium">
        <color indexed="51"/>
      </left>
      <right style="medium">
        <color indexed="51"/>
      </right>
      <top style="thin">
        <color indexed="32"/>
      </top>
      <bottom style="thin">
        <color indexed="32"/>
      </bottom>
    </border>
    <border>
      <left style="medium">
        <color indexed="51"/>
      </left>
      <right style="thin">
        <color indexed="32"/>
      </right>
      <top style="thin">
        <color indexed="32"/>
      </top>
      <bottom style="thin">
        <color indexed="32"/>
      </bottom>
    </border>
    <border>
      <left style="medium">
        <color indexed="51"/>
      </left>
      <right>
        <color indexed="63"/>
      </right>
      <top style="thin">
        <color indexed="32"/>
      </top>
      <bottom style="thin">
        <color indexed="32"/>
      </bottom>
    </border>
    <border>
      <left style="medium">
        <color indexed="51"/>
      </left>
      <right style="medium">
        <color indexed="51"/>
      </right>
      <top style="thin">
        <color indexed="32"/>
      </top>
      <bottom style="medium">
        <color indexed="51"/>
      </bottom>
    </border>
    <border>
      <left style="medium">
        <color indexed="51"/>
      </left>
      <right>
        <color indexed="63"/>
      </right>
      <top style="thin">
        <color indexed="32"/>
      </top>
      <bottom style="medium">
        <color indexed="51"/>
      </bottom>
    </border>
    <border>
      <left style="medium">
        <color indexed="51"/>
      </left>
      <right>
        <color indexed="63"/>
      </right>
      <top style="thin">
        <color indexed="32"/>
      </top>
      <bottom>
        <color indexed="63"/>
      </bottom>
    </border>
    <border>
      <left style="medium">
        <color indexed="48"/>
      </left>
      <right style="thin">
        <color indexed="32"/>
      </right>
      <top style="medium">
        <color indexed="48"/>
      </top>
      <bottom style="thin">
        <color indexed="32"/>
      </bottom>
    </border>
    <border>
      <left>
        <color indexed="63"/>
      </left>
      <right>
        <color indexed="63"/>
      </right>
      <top style="medium">
        <color indexed="60"/>
      </top>
      <bottom>
        <color indexed="63"/>
      </bottom>
    </border>
    <border>
      <left style="medium">
        <color indexed="16"/>
      </left>
      <right style="medium">
        <color indexed="16"/>
      </right>
      <top style="medium">
        <color indexed="16"/>
      </top>
      <bottom style="thin">
        <color indexed="16"/>
      </bottom>
    </border>
    <border>
      <left style="medium">
        <color indexed="32"/>
      </left>
      <right style="medium">
        <color indexed="32"/>
      </right>
      <top style="medium">
        <color indexed="32"/>
      </top>
      <bottom style="medium">
        <color indexed="32"/>
      </bottom>
    </border>
    <border>
      <left style="medium">
        <color indexed="16"/>
      </left>
      <right style="medium">
        <color indexed="16"/>
      </right>
      <top style="medium">
        <color indexed="16"/>
      </top>
      <bottom style="thin">
        <color indexed="32"/>
      </bottom>
    </border>
    <border>
      <left style="thin">
        <color indexed="32"/>
      </left>
      <right style="thin">
        <color indexed="32"/>
      </right>
      <top>
        <color indexed="63"/>
      </top>
      <bottom>
        <color indexed="63"/>
      </bottom>
    </border>
    <border>
      <left>
        <color indexed="63"/>
      </left>
      <right style="thin">
        <color indexed="32"/>
      </right>
      <top>
        <color indexed="63"/>
      </top>
      <bottom>
        <color indexed="63"/>
      </bottom>
    </border>
    <border>
      <left style="medium">
        <color indexed="32"/>
      </left>
      <right style="medium">
        <color indexed="32"/>
      </right>
      <top style="thin">
        <color indexed="32"/>
      </top>
      <bottom style="medium">
        <color indexed="32"/>
      </bottom>
    </border>
    <border>
      <left style="medium">
        <color indexed="32"/>
      </left>
      <right style="medium">
        <color indexed="32"/>
      </right>
      <top style="medium">
        <color indexed="32"/>
      </top>
      <bottom style="thin">
        <color indexed="32"/>
      </bottom>
    </border>
    <border>
      <left style="medium">
        <color indexed="32"/>
      </left>
      <right style="medium">
        <color indexed="32"/>
      </right>
      <top style="thin">
        <color indexed="32"/>
      </top>
      <bottom style="thin">
        <color indexed="32"/>
      </bottom>
    </border>
    <border>
      <left style="thin">
        <color indexed="58"/>
      </left>
      <right style="thin">
        <color indexed="32"/>
      </right>
      <top style="thin">
        <color indexed="58"/>
      </top>
      <bottom style="thin">
        <color indexed="58"/>
      </bottom>
    </border>
    <border>
      <left style="hair">
        <color indexed="32"/>
      </left>
      <right style="medium">
        <color indexed="51"/>
      </right>
      <top style="hair">
        <color indexed="32"/>
      </top>
      <bottom style="hair">
        <color indexed="32"/>
      </bottom>
    </border>
    <border>
      <left style="medium">
        <color indexed="51"/>
      </left>
      <right style="medium">
        <color indexed="51"/>
      </right>
      <top style="hair">
        <color indexed="51"/>
      </top>
      <bottom style="medium">
        <color indexed="51"/>
      </bottom>
    </border>
    <border>
      <left style="medium">
        <color indexed="51"/>
      </left>
      <right style="medium">
        <color indexed="51"/>
      </right>
      <top style="hair">
        <color indexed="51"/>
      </top>
      <bottom style="hair">
        <color indexed="51"/>
      </bottom>
    </border>
    <border>
      <left style="hair">
        <color indexed="32"/>
      </left>
      <right style="medium">
        <color indexed="51"/>
      </right>
      <top style="medium">
        <color indexed="51"/>
      </top>
      <bottom style="hair">
        <color indexed="32"/>
      </bottom>
    </border>
    <border>
      <left style="medium">
        <color indexed="51"/>
      </left>
      <right style="medium">
        <color indexed="51"/>
      </right>
      <top style="medium">
        <color indexed="51"/>
      </top>
      <bottom style="hair">
        <color indexed="51"/>
      </bottom>
    </border>
    <border>
      <left>
        <color indexed="63"/>
      </left>
      <right style="medium">
        <color indexed="52"/>
      </right>
      <top>
        <color indexed="63"/>
      </top>
      <bottom>
        <color indexed="63"/>
      </bottom>
    </border>
    <border>
      <left>
        <color indexed="63"/>
      </left>
      <right style="medium">
        <color indexed="62"/>
      </right>
      <top style="hair">
        <color indexed="23"/>
      </top>
      <bottom style="hair">
        <color indexed="23"/>
      </bottom>
    </border>
    <border>
      <left style="medium">
        <color indexed="18"/>
      </left>
      <right style="medium">
        <color indexed="18"/>
      </right>
      <top style="hair">
        <color indexed="18"/>
      </top>
      <bottom style="hair">
        <color indexed="18"/>
      </bottom>
    </border>
    <border>
      <left>
        <color indexed="63"/>
      </left>
      <right style="medium">
        <color indexed="62"/>
      </right>
      <top style="hair">
        <color indexed="23"/>
      </top>
      <bottom style="medium">
        <color indexed="62"/>
      </bottom>
    </border>
    <border>
      <left style="medium">
        <color indexed="18"/>
      </left>
      <right style="medium">
        <color indexed="18"/>
      </right>
      <top style="hair">
        <color indexed="18"/>
      </top>
      <bottom style="medium">
        <color indexed="18"/>
      </bottom>
    </border>
    <border>
      <left>
        <color indexed="63"/>
      </left>
      <right style="medium">
        <color indexed="62"/>
      </right>
      <top style="medium">
        <color indexed="62"/>
      </top>
      <bottom style="hair">
        <color indexed="23"/>
      </bottom>
    </border>
    <border>
      <left style="medium">
        <color indexed="18"/>
      </left>
      <right style="medium">
        <color indexed="18"/>
      </right>
      <top style="medium">
        <color indexed="18"/>
      </top>
      <bottom style="hair">
        <color indexed="18"/>
      </bottom>
    </border>
    <border>
      <left>
        <color indexed="63"/>
      </left>
      <right style="medium">
        <color indexed="52"/>
      </right>
      <top>
        <color indexed="63"/>
      </top>
      <bottom style="medium">
        <color indexed="52"/>
      </bottom>
    </border>
    <border>
      <left style="medium">
        <color indexed="18"/>
      </left>
      <right style="medium">
        <color indexed="18"/>
      </right>
      <top style="medium">
        <color indexed="18"/>
      </top>
      <bottom>
        <color indexed="63"/>
      </bottom>
    </border>
    <border>
      <left style="medium">
        <color indexed="18"/>
      </left>
      <right>
        <color indexed="63"/>
      </right>
      <top style="medium">
        <color indexed="18"/>
      </top>
      <bottom style="medium">
        <color indexed="18"/>
      </bottom>
    </border>
    <border>
      <left>
        <color indexed="63"/>
      </left>
      <right style="medium">
        <color indexed="60"/>
      </right>
      <top style="hair">
        <color indexed="23"/>
      </top>
      <bottom style="medium">
        <color indexed="60"/>
      </bottom>
    </border>
    <border>
      <left style="medium">
        <color indexed="60"/>
      </left>
      <right style="medium">
        <color indexed="60"/>
      </right>
      <top>
        <color indexed="63"/>
      </top>
      <bottom style="medium">
        <color indexed="60"/>
      </bottom>
    </border>
    <border>
      <left>
        <color indexed="63"/>
      </left>
      <right style="medium">
        <color indexed="60"/>
      </right>
      <top style="hair">
        <color indexed="23"/>
      </top>
      <bottom style="hair">
        <color indexed="23"/>
      </bottom>
    </border>
    <border>
      <left style="medium">
        <color indexed="60"/>
      </left>
      <right style="medium">
        <color indexed="60"/>
      </right>
      <top>
        <color indexed="63"/>
      </top>
      <bottom style="hair">
        <color indexed="32"/>
      </bottom>
    </border>
    <border>
      <left style="medium">
        <color indexed="60"/>
      </left>
      <right style="medium">
        <color indexed="60"/>
      </right>
      <top style="hair">
        <color indexed="32"/>
      </top>
      <bottom style="hair">
        <color indexed="32"/>
      </bottom>
    </border>
    <border>
      <left style="medium">
        <color indexed="32"/>
      </left>
      <right style="medium">
        <color indexed="32"/>
      </right>
      <top style="hair">
        <color indexed="32"/>
      </top>
      <bottom style="medium">
        <color indexed="32"/>
      </bottom>
    </border>
    <border>
      <left style="medium">
        <color indexed="32"/>
      </left>
      <right style="hair">
        <color indexed="32"/>
      </right>
      <top style="hair">
        <color indexed="32"/>
      </top>
      <bottom style="medium">
        <color indexed="32"/>
      </bottom>
    </border>
    <border>
      <left style="hair">
        <color indexed="32"/>
      </left>
      <right style="hair">
        <color indexed="32"/>
      </right>
      <top style="hair">
        <color indexed="32"/>
      </top>
      <bottom style="medium">
        <color indexed="32"/>
      </bottom>
    </border>
    <border>
      <left style="hair">
        <color indexed="32"/>
      </left>
      <right style="medium">
        <color indexed="32"/>
      </right>
      <top style="hair">
        <color indexed="32"/>
      </top>
      <bottom style="medium">
        <color indexed="32"/>
      </bottom>
    </border>
    <border>
      <left style="medium">
        <color indexed="32"/>
      </left>
      <right style="medium">
        <color indexed="32"/>
      </right>
      <top style="hair">
        <color indexed="32"/>
      </top>
      <bottom style="hair">
        <color indexed="32"/>
      </bottom>
    </border>
    <border>
      <left style="medium">
        <color indexed="32"/>
      </left>
      <right style="hair">
        <color indexed="32"/>
      </right>
      <top style="hair">
        <color indexed="32"/>
      </top>
      <bottom style="hair">
        <color indexed="32"/>
      </bottom>
    </border>
    <border>
      <left style="hair">
        <color indexed="32"/>
      </left>
      <right style="hair">
        <color indexed="32"/>
      </right>
      <top style="hair">
        <color indexed="32"/>
      </top>
      <bottom style="hair">
        <color indexed="32"/>
      </bottom>
    </border>
    <border>
      <left style="hair">
        <color indexed="32"/>
      </left>
      <right style="medium">
        <color indexed="32"/>
      </right>
      <top style="hair">
        <color indexed="32"/>
      </top>
      <bottom style="hair">
        <color indexed="32"/>
      </bottom>
    </border>
    <border>
      <left style="medium">
        <color indexed="57"/>
      </left>
      <right style="medium">
        <color indexed="57"/>
      </right>
      <top style="medium">
        <color indexed="57"/>
      </top>
      <bottom style="medium">
        <color indexed="57"/>
      </bottom>
    </border>
    <border>
      <left style="medium">
        <color indexed="57"/>
      </left>
      <right style="hair">
        <color indexed="57"/>
      </right>
      <top style="medium">
        <color indexed="57"/>
      </top>
      <bottom style="medium">
        <color indexed="57"/>
      </bottom>
    </border>
    <border>
      <left style="hair">
        <color indexed="57"/>
      </left>
      <right style="medium">
        <color indexed="57"/>
      </right>
      <top style="medium">
        <color indexed="57"/>
      </top>
      <bottom style="medium">
        <color indexed="57"/>
      </bottom>
    </border>
    <border>
      <left style="medium">
        <color indexed="32"/>
      </left>
      <right style="medium">
        <color indexed="32"/>
      </right>
      <top style="medium">
        <color indexed="57"/>
      </top>
      <bottom style="hair">
        <color indexed="32"/>
      </bottom>
    </border>
    <border>
      <left style="medium">
        <color indexed="32"/>
      </left>
      <right style="hair">
        <color indexed="32"/>
      </right>
      <top>
        <color indexed="63"/>
      </top>
      <bottom style="hair">
        <color indexed="32"/>
      </bottom>
    </border>
    <border>
      <left style="hair">
        <color indexed="32"/>
      </left>
      <right style="medium">
        <color indexed="32"/>
      </right>
      <top>
        <color indexed="63"/>
      </top>
      <bottom style="hair">
        <color indexed="32"/>
      </bottom>
    </border>
    <border>
      <left>
        <color indexed="63"/>
      </left>
      <right style="medium">
        <color indexed="32"/>
      </right>
      <top style="hair">
        <color indexed="32"/>
      </top>
      <bottom style="medium">
        <color indexed="32"/>
      </bottom>
    </border>
    <border>
      <left>
        <color indexed="63"/>
      </left>
      <right style="medium">
        <color indexed="32"/>
      </right>
      <top style="hair">
        <color indexed="32"/>
      </top>
      <bottom style="hair">
        <color indexed="32"/>
      </bottom>
    </border>
    <border>
      <left style="hair">
        <color indexed="32"/>
      </left>
      <right style="medium">
        <color indexed="32"/>
      </right>
      <top style="medium">
        <color indexed="57"/>
      </top>
      <bottom style="hair">
        <color indexed="32"/>
      </bottom>
    </border>
    <border>
      <left style="medium">
        <color indexed="32"/>
      </left>
      <right style="hair">
        <color indexed="32"/>
      </right>
      <top style="medium">
        <color indexed="57"/>
      </top>
      <bottom style="hair">
        <color indexed="32"/>
      </bottom>
    </border>
    <border>
      <left style="hair">
        <color indexed="32"/>
      </left>
      <right style="hair">
        <color indexed="32"/>
      </right>
      <top style="medium">
        <color indexed="57"/>
      </top>
      <bottom style="hair">
        <color indexed="32"/>
      </bottom>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136" fillId="6" borderId="0" applyNumberFormat="0" applyBorder="0" applyAlignment="0" applyProtection="0"/>
    <xf numFmtId="0" fontId="136" fillId="7" borderId="0" applyNumberFormat="0" applyBorder="0" applyAlignment="0" applyProtection="0"/>
    <xf numFmtId="0" fontId="136" fillId="8" borderId="0" applyNumberFormat="0" applyBorder="0" applyAlignment="0" applyProtection="0"/>
    <xf numFmtId="0" fontId="136" fillId="9" borderId="0" applyNumberFormat="0" applyBorder="0" applyAlignment="0" applyProtection="0"/>
    <xf numFmtId="0" fontId="136" fillId="10" borderId="0" applyNumberFormat="0" applyBorder="0" applyAlignment="0" applyProtection="0"/>
    <xf numFmtId="0" fontId="136"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15" borderId="0" applyNumberFormat="0" applyBorder="0" applyAlignment="0" applyProtection="0"/>
    <xf numFmtId="0" fontId="0" fillId="3" borderId="0" applyNumberFormat="0" applyBorder="0" applyAlignment="0" applyProtection="0"/>
    <xf numFmtId="0" fontId="136" fillId="16" borderId="0" applyNumberFormat="0" applyBorder="0" applyAlignment="0" applyProtection="0"/>
    <xf numFmtId="0" fontId="136" fillId="17" borderId="0" applyNumberFormat="0" applyBorder="0" applyAlignment="0" applyProtection="0"/>
    <xf numFmtId="0" fontId="136" fillId="18" borderId="0" applyNumberFormat="0" applyBorder="0" applyAlignment="0" applyProtection="0"/>
    <xf numFmtId="0" fontId="136" fillId="19" borderId="0" applyNumberFormat="0" applyBorder="0" applyAlignment="0" applyProtection="0"/>
    <xf numFmtId="0" fontId="136" fillId="20" borderId="0" applyNumberFormat="0" applyBorder="0" applyAlignment="0" applyProtection="0"/>
    <xf numFmtId="0" fontId="1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137" fillId="24" borderId="0" applyNumberFormat="0" applyBorder="0" applyAlignment="0" applyProtection="0"/>
    <xf numFmtId="0" fontId="137" fillId="25" borderId="0" applyNumberFormat="0" applyBorder="0" applyAlignment="0" applyProtection="0"/>
    <xf numFmtId="0" fontId="137" fillId="26" borderId="0" applyNumberFormat="0" applyBorder="0" applyAlignment="0" applyProtection="0"/>
    <xf numFmtId="0" fontId="137" fillId="27" borderId="0" applyNumberFormat="0" applyBorder="0" applyAlignment="0" applyProtection="0"/>
    <xf numFmtId="0" fontId="137" fillId="28" borderId="0" applyNumberFormat="0" applyBorder="0" applyAlignment="0" applyProtection="0"/>
    <xf numFmtId="0" fontId="137" fillId="29" borderId="0" applyNumberFormat="0" applyBorder="0" applyAlignment="0" applyProtection="0"/>
    <xf numFmtId="0" fontId="2" fillId="22"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22" borderId="0" applyNumberFormat="0" applyBorder="0" applyAlignment="0" applyProtection="0"/>
    <xf numFmtId="0" fontId="2" fillId="33" borderId="0" applyNumberFormat="0" applyBorder="0" applyAlignment="0" applyProtection="0"/>
    <xf numFmtId="0" fontId="3" fillId="34" borderId="0" applyNumberFormat="0" applyBorder="0" applyAlignment="0" applyProtection="0"/>
    <xf numFmtId="0" fontId="138" fillId="35" borderId="0" applyNumberFormat="0" applyBorder="0" applyAlignment="0" applyProtection="0"/>
    <xf numFmtId="0" fontId="4" fillId="2" borderId="1" applyNumberFormat="0" applyAlignment="0" applyProtection="0"/>
    <xf numFmtId="0" fontId="139" fillId="36" borderId="2" applyNumberFormat="0" applyAlignment="0" applyProtection="0"/>
    <xf numFmtId="0" fontId="140" fillId="37" borderId="3" applyNumberFormat="0" applyAlignment="0" applyProtection="0"/>
    <xf numFmtId="0" fontId="141" fillId="0" borderId="4" applyNumberFormat="0" applyFill="0" applyAlignment="0" applyProtection="0"/>
    <xf numFmtId="0" fontId="5" fillId="38" borderId="5" applyNumberFormat="0" applyAlignment="0" applyProtection="0"/>
    <xf numFmtId="0" fontId="142" fillId="0" borderId="6" applyNumberFormat="0" applyFill="0" applyAlignment="0" applyProtection="0"/>
    <xf numFmtId="0" fontId="143" fillId="0" borderId="0" applyNumberFormat="0" applyFill="0" applyBorder="0" applyAlignment="0" applyProtection="0"/>
    <xf numFmtId="0" fontId="137" fillId="39" borderId="0" applyNumberFormat="0" applyBorder="0" applyAlignment="0" applyProtection="0"/>
    <xf numFmtId="0" fontId="137" fillId="40" borderId="0" applyNumberFormat="0" applyBorder="0" applyAlignment="0" applyProtection="0"/>
    <xf numFmtId="0" fontId="137" fillId="41" borderId="0" applyNumberFormat="0" applyBorder="0" applyAlignment="0" applyProtection="0"/>
    <xf numFmtId="0" fontId="137" fillId="42" borderId="0" applyNumberFormat="0" applyBorder="0" applyAlignment="0" applyProtection="0"/>
    <xf numFmtId="0" fontId="137" fillId="43" borderId="0" applyNumberFormat="0" applyBorder="0" applyAlignment="0" applyProtection="0"/>
    <xf numFmtId="0" fontId="137" fillId="44" borderId="0" applyNumberFormat="0" applyBorder="0" applyAlignment="0" applyProtection="0"/>
    <xf numFmtId="0" fontId="144" fillId="45" borderId="2" applyNumberFormat="0" applyAlignment="0" applyProtection="0"/>
    <xf numFmtId="172" fontId="0" fillId="0" borderId="0" applyFill="0" applyBorder="0" applyAlignment="0" applyProtection="0"/>
    <xf numFmtId="0" fontId="6" fillId="0" borderId="0" applyNumberFormat="0" applyFill="0" applyBorder="0" applyAlignment="0" applyProtection="0"/>
    <xf numFmtId="0" fontId="7" fillId="46" borderId="0" applyNumberFormat="0" applyBorder="0" applyAlignment="0" applyProtection="0"/>
    <xf numFmtId="0" fontId="8" fillId="0" borderId="7" applyNumberFormat="0" applyFill="0" applyAlignment="0" applyProtection="0"/>
    <xf numFmtId="0" fontId="9" fillId="0" borderId="8" applyNumberFormat="0" applyFill="0" applyAlignment="0" applyProtection="0"/>
    <xf numFmtId="0" fontId="10" fillId="0" borderId="9" applyNumberFormat="0" applyFill="0" applyAlignment="0" applyProtection="0"/>
    <xf numFmtId="0" fontId="10" fillId="0" borderId="0" applyNumberFormat="0" applyFill="0" applyBorder="0" applyAlignment="0" applyProtection="0"/>
    <xf numFmtId="0" fontId="145" fillId="47" borderId="0" applyNumberFormat="0" applyBorder="0" applyAlignment="0" applyProtection="0"/>
    <xf numFmtId="0" fontId="11" fillId="3" borderId="1" applyNumberFormat="0" applyAlignment="0" applyProtection="0"/>
    <xf numFmtId="0" fontId="12" fillId="0" borderId="10" applyNumberFormat="0" applyFill="0" applyAlignment="0" applyProtection="0"/>
    <xf numFmtId="173" fontId="0" fillId="0" borderId="0" applyFill="0" applyBorder="0" applyAlignment="0" applyProtection="0"/>
    <xf numFmtId="41" fontId="1" fillId="0" borderId="0" applyFill="0" applyBorder="0" applyAlignment="0" applyProtection="0"/>
    <xf numFmtId="173"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146" fillId="48" borderId="0" applyNumberFormat="0" applyBorder="0" applyAlignment="0" applyProtection="0"/>
    <xf numFmtId="173"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0" fontId="1" fillId="0" borderId="0">
      <alignment/>
      <protection/>
    </xf>
    <xf numFmtId="0" fontId="0" fillId="49" borderId="11" applyNumberFormat="0" applyFont="0" applyAlignment="0" applyProtection="0"/>
    <xf numFmtId="0" fontId="0" fillId="4" borderId="12" applyNumberFormat="0" applyAlignment="0" applyProtection="0"/>
    <xf numFmtId="0" fontId="13" fillId="2" borderId="13" applyNumberFormat="0" applyAlignment="0" applyProtection="0"/>
    <xf numFmtId="9"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0" fontId="147" fillId="36" borderId="14" applyNumberFormat="0" applyAlignment="0" applyProtection="0"/>
    <xf numFmtId="0" fontId="148" fillId="0" borderId="0" applyNumberFormat="0" applyFill="0" applyBorder="0" applyAlignment="0" applyProtection="0"/>
    <xf numFmtId="0" fontId="149" fillId="0" borderId="0" applyNumberFormat="0" applyFill="0" applyBorder="0" applyAlignment="0" applyProtection="0"/>
    <xf numFmtId="0" fontId="14" fillId="0" borderId="0" applyNumberFormat="0" applyFill="0" applyBorder="0" applyAlignment="0" applyProtection="0"/>
    <xf numFmtId="0" fontId="150" fillId="0" borderId="0" applyNumberFormat="0" applyFill="0" applyBorder="0" applyAlignment="0" applyProtection="0"/>
    <xf numFmtId="0" fontId="151" fillId="0" borderId="15" applyNumberFormat="0" applyFill="0" applyAlignment="0" applyProtection="0"/>
    <xf numFmtId="0" fontId="143" fillId="0" borderId="16" applyNumberFormat="0" applyFill="0" applyAlignment="0" applyProtection="0"/>
    <xf numFmtId="0" fontId="0" fillId="0" borderId="17" applyNumberFormat="0" applyFill="0" applyAlignment="0" applyProtection="0"/>
    <xf numFmtId="0" fontId="0" fillId="0" borderId="17" applyNumberFormat="0" applyFill="0" applyAlignment="0" applyProtection="0"/>
    <xf numFmtId="0" fontId="0" fillId="0" borderId="17" applyNumberFormat="0" applyFill="0" applyAlignment="0" applyProtection="0"/>
    <xf numFmtId="0" fontId="0" fillId="0" borderId="17" applyNumberFormat="0" applyFill="0" applyAlignment="0" applyProtection="0"/>
    <xf numFmtId="0" fontId="0" fillId="0" borderId="17" applyNumberFormat="0" applyFill="0" applyAlignment="0" applyProtection="0"/>
    <xf numFmtId="0" fontId="0" fillId="0" borderId="17" applyNumberFormat="0" applyFill="0" applyAlignment="0" applyProtection="0"/>
    <xf numFmtId="0" fontId="0" fillId="0" borderId="17" applyNumberFormat="0" applyFill="0" applyAlignment="0" applyProtection="0"/>
    <xf numFmtId="0" fontId="0" fillId="0" borderId="17" applyNumberFormat="0" applyFill="0" applyAlignment="0" applyProtection="0"/>
    <xf numFmtId="0" fontId="0" fillId="0" borderId="17" applyNumberFormat="0" applyFill="0" applyAlignment="0" applyProtection="0"/>
    <xf numFmtId="0" fontId="152" fillId="0" borderId="18" applyNumberFormat="0" applyFill="0" applyAlignment="0" applyProtection="0"/>
    <xf numFmtId="0" fontId="15" fillId="0" borderId="0" applyNumberFormat="0" applyFill="0" applyBorder="0" applyAlignment="0" applyProtection="0"/>
  </cellStyleXfs>
  <cellXfs count="672">
    <xf numFmtId="0" fontId="0" fillId="0" borderId="0" xfId="0" applyAlignment="1">
      <alignment/>
    </xf>
    <xf numFmtId="173" fontId="17" fillId="0" borderId="0" xfId="98" applyFont="1" applyFill="1" applyAlignment="1">
      <alignment vertical="center"/>
      <protection/>
    </xf>
    <xf numFmtId="0" fontId="19" fillId="0" borderId="0" xfId="0" applyFont="1" applyAlignment="1">
      <alignment/>
    </xf>
    <xf numFmtId="173" fontId="19" fillId="0" borderId="0" xfId="0" applyNumberFormat="1" applyFont="1" applyAlignment="1">
      <alignment/>
    </xf>
    <xf numFmtId="173" fontId="19" fillId="0" borderId="0" xfId="0" applyNumberFormat="1" applyFont="1" applyAlignment="1">
      <alignment/>
    </xf>
    <xf numFmtId="0" fontId="0" fillId="0" borderId="0" xfId="0" applyFill="1" applyAlignment="1">
      <alignment/>
    </xf>
    <xf numFmtId="0" fontId="0" fillId="0" borderId="0" xfId="0" applyAlignment="1" applyProtection="1">
      <alignment/>
      <protection/>
    </xf>
    <xf numFmtId="173" fontId="16" fillId="0" borderId="0" xfId="97" applyFont="1" applyFill="1" applyAlignment="1" applyProtection="1">
      <alignment horizontal="center" vertical="center"/>
      <protection/>
    </xf>
    <xf numFmtId="173" fontId="17" fillId="0" borderId="0" xfId="97" applyFont="1" applyFill="1" applyAlignment="1" applyProtection="1">
      <alignment vertical="center"/>
      <protection/>
    </xf>
    <xf numFmtId="0" fontId="15" fillId="0" borderId="0" xfId="0" applyFont="1" applyAlignment="1">
      <alignment/>
    </xf>
    <xf numFmtId="0" fontId="0" fillId="0" borderId="0" xfId="0" applyBorder="1" applyAlignment="1">
      <alignment/>
    </xf>
    <xf numFmtId="0" fontId="15" fillId="0" borderId="0" xfId="0" applyFont="1" applyBorder="1" applyAlignment="1">
      <alignment/>
    </xf>
    <xf numFmtId="0" fontId="0" fillId="0" borderId="0" xfId="0" applyBorder="1" applyAlignment="1">
      <alignment horizontal="center"/>
    </xf>
    <xf numFmtId="0" fontId="31" fillId="0" borderId="0" xfId="0" applyFont="1" applyFill="1" applyAlignment="1">
      <alignment/>
    </xf>
    <xf numFmtId="0" fontId="0" fillId="0" borderId="0" xfId="0" applyFont="1" applyAlignment="1">
      <alignment/>
    </xf>
    <xf numFmtId="0" fontId="23" fillId="14" borderId="19" xfId="0" applyFont="1" applyFill="1" applyBorder="1" applyAlignment="1">
      <alignment horizontal="justify" vertical="center" wrapText="1"/>
    </xf>
    <xf numFmtId="0" fontId="27" fillId="14" borderId="20" xfId="0" applyFont="1" applyFill="1" applyBorder="1" applyAlignment="1">
      <alignment horizontal="justify" vertical="center" wrapText="1"/>
    </xf>
    <xf numFmtId="0" fontId="27" fillId="14" borderId="21" xfId="0" applyFont="1" applyFill="1" applyBorder="1" applyAlignment="1">
      <alignment horizontal="justify" vertical="center" wrapText="1"/>
    </xf>
    <xf numFmtId="0" fontId="23" fillId="14" borderId="19" xfId="0" applyFont="1" applyFill="1" applyBorder="1" applyAlignment="1">
      <alignment horizontal="left" vertical="center" wrapText="1"/>
    </xf>
    <xf numFmtId="0" fontId="23" fillId="14" borderId="20" xfId="0" applyFont="1" applyFill="1" applyBorder="1" applyAlignment="1">
      <alignment horizontal="left" vertical="center" wrapText="1"/>
    </xf>
    <xf numFmtId="0" fontId="23" fillId="14" borderId="21" xfId="0" applyFont="1" applyFill="1" applyBorder="1" applyAlignment="1">
      <alignment horizontal="left" vertical="center" wrapText="1"/>
    </xf>
    <xf numFmtId="0" fontId="23" fillId="0" borderId="19" xfId="0" applyFont="1" applyBorder="1" applyAlignment="1" applyProtection="1">
      <alignment horizontal="left" vertical="center" wrapText="1"/>
      <protection locked="0"/>
    </xf>
    <xf numFmtId="0" fontId="23" fillId="0" borderId="20" xfId="0" applyFont="1" applyBorder="1" applyAlignment="1" applyProtection="1">
      <alignment horizontal="left" vertical="center" wrapText="1"/>
      <protection locked="0"/>
    </xf>
    <xf numFmtId="0" fontId="23" fillId="0" borderId="21" xfId="0" applyFont="1" applyBorder="1" applyAlignment="1" applyProtection="1">
      <alignment horizontal="left" vertical="center" wrapText="1"/>
      <protection locked="0"/>
    </xf>
    <xf numFmtId="0" fontId="23" fillId="0" borderId="19" xfId="0" applyFont="1" applyBorder="1" applyAlignment="1" applyProtection="1">
      <alignment horizontal="justify" vertical="center" wrapText="1"/>
      <protection locked="0"/>
    </xf>
    <xf numFmtId="0" fontId="27" fillId="0" borderId="20" xfId="0" applyFont="1" applyBorder="1" applyAlignment="1" applyProtection="1">
      <alignment horizontal="justify" vertical="center" wrapText="1"/>
      <protection locked="0"/>
    </xf>
    <xf numFmtId="0" fontId="27" fillId="0" borderId="21" xfId="0" applyFont="1" applyBorder="1" applyAlignment="1" applyProtection="1">
      <alignment horizontal="justify" vertical="center" wrapText="1"/>
      <protection locked="0"/>
    </xf>
    <xf numFmtId="0" fontId="26" fillId="0" borderId="19" xfId="0" applyFont="1" applyBorder="1" applyAlignment="1">
      <alignment vertical="center" wrapText="1"/>
    </xf>
    <xf numFmtId="0" fontId="26" fillId="0" borderId="20" xfId="0" applyFont="1" applyBorder="1" applyAlignment="1">
      <alignment vertical="center" wrapText="1"/>
    </xf>
    <xf numFmtId="0" fontId="23" fillId="0" borderId="20" xfId="0" applyFont="1" applyBorder="1" applyAlignment="1">
      <alignment horizontal="justify" vertical="center" wrapText="1"/>
    </xf>
    <xf numFmtId="0" fontId="27" fillId="0" borderId="20" xfId="0" applyFont="1" applyBorder="1" applyAlignment="1">
      <alignment horizontal="justify" vertical="center" wrapText="1"/>
    </xf>
    <xf numFmtId="0" fontId="23" fillId="0" borderId="21" xfId="0" applyFont="1" applyBorder="1" applyAlignment="1">
      <alignment horizontal="justify" vertical="center" wrapText="1"/>
    </xf>
    <xf numFmtId="0" fontId="23" fillId="0" borderId="19" xfId="0" applyFont="1" applyBorder="1" applyAlignment="1">
      <alignment horizontal="justify" vertical="center" wrapText="1"/>
    </xf>
    <xf numFmtId="173" fontId="37" fillId="0" borderId="0" xfId="89" applyFont="1" applyFill="1" applyAlignment="1" applyProtection="1">
      <alignment vertical="center"/>
      <protection/>
    </xf>
    <xf numFmtId="173" fontId="38" fillId="0" borderId="0" xfId="0" applyNumberFormat="1" applyFont="1" applyAlignment="1" applyProtection="1">
      <alignment horizontal="right"/>
      <protection/>
    </xf>
    <xf numFmtId="173" fontId="0" fillId="0" borderId="22" xfId="0" applyNumberFormat="1" applyFont="1" applyBorder="1" applyAlignment="1" applyProtection="1">
      <alignment horizontal="center"/>
      <protection locked="0"/>
    </xf>
    <xf numFmtId="173" fontId="38" fillId="0" borderId="0" xfId="0" applyNumberFormat="1" applyFont="1" applyBorder="1" applyAlignment="1" applyProtection="1">
      <alignment horizontal="right"/>
      <protection/>
    </xf>
    <xf numFmtId="0" fontId="38" fillId="0" borderId="0" xfId="0" applyFont="1" applyAlignment="1" applyProtection="1">
      <alignment horizontal="right"/>
      <protection/>
    </xf>
    <xf numFmtId="0" fontId="38" fillId="0" borderId="0" xfId="0" applyFont="1" applyAlignment="1" applyProtection="1">
      <alignment/>
      <protection/>
    </xf>
    <xf numFmtId="49" fontId="38" fillId="0" borderId="0" xfId="0" applyNumberFormat="1" applyFont="1" applyAlignment="1" applyProtection="1">
      <alignment horizontal="right"/>
      <protection/>
    </xf>
    <xf numFmtId="0" fontId="38" fillId="0" borderId="0" xfId="0" applyFont="1" applyBorder="1" applyAlignment="1" applyProtection="1">
      <alignment/>
      <protection/>
    </xf>
    <xf numFmtId="175" fontId="0" fillId="0" borderId="0" xfId="0" applyNumberFormat="1" applyAlignment="1" applyProtection="1">
      <alignment/>
      <protection/>
    </xf>
    <xf numFmtId="175" fontId="0" fillId="0" borderId="22" xfId="126" applyNumberFormat="1" applyFont="1" applyFill="1" applyBorder="1" applyAlignment="1" applyProtection="1">
      <alignment horizontal="center"/>
      <protection locked="0"/>
    </xf>
    <xf numFmtId="173" fontId="38" fillId="0" borderId="23" xfId="0" applyNumberFormat="1" applyFont="1" applyBorder="1" applyAlignment="1" applyProtection="1">
      <alignment horizontal="right"/>
      <protection/>
    </xf>
    <xf numFmtId="0" fontId="0" fillId="0" borderId="0" xfId="0" applyBorder="1" applyAlignment="1" applyProtection="1">
      <alignment/>
      <protection/>
    </xf>
    <xf numFmtId="173" fontId="38" fillId="0" borderId="0" xfId="0" applyNumberFormat="1" applyFont="1" applyAlignment="1" applyProtection="1">
      <alignment/>
      <protection/>
    </xf>
    <xf numFmtId="0" fontId="0" fillId="0" borderId="0" xfId="0" applyAlignment="1" applyProtection="1">
      <alignment/>
      <protection/>
    </xf>
    <xf numFmtId="0" fontId="0" fillId="3" borderId="22" xfId="0" applyFill="1" applyBorder="1" applyAlignment="1" applyProtection="1">
      <alignment/>
      <protection/>
    </xf>
    <xf numFmtId="0" fontId="0" fillId="15" borderId="22" xfId="0" applyFill="1" applyBorder="1" applyAlignment="1" applyProtection="1">
      <alignment/>
      <protection/>
    </xf>
    <xf numFmtId="0" fontId="0" fillId="0" borderId="0" xfId="0" applyFill="1" applyBorder="1" applyAlignment="1">
      <alignment/>
    </xf>
    <xf numFmtId="173" fontId="40" fillId="0" borderId="24" xfId="132" applyNumberFormat="1" applyFont="1" applyFill="1" applyBorder="1" applyAlignment="1" applyProtection="1">
      <alignment/>
      <protection/>
    </xf>
    <xf numFmtId="173" fontId="0" fillId="0" borderId="24" xfId="132" applyNumberFormat="1" applyFill="1" applyBorder="1" applyAlignment="1" applyProtection="1">
      <alignment vertical="center"/>
      <protection/>
    </xf>
    <xf numFmtId="173" fontId="41" fillId="0" borderId="24" xfId="132" applyNumberFormat="1" applyFont="1" applyFill="1" applyBorder="1" applyAlignment="1" applyProtection="1">
      <alignment horizontal="left" vertical="center"/>
      <protection/>
    </xf>
    <xf numFmtId="173" fontId="0" fillId="3" borderId="25" xfId="132" applyNumberFormat="1" applyFill="1" applyBorder="1" applyAlignment="1" applyProtection="1">
      <alignment vertical="center"/>
      <protection/>
    </xf>
    <xf numFmtId="173" fontId="42" fillId="0" borderId="0" xfId="132" applyNumberFormat="1" applyFont="1" applyFill="1" applyBorder="1" applyAlignment="1" applyProtection="1">
      <alignment vertical="center"/>
      <protection locked="0"/>
    </xf>
    <xf numFmtId="173" fontId="21" fillId="0" borderId="22" xfId="0" applyNumberFormat="1" applyFont="1" applyBorder="1" applyAlignment="1" applyProtection="1">
      <alignment horizontal="center"/>
      <protection locked="0"/>
    </xf>
    <xf numFmtId="173" fontId="0" fillId="0" borderId="0" xfId="132" applyNumberFormat="1" applyFill="1" applyBorder="1" applyAlignment="1" applyProtection="1">
      <alignment vertical="center"/>
      <protection/>
    </xf>
    <xf numFmtId="173" fontId="0" fillId="0" borderId="0" xfId="132" applyNumberFormat="1" applyFont="1" applyFill="1" applyBorder="1" applyAlignment="1" applyProtection="1">
      <alignment vertical="center"/>
      <protection/>
    </xf>
    <xf numFmtId="173" fontId="0" fillId="0" borderId="0" xfId="132" applyNumberFormat="1" applyFill="1" applyBorder="1" applyAlignment="1" applyProtection="1">
      <alignment vertical="center"/>
      <protection locked="0"/>
    </xf>
    <xf numFmtId="173" fontId="40" fillId="0" borderId="0" xfId="132" applyNumberFormat="1" applyFont="1" applyFill="1" applyBorder="1" applyAlignment="1" applyProtection="1">
      <alignment/>
      <protection/>
    </xf>
    <xf numFmtId="176" fontId="2" fillId="2" borderId="0" xfId="0" applyNumberFormat="1" applyFont="1" applyFill="1" applyAlignment="1">
      <alignment/>
    </xf>
    <xf numFmtId="177" fontId="2" fillId="2" borderId="0" xfId="0" applyNumberFormat="1" applyFont="1" applyFill="1" applyAlignment="1">
      <alignment/>
    </xf>
    <xf numFmtId="0" fontId="2" fillId="2" borderId="0" xfId="0" applyFont="1" applyFill="1" applyAlignment="1">
      <alignment/>
    </xf>
    <xf numFmtId="173" fontId="43" fillId="0" borderId="26" xfId="0" applyNumberFormat="1" applyFont="1" applyBorder="1" applyAlignment="1" applyProtection="1">
      <alignment horizontal="left"/>
      <protection/>
    </xf>
    <xf numFmtId="176" fontId="43" fillId="12" borderId="27" xfId="0" applyNumberFormat="1" applyFont="1" applyFill="1" applyBorder="1" applyAlignment="1" applyProtection="1">
      <alignment horizontal="center"/>
      <protection locked="0"/>
    </xf>
    <xf numFmtId="175" fontId="35" fillId="0" borderId="28" xfId="0" applyNumberFormat="1" applyFont="1" applyBorder="1" applyAlignment="1" applyProtection="1">
      <alignment horizontal="left"/>
      <protection/>
    </xf>
    <xf numFmtId="178" fontId="35" fillId="3" borderId="27" xfId="0" applyNumberFormat="1" applyFont="1" applyFill="1" applyBorder="1" applyAlignment="1" applyProtection="1">
      <alignment/>
      <protection locked="0"/>
    </xf>
    <xf numFmtId="0" fontId="35" fillId="0" borderId="26" xfId="0" applyFont="1" applyBorder="1" applyAlignment="1" applyProtection="1">
      <alignment horizontal="left"/>
      <protection/>
    </xf>
    <xf numFmtId="175" fontId="35" fillId="0" borderId="29" xfId="0" applyNumberFormat="1" applyFont="1" applyBorder="1" applyAlignment="1" applyProtection="1">
      <alignment horizontal="left"/>
      <protection/>
    </xf>
    <xf numFmtId="178" fontId="35" fillId="0" borderId="22" xfId="0" applyNumberFormat="1" applyFont="1" applyFill="1" applyBorder="1" applyAlignment="1" applyProtection="1">
      <alignment/>
      <protection/>
    </xf>
    <xf numFmtId="175" fontId="35" fillId="0" borderId="30" xfId="0" applyNumberFormat="1" applyFont="1" applyBorder="1" applyAlignment="1" applyProtection="1">
      <alignment horizontal="left"/>
      <protection/>
    </xf>
    <xf numFmtId="178" fontId="35" fillId="0" borderId="31" xfId="0" applyNumberFormat="1" applyFont="1" applyFill="1" applyBorder="1" applyAlignment="1" applyProtection="1">
      <alignment/>
      <protection/>
    </xf>
    <xf numFmtId="9" fontId="2" fillId="0" borderId="0" xfId="110" applyFont="1" applyFill="1" applyBorder="1" applyAlignment="1" applyProtection="1">
      <alignment/>
      <protection/>
    </xf>
    <xf numFmtId="176" fontId="2" fillId="2" borderId="0" xfId="0" applyNumberFormat="1" applyFont="1" applyFill="1" applyAlignment="1" applyProtection="1">
      <alignment/>
      <protection/>
    </xf>
    <xf numFmtId="49" fontId="0" fillId="0" borderId="0" xfId="0" applyNumberFormat="1" applyAlignment="1" applyProtection="1">
      <alignment/>
      <protection/>
    </xf>
    <xf numFmtId="177" fontId="0" fillId="0" borderId="0" xfId="0" applyNumberFormat="1" applyAlignment="1" applyProtection="1">
      <alignment/>
      <protection/>
    </xf>
    <xf numFmtId="176" fontId="43" fillId="0" borderId="0" xfId="0" applyNumberFormat="1" applyFont="1" applyFill="1" applyBorder="1" applyAlignment="1">
      <alignment horizontal="center"/>
    </xf>
    <xf numFmtId="173" fontId="35" fillId="0" borderId="0" xfId="0" applyNumberFormat="1" applyFont="1" applyFill="1" applyBorder="1" applyAlignment="1">
      <alignment/>
    </xf>
    <xf numFmtId="173" fontId="44" fillId="0" borderId="32" xfId="0" applyNumberFormat="1" applyFont="1" applyFill="1" applyBorder="1" applyAlignment="1" applyProtection="1">
      <alignment vertical="center" wrapText="1"/>
      <protection/>
    </xf>
    <xf numFmtId="0" fontId="44" fillId="0" borderId="33" xfId="0" applyNumberFormat="1" applyFont="1" applyFill="1" applyBorder="1" applyAlignment="1" applyProtection="1">
      <alignment horizontal="center" vertical="center" wrapText="1"/>
      <protection/>
    </xf>
    <xf numFmtId="0" fontId="44" fillId="0" borderId="34" xfId="0" applyNumberFormat="1" applyFont="1" applyFill="1" applyBorder="1" applyAlignment="1" applyProtection="1">
      <alignment horizontal="center" vertical="center" wrapText="1"/>
      <protection/>
    </xf>
    <xf numFmtId="0" fontId="38" fillId="0" borderId="0" xfId="0" applyFont="1" applyFill="1" applyBorder="1" applyAlignment="1" applyProtection="1">
      <alignment horizontal="center"/>
      <protection/>
    </xf>
    <xf numFmtId="0" fontId="45" fillId="0" borderId="0" xfId="0" applyFont="1" applyFill="1" applyBorder="1" applyAlignment="1" applyProtection="1">
      <alignment horizontal="center" vertical="center"/>
      <protection/>
    </xf>
    <xf numFmtId="0" fontId="46" fillId="0" borderId="0" xfId="0" applyFont="1" applyFill="1" applyBorder="1" applyAlignment="1" applyProtection="1">
      <alignment horizontal="center"/>
      <protection/>
    </xf>
    <xf numFmtId="0" fontId="46" fillId="0" borderId="0" xfId="0" applyFont="1" applyFill="1" applyBorder="1" applyAlignment="1">
      <alignment horizontal="center"/>
    </xf>
    <xf numFmtId="173" fontId="46" fillId="0" borderId="35" xfId="0" applyNumberFormat="1" applyFont="1" applyFill="1" applyBorder="1" applyAlignment="1" applyProtection="1">
      <alignment wrapText="1"/>
      <protection locked="0"/>
    </xf>
    <xf numFmtId="175" fontId="38" fillId="0" borderId="0" xfId="0" applyNumberFormat="1" applyFont="1" applyFill="1" applyBorder="1" applyAlignment="1" applyProtection="1">
      <alignment horizontal="center"/>
      <protection/>
    </xf>
    <xf numFmtId="181" fontId="0" fillId="0" borderId="0" xfId="0" applyNumberFormat="1" applyFill="1" applyBorder="1" applyAlignment="1" applyProtection="1">
      <alignment/>
      <protection locked="0"/>
    </xf>
    <xf numFmtId="181" fontId="0" fillId="0" borderId="0" xfId="0" applyNumberFormat="1" applyAlignment="1" applyProtection="1">
      <alignment/>
      <protection/>
    </xf>
    <xf numFmtId="0" fontId="0" fillId="0" borderId="0" xfId="0" applyFill="1" applyBorder="1" applyAlignment="1" applyProtection="1">
      <alignment horizontal="center"/>
      <protection/>
    </xf>
    <xf numFmtId="0" fontId="0" fillId="0" borderId="0" xfId="0" applyFill="1" applyBorder="1" applyAlignment="1">
      <alignment horizontal="center"/>
    </xf>
    <xf numFmtId="0" fontId="0" fillId="0" borderId="0" xfId="0" applyFill="1" applyBorder="1" applyAlignment="1" applyProtection="1">
      <alignment/>
      <protection/>
    </xf>
    <xf numFmtId="173" fontId="46" fillId="0" borderId="35" xfId="0" applyNumberFormat="1" applyFont="1" applyFill="1" applyBorder="1" applyAlignment="1" applyProtection="1">
      <alignment/>
      <protection locked="0"/>
    </xf>
    <xf numFmtId="0" fontId="0" fillId="0" borderId="0" xfId="0" applyNumberFormat="1" applyFill="1" applyBorder="1" applyAlignment="1" applyProtection="1">
      <alignment/>
      <protection locked="0"/>
    </xf>
    <xf numFmtId="182" fontId="0" fillId="0" borderId="0" xfId="0" applyNumberFormat="1" applyFill="1" applyBorder="1" applyAlignment="1" applyProtection="1">
      <alignment/>
      <protection locked="0"/>
    </xf>
    <xf numFmtId="0" fontId="0" fillId="0" borderId="0" xfId="0" applyFill="1" applyBorder="1" applyAlignment="1" applyProtection="1">
      <alignment/>
      <protection locked="0"/>
    </xf>
    <xf numFmtId="181" fontId="0" fillId="3" borderId="36" xfId="83" applyNumberFormat="1" applyFont="1" applyFill="1" applyBorder="1" applyAlignment="1" applyProtection="1">
      <alignment/>
      <protection locked="0"/>
    </xf>
    <xf numFmtId="181" fontId="0" fillId="3" borderId="37" xfId="83" applyNumberFormat="1" applyFont="1" applyFill="1" applyBorder="1" applyAlignment="1" applyProtection="1">
      <alignment/>
      <protection locked="0"/>
    </xf>
    <xf numFmtId="178" fontId="0" fillId="0" borderId="0" xfId="0" applyNumberFormat="1" applyFill="1" applyBorder="1" applyAlignment="1" applyProtection="1">
      <alignment/>
      <protection locked="0"/>
    </xf>
    <xf numFmtId="49" fontId="46" fillId="0" borderId="35" xfId="0" applyNumberFormat="1" applyFont="1" applyFill="1" applyBorder="1" applyAlignment="1" applyProtection="1">
      <alignment/>
      <protection locked="0"/>
    </xf>
    <xf numFmtId="0" fontId="46" fillId="0" borderId="35" xfId="0" applyFont="1" applyFill="1" applyBorder="1" applyAlignment="1" applyProtection="1">
      <alignment wrapText="1"/>
      <protection locked="0"/>
    </xf>
    <xf numFmtId="173" fontId="0" fillId="0" borderId="38" xfId="0" applyNumberFormat="1" applyFont="1" applyBorder="1" applyAlignment="1" applyProtection="1">
      <alignment/>
      <protection/>
    </xf>
    <xf numFmtId="179" fontId="0" fillId="0" borderId="39" xfId="0" applyNumberFormat="1" applyBorder="1" applyAlignment="1" applyProtection="1">
      <alignment/>
      <protection/>
    </xf>
    <xf numFmtId="181" fontId="0" fillId="0" borderId="40" xfId="0" applyNumberFormat="1" applyBorder="1" applyAlignment="1" applyProtection="1">
      <alignment/>
      <protection/>
    </xf>
    <xf numFmtId="178" fontId="0" fillId="0" borderId="0" xfId="0" applyNumberFormat="1" applyFill="1" applyAlignment="1" applyProtection="1">
      <alignment/>
      <protection/>
    </xf>
    <xf numFmtId="178" fontId="0" fillId="0" borderId="0" xfId="0" applyNumberFormat="1" applyAlignment="1" applyProtection="1">
      <alignment/>
      <protection/>
    </xf>
    <xf numFmtId="178" fontId="2" fillId="2" borderId="0" xfId="0" applyNumberFormat="1" applyFont="1" applyFill="1" applyAlignment="1" applyProtection="1">
      <alignment/>
      <protection/>
    </xf>
    <xf numFmtId="178" fontId="45" fillId="0" borderId="0" xfId="0" applyNumberFormat="1" applyFont="1" applyAlignment="1" applyProtection="1">
      <alignment horizontal="right"/>
      <protection/>
    </xf>
    <xf numFmtId="0" fontId="44" fillId="0" borderId="41" xfId="0" applyFont="1" applyBorder="1" applyAlignment="1" applyProtection="1">
      <alignment vertical="distributed" wrapText="1"/>
      <protection/>
    </xf>
    <xf numFmtId="173" fontId="47" fillId="0" borderId="42" xfId="0" applyNumberFormat="1" applyFont="1" applyFill="1" applyBorder="1" applyAlignment="1" applyProtection="1">
      <alignment horizontal="center" vertical="center" wrapText="1"/>
      <protection/>
    </xf>
    <xf numFmtId="175" fontId="47" fillId="0" borderId="43" xfId="0" applyNumberFormat="1" applyFont="1" applyFill="1" applyBorder="1" applyAlignment="1" applyProtection="1">
      <alignment horizontal="center" vertical="center" wrapText="1"/>
      <protection/>
    </xf>
    <xf numFmtId="0" fontId="48" fillId="0" borderId="0" xfId="0" applyFont="1" applyFill="1" applyBorder="1" applyAlignment="1" applyProtection="1">
      <alignment horizontal="center" vertical="center"/>
      <protection/>
    </xf>
    <xf numFmtId="175" fontId="49" fillId="0" borderId="0" xfId="0" applyNumberFormat="1" applyFont="1" applyFill="1" applyBorder="1" applyAlignment="1" applyProtection="1">
      <alignment horizontal="center" vertical="center" wrapText="1"/>
      <protection/>
    </xf>
    <xf numFmtId="175" fontId="49" fillId="0" borderId="0" xfId="0" applyNumberFormat="1" applyFont="1" applyFill="1" applyBorder="1" applyAlignment="1" applyProtection="1">
      <alignment horizontal="center" vertical="center" wrapText="1"/>
      <protection locked="0"/>
    </xf>
    <xf numFmtId="173" fontId="45" fillId="0" borderId="44" xfId="0" applyNumberFormat="1" applyFont="1" applyBorder="1" applyAlignment="1" applyProtection="1">
      <alignment/>
      <protection/>
    </xf>
    <xf numFmtId="178" fontId="45" fillId="0" borderId="45" xfId="83" applyNumberFormat="1" applyFont="1" applyFill="1" applyBorder="1" applyAlignment="1" applyProtection="1">
      <alignment/>
      <protection/>
    </xf>
    <xf numFmtId="0" fontId="45" fillId="0" borderId="0" xfId="0" applyFont="1" applyFill="1" applyBorder="1" applyAlignment="1" applyProtection="1">
      <alignment horizontal="center"/>
      <protection/>
    </xf>
    <xf numFmtId="0" fontId="45" fillId="0" borderId="0" xfId="0" applyFont="1" applyFill="1" applyBorder="1" applyAlignment="1" applyProtection="1">
      <alignment/>
      <protection locked="0"/>
    </xf>
    <xf numFmtId="177" fontId="2" fillId="0" borderId="0" xfId="0" applyNumberFormat="1" applyFont="1" applyFill="1" applyBorder="1" applyAlignment="1" applyProtection="1">
      <alignment/>
      <protection/>
    </xf>
    <xf numFmtId="177" fontId="45" fillId="0" borderId="0" xfId="83" applyNumberFormat="1" applyFont="1" applyFill="1" applyBorder="1" applyAlignment="1" applyProtection="1">
      <alignment/>
      <protection locked="0"/>
    </xf>
    <xf numFmtId="183" fontId="45" fillId="0" borderId="0" xfId="110" applyNumberFormat="1" applyFont="1" applyFill="1" applyBorder="1" applyAlignment="1" applyProtection="1">
      <alignment horizontal="center"/>
      <protection/>
    </xf>
    <xf numFmtId="175" fontId="45" fillId="0" borderId="0" xfId="0" applyNumberFormat="1" applyFont="1" applyFill="1" applyBorder="1" applyAlignment="1" applyProtection="1">
      <alignment horizontal="center"/>
      <protection/>
    </xf>
    <xf numFmtId="183" fontId="45" fillId="0" borderId="0" xfId="110" applyNumberFormat="1" applyFont="1" applyFill="1" applyBorder="1" applyAlignment="1" applyProtection="1">
      <alignment horizontal="center"/>
      <protection locked="0"/>
    </xf>
    <xf numFmtId="178" fontId="50" fillId="3" borderId="22" xfId="83" applyNumberFormat="1" applyFont="1" applyFill="1" applyBorder="1" applyAlignment="1" applyProtection="1">
      <alignment/>
      <protection locked="0"/>
    </xf>
    <xf numFmtId="173" fontId="45" fillId="0" borderId="46" xfId="0" applyNumberFormat="1" applyFont="1" applyBorder="1" applyAlignment="1" applyProtection="1">
      <alignment/>
      <protection/>
    </xf>
    <xf numFmtId="178" fontId="50" fillId="3" borderId="47" xfId="83" applyNumberFormat="1" applyFont="1" applyFill="1" applyBorder="1" applyAlignment="1" applyProtection="1">
      <alignment/>
      <protection locked="0"/>
    </xf>
    <xf numFmtId="178" fontId="45" fillId="0" borderId="48" xfId="83" applyNumberFormat="1" applyFont="1" applyFill="1" applyBorder="1" applyAlignment="1" applyProtection="1">
      <alignment/>
      <protection/>
    </xf>
    <xf numFmtId="0" fontId="51" fillId="0" borderId="0" xfId="0" applyFont="1" applyFill="1" applyBorder="1" applyAlignment="1" applyProtection="1">
      <alignment horizontal="left"/>
      <protection locked="0"/>
    </xf>
    <xf numFmtId="0" fontId="45" fillId="0" borderId="0" xfId="0" applyFont="1" applyFill="1" applyBorder="1" applyAlignment="1" applyProtection="1">
      <alignment/>
      <protection/>
    </xf>
    <xf numFmtId="175" fontId="46" fillId="0" borderId="49" xfId="0" applyNumberFormat="1" applyFont="1" applyFill="1" applyBorder="1" applyAlignment="1" applyProtection="1">
      <alignment/>
      <protection/>
    </xf>
    <xf numFmtId="173" fontId="46" fillId="0" borderId="22" xfId="0" applyNumberFormat="1" applyFont="1" applyFill="1" applyBorder="1" applyAlignment="1" applyProtection="1">
      <alignment horizontal="center"/>
      <protection/>
    </xf>
    <xf numFmtId="173" fontId="46" fillId="0" borderId="50" xfId="0" applyNumberFormat="1" applyFont="1" applyFill="1" applyBorder="1" applyAlignment="1" applyProtection="1">
      <alignment horizontal="center"/>
      <protection/>
    </xf>
    <xf numFmtId="173" fontId="46" fillId="0" borderId="49" xfId="0" applyNumberFormat="1" applyFont="1" applyFill="1" applyBorder="1" applyAlignment="1" applyProtection="1">
      <alignment/>
      <protection/>
    </xf>
    <xf numFmtId="1" fontId="0" fillId="3" borderId="22" xfId="0" applyNumberFormat="1" applyFill="1" applyBorder="1" applyAlignment="1" applyProtection="1">
      <alignment horizontal="center"/>
      <protection locked="0"/>
    </xf>
    <xf numFmtId="1" fontId="0" fillId="3" borderId="50" xfId="0" applyNumberFormat="1" applyFill="1" applyBorder="1" applyAlignment="1" applyProtection="1">
      <alignment horizontal="center"/>
      <protection locked="0"/>
    </xf>
    <xf numFmtId="173" fontId="46" fillId="0" borderId="51" xfId="0" applyNumberFormat="1" applyFont="1" applyFill="1" applyBorder="1" applyAlignment="1" applyProtection="1">
      <alignment/>
      <protection/>
    </xf>
    <xf numFmtId="173" fontId="46" fillId="0" borderId="52" xfId="0" applyNumberFormat="1" applyFont="1" applyFill="1" applyBorder="1" applyAlignment="1" applyProtection="1">
      <alignment/>
      <protection/>
    </xf>
    <xf numFmtId="1" fontId="0" fillId="3" borderId="31" xfId="0" applyNumberFormat="1" applyFill="1" applyBorder="1" applyAlignment="1" applyProtection="1">
      <alignment horizontal="center"/>
      <protection locked="0"/>
    </xf>
    <xf numFmtId="1" fontId="0" fillId="3" borderId="53" xfId="0" applyNumberFormat="1" applyFill="1" applyBorder="1" applyAlignment="1" applyProtection="1">
      <alignment horizontal="center"/>
      <protection locked="0"/>
    </xf>
    <xf numFmtId="0" fontId="0" fillId="0" borderId="54" xfId="0" applyBorder="1" applyAlignment="1" applyProtection="1">
      <alignment/>
      <protection/>
    </xf>
    <xf numFmtId="173" fontId="52" fillId="0" borderId="54" xfId="132" applyNumberFormat="1" applyFont="1" applyFill="1" applyBorder="1" applyAlignment="1" applyProtection="1">
      <alignment/>
      <protection/>
    </xf>
    <xf numFmtId="173" fontId="42" fillId="0" borderId="54" xfId="132" applyNumberFormat="1" applyFont="1" applyFill="1" applyBorder="1" applyAlignment="1" applyProtection="1">
      <alignment vertical="center"/>
      <protection/>
    </xf>
    <xf numFmtId="173" fontId="53" fillId="0" borderId="54" xfId="132" applyNumberFormat="1" applyFont="1" applyFill="1" applyBorder="1" applyAlignment="1" applyProtection="1">
      <alignment vertical="center"/>
      <protection/>
    </xf>
    <xf numFmtId="173" fontId="42" fillId="0" borderId="54" xfId="132" applyNumberFormat="1" applyFont="1" applyFill="1" applyBorder="1" applyAlignment="1" applyProtection="1">
      <alignment horizontal="center" vertical="center"/>
      <protection/>
    </xf>
    <xf numFmtId="173" fontId="42" fillId="15" borderId="55" xfId="132" applyNumberFormat="1" applyFont="1" applyFill="1" applyBorder="1" applyAlignment="1" applyProtection="1">
      <alignment horizontal="center" vertical="center"/>
      <protection/>
    </xf>
    <xf numFmtId="173" fontId="42" fillId="0" borderId="56" xfId="132" applyNumberFormat="1" applyFont="1" applyFill="1" applyBorder="1" applyAlignment="1" applyProtection="1">
      <alignment vertical="center"/>
      <protection/>
    </xf>
    <xf numFmtId="173" fontId="42" fillId="0" borderId="0" xfId="132" applyNumberFormat="1" applyFont="1" applyFill="1" applyBorder="1" applyAlignment="1" applyProtection="1">
      <alignment horizontal="center" vertical="center"/>
      <protection locked="0"/>
    </xf>
    <xf numFmtId="173" fontId="52" fillId="0" borderId="0" xfId="132" applyNumberFormat="1" applyFont="1" applyFill="1" applyBorder="1" applyAlignment="1" applyProtection="1">
      <alignment/>
      <protection/>
    </xf>
    <xf numFmtId="173" fontId="42" fillId="0" borderId="0" xfId="132" applyNumberFormat="1" applyFont="1" applyFill="1" applyBorder="1" applyAlignment="1" applyProtection="1">
      <alignment vertical="center"/>
      <protection/>
    </xf>
    <xf numFmtId="173" fontId="54" fillId="0" borderId="0" xfId="132" applyNumberFormat="1" applyFont="1" applyFill="1" applyBorder="1" applyAlignment="1" applyProtection="1">
      <alignment vertical="center"/>
      <protection/>
    </xf>
    <xf numFmtId="0" fontId="0" fillId="0" borderId="0" xfId="0" applyBorder="1" applyAlignment="1" applyProtection="1">
      <alignment/>
      <protection/>
    </xf>
    <xf numFmtId="0" fontId="32" fillId="0" borderId="0" xfId="0" applyFont="1" applyBorder="1" applyAlignment="1" applyProtection="1">
      <alignment horizontal="center"/>
      <protection/>
    </xf>
    <xf numFmtId="173" fontId="32" fillId="0" borderId="57" xfId="0" applyNumberFormat="1" applyFont="1" applyBorder="1" applyAlignment="1" applyProtection="1">
      <alignment horizontal="center"/>
      <protection/>
    </xf>
    <xf numFmtId="173" fontId="32" fillId="0" borderId="57" xfId="0" applyNumberFormat="1" applyFont="1" applyBorder="1" applyAlignment="1" applyProtection="1">
      <alignment horizontal="center" wrapText="1"/>
      <protection/>
    </xf>
    <xf numFmtId="173" fontId="32" fillId="0" borderId="58" xfId="0" applyNumberFormat="1" applyFont="1" applyBorder="1" applyAlignment="1" applyProtection="1">
      <alignment horizontal="center"/>
      <protection/>
    </xf>
    <xf numFmtId="0" fontId="0" fillId="0" borderId="0" xfId="0" applyFont="1" applyFill="1" applyBorder="1" applyAlignment="1" applyProtection="1">
      <alignment horizontal="center"/>
      <protection/>
    </xf>
    <xf numFmtId="0" fontId="42" fillId="0" borderId="0" xfId="0" applyFont="1" applyFill="1" applyBorder="1" applyAlignment="1" applyProtection="1">
      <alignment horizontal="center" vertical="center"/>
      <protection/>
    </xf>
    <xf numFmtId="173" fontId="0" fillId="0" borderId="59" xfId="0" applyNumberFormat="1" applyFont="1" applyBorder="1" applyAlignment="1" applyProtection="1">
      <alignment horizontal="left"/>
      <protection/>
    </xf>
    <xf numFmtId="1" fontId="50" fillId="15" borderId="22" xfId="0" applyNumberFormat="1" applyFont="1" applyFill="1" applyBorder="1" applyAlignment="1" applyProtection="1">
      <alignment horizontal="center"/>
      <protection locked="0"/>
    </xf>
    <xf numFmtId="1" fontId="50" fillId="2" borderId="60" xfId="0" applyNumberFormat="1" applyFont="1" applyFill="1" applyBorder="1" applyAlignment="1" applyProtection="1">
      <alignment horizontal="center"/>
      <protection/>
    </xf>
    <xf numFmtId="0" fontId="0" fillId="0" borderId="0" xfId="0" applyFill="1" applyBorder="1" applyAlignment="1" applyProtection="1">
      <alignment horizontal="left" vertical="top"/>
      <protection locked="0"/>
    </xf>
    <xf numFmtId="173" fontId="0" fillId="0" borderId="61" xfId="0" applyNumberFormat="1" applyFont="1" applyBorder="1" applyAlignment="1" applyProtection="1">
      <alignment horizontal="left"/>
      <protection/>
    </xf>
    <xf numFmtId="1" fontId="50" fillId="15" borderId="62" xfId="0" applyNumberFormat="1" applyFont="1" applyFill="1" applyBorder="1" applyAlignment="1" applyProtection="1">
      <alignment horizontal="center"/>
      <protection locked="0"/>
    </xf>
    <xf numFmtId="1" fontId="50" fillId="2" borderId="63" xfId="0" applyNumberFormat="1" applyFont="1" applyFill="1" applyBorder="1" applyAlignment="1" applyProtection="1">
      <alignment horizontal="center"/>
      <protection/>
    </xf>
    <xf numFmtId="0" fontId="0" fillId="0" borderId="64" xfId="0" applyBorder="1" applyAlignment="1" applyProtection="1">
      <alignment/>
      <protection/>
    </xf>
    <xf numFmtId="173" fontId="0" fillId="0" borderId="57" xfId="0" applyNumberFormat="1" applyFont="1" applyBorder="1" applyAlignment="1" applyProtection="1">
      <alignment horizontal="center"/>
      <protection/>
    </xf>
    <xf numFmtId="173" fontId="0" fillId="0" borderId="58" xfId="0" applyNumberFormat="1" applyFont="1" applyBorder="1" applyAlignment="1" applyProtection="1">
      <alignment horizontal="center"/>
      <protection/>
    </xf>
    <xf numFmtId="0" fontId="0" fillId="15" borderId="62" xfId="0" applyNumberFormat="1" applyFill="1" applyBorder="1" applyAlignment="1" applyProtection="1">
      <alignment horizontal="center"/>
      <protection locked="0"/>
    </xf>
    <xf numFmtId="0" fontId="0" fillId="0" borderId="63" xfId="0" applyNumberFormat="1" applyFill="1" applyBorder="1" applyAlignment="1" applyProtection="1">
      <alignment horizontal="center"/>
      <protection/>
    </xf>
    <xf numFmtId="0" fontId="38" fillId="0" borderId="0" xfId="0" applyFont="1" applyFill="1" applyBorder="1" applyAlignment="1" applyProtection="1">
      <alignment horizontal="right"/>
      <protection/>
    </xf>
    <xf numFmtId="175" fontId="0" fillId="0" borderId="0" xfId="0" applyNumberFormat="1" applyFont="1" applyFill="1" applyBorder="1" applyAlignment="1" applyProtection="1">
      <alignment horizontal="left"/>
      <protection/>
    </xf>
    <xf numFmtId="173" fontId="0" fillId="0" borderId="58" xfId="0" applyNumberFormat="1" applyFont="1" applyBorder="1" applyAlignment="1" applyProtection="1">
      <alignment horizontal="center" wrapText="1"/>
      <protection/>
    </xf>
    <xf numFmtId="0" fontId="55" fillId="0" borderId="0" xfId="0" applyFont="1" applyFill="1" applyBorder="1" applyAlignment="1" applyProtection="1">
      <alignment horizontal="center" wrapText="1"/>
      <protection/>
    </xf>
    <xf numFmtId="0" fontId="0" fillId="15" borderId="63" xfId="0" applyNumberFormat="1" applyFill="1" applyBorder="1" applyAlignment="1" applyProtection="1">
      <alignment horizontal="center"/>
      <protection locked="0"/>
    </xf>
    <xf numFmtId="175" fontId="0" fillId="0" borderId="0" xfId="0" applyNumberFormat="1" applyFill="1" applyBorder="1" applyAlignment="1" applyProtection="1">
      <alignment horizontal="center"/>
      <protection locked="0"/>
    </xf>
    <xf numFmtId="173" fontId="43" fillId="0" borderId="57" xfId="0" applyNumberFormat="1" applyFont="1" applyBorder="1" applyAlignment="1" applyProtection="1">
      <alignment horizontal="center"/>
      <protection/>
    </xf>
    <xf numFmtId="173" fontId="43" fillId="0" borderId="58" xfId="0" applyNumberFormat="1" applyFont="1" applyBorder="1" applyAlignment="1" applyProtection="1">
      <alignment horizontal="center"/>
      <protection/>
    </xf>
    <xf numFmtId="1" fontId="0" fillId="15" borderId="22" xfId="0" applyNumberFormat="1" applyFill="1" applyBorder="1" applyAlignment="1" applyProtection="1">
      <alignment horizontal="center"/>
      <protection locked="0"/>
    </xf>
    <xf numFmtId="1" fontId="0" fillId="0" borderId="60" xfId="0" applyNumberFormat="1" applyFill="1" applyBorder="1" applyAlignment="1" applyProtection="1">
      <alignment horizontal="center"/>
      <protection/>
    </xf>
    <xf numFmtId="1" fontId="0" fillId="15" borderId="62" xfId="0" applyNumberFormat="1" applyFill="1" applyBorder="1" applyAlignment="1" applyProtection="1">
      <alignment horizontal="center"/>
      <protection locked="0"/>
    </xf>
    <xf numFmtId="0" fontId="0" fillId="0" borderId="65" xfId="0" applyBorder="1" applyAlignment="1" applyProtection="1">
      <alignment/>
      <protection/>
    </xf>
    <xf numFmtId="176" fontId="43" fillId="12" borderId="66" xfId="0" applyNumberFormat="1" applyFont="1" applyFill="1" applyBorder="1" applyAlignment="1" applyProtection="1">
      <alignment horizontal="center"/>
      <protection locked="0"/>
    </xf>
    <xf numFmtId="176" fontId="43" fillId="12" borderId="67" xfId="0" applyNumberFormat="1" applyFont="1" applyFill="1" applyBorder="1" applyAlignment="1" applyProtection="1">
      <alignment horizontal="center"/>
      <protection locked="0"/>
    </xf>
    <xf numFmtId="176" fontId="0" fillId="0" borderId="68" xfId="0" applyNumberFormat="1" applyFont="1" applyFill="1" applyBorder="1" applyAlignment="1" applyProtection="1">
      <alignment horizontal="left"/>
      <protection/>
    </xf>
    <xf numFmtId="178" fontId="0" fillId="15" borderId="69" xfId="0" applyNumberFormat="1" applyFill="1" applyBorder="1" applyAlignment="1" applyProtection="1">
      <alignment horizontal="right" wrapText="1"/>
      <protection/>
    </xf>
    <xf numFmtId="178" fontId="0" fillId="15" borderId="22" xfId="0" applyNumberFormat="1" applyFill="1" applyBorder="1" applyAlignment="1" applyProtection="1">
      <alignment horizontal="right" wrapText="1"/>
      <protection locked="0"/>
    </xf>
    <xf numFmtId="176" fontId="0" fillId="0" borderId="70" xfId="0" applyNumberFormat="1" applyFont="1" applyBorder="1" applyAlignment="1" applyProtection="1">
      <alignment horizontal="left"/>
      <protection/>
    </xf>
    <xf numFmtId="178" fontId="0" fillId="0" borderId="69" xfId="0" applyNumberFormat="1" applyBorder="1" applyAlignment="1" applyProtection="1">
      <alignment horizontal="right" wrapText="1"/>
      <protection/>
    </xf>
    <xf numFmtId="178" fontId="0" fillId="0" borderId="22" xfId="0" applyNumberFormat="1" applyBorder="1" applyAlignment="1" applyProtection="1">
      <alignment horizontal="right" wrapText="1"/>
      <protection/>
    </xf>
    <xf numFmtId="176" fontId="0" fillId="0" borderId="51" xfId="0" applyNumberFormat="1" applyFont="1" applyBorder="1" applyAlignment="1" applyProtection="1">
      <alignment horizontal="left" wrapText="1"/>
      <protection/>
    </xf>
    <xf numFmtId="178" fontId="0" fillId="0" borderId="69" xfId="83" applyNumberFormat="1" applyFont="1" applyFill="1" applyBorder="1" applyAlignment="1" applyProtection="1">
      <alignment horizontal="right"/>
      <protection/>
    </xf>
    <xf numFmtId="0" fontId="0" fillId="0" borderId="0" xfId="0" applyFill="1" applyBorder="1" applyAlignment="1" applyProtection="1">
      <alignment horizontal="center" wrapText="1"/>
      <protection/>
    </xf>
    <xf numFmtId="173" fontId="0" fillId="0" borderId="0" xfId="83" applyFont="1" applyFill="1" applyBorder="1" applyAlignment="1" applyProtection="1">
      <alignment/>
      <protection/>
    </xf>
    <xf numFmtId="173" fontId="0" fillId="0" borderId="0" xfId="0" applyNumberFormat="1" applyFill="1" applyBorder="1" applyAlignment="1" applyProtection="1">
      <alignment/>
      <protection/>
    </xf>
    <xf numFmtId="176" fontId="0" fillId="0" borderId="0" xfId="0" applyNumberFormat="1" applyFont="1" applyBorder="1" applyAlignment="1" applyProtection="1">
      <alignment/>
      <protection/>
    </xf>
    <xf numFmtId="173" fontId="0" fillId="0" borderId="65" xfId="0" applyNumberFormat="1" applyFont="1" applyFill="1" applyBorder="1" applyAlignment="1" applyProtection="1">
      <alignment horizontal="left"/>
      <protection/>
    </xf>
    <xf numFmtId="173" fontId="0" fillId="0" borderId="71" xfId="0" applyNumberFormat="1" applyFont="1" applyFill="1" applyBorder="1" applyAlignment="1" applyProtection="1">
      <alignment horizontal="center" wrapText="1"/>
      <protection/>
    </xf>
    <xf numFmtId="173" fontId="35" fillId="0" borderId="71" xfId="0" applyNumberFormat="1" applyFont="1" applyBorder="1" applyAlignment="1">
      <alignment horizontal="center" wrapText="1"/>
    </xf>
    <xf numFmtId="173" fontId="0" fillId="0" borderId="71" xfId="0" applyNumberFormat="1" applyFont="1" applyBorder="1" applyAlignment="1">
      <alignment horizontal="center" wrapText="1"/>
    </xf>
    <xf numFmtId="173" fontId="0" fillId="0" borderId="72" xfId="0" applyNumberFormat="1" applyFont="1" applyFill="1" applyBorder="1" applyAlignment="1" applyProtection="1">
      <alignment horizontal="center" wrapText="1"/>
      <protection/>
    </xf>
    <xf numFmtId="173" fontId="0" fillId="15" borderId="22" xfId="0" applyNumberFormat="1" applyFont="1" applyFill="1" applyBorder="1" applyAlignment="1" applyProtection="1">
      <alignment/>
      <protection locked="0"/>
    </xf>
    <xf numFmtId="0" fontId="0" fillId="15" borderId="69" xfId="0" applyNumberFormat="1" applyFill="1" applyBorder="1" applyAlignment="1" applyProtection="1">
      <alignment horizontal="center" vertical="center"/>
      <protection/>
    </xf>
    <xf numFmtId="0" fontId="0" fillId="0" borderId="22" xfId="0" applyNumberFormat="1" applyFill="1" applyBorder="1" applyAlignment="1" applyProtection="1">
      <alignment horizontal="center" vertical="center"/>
      <protection/>
    </xf>
    <xf numFmtId="184" fontId="0" fillId="15" borderId="69" xfId="0" applyNumberFormat="1" applyFill="1" applyBorder="1" applyAlignment="1" applyProtection="1">
      <alignment horizontal="center" vertical="center"/>
      <protection/>
    </xf>
    <xf numFmtId="1" fontId="0" fillId="0" borderId="22" xfId="0" applyNumberFormat="1" applyFill="1" applyBorder="1" applyAlignment="1" applyProtection="1">
      <alignment horizontal="center" vertical="center"/>
      <protection/>
    </xf>
    <xf numFmtId="178" fontId="0" fillId="15" borderId="69" xfId="0" applyNumberFormat="1" applyFill="1" applyBorder="1" applyAlignment="1" applyProtection="1">
      <alignment horizontal="center" vertical="center"/>
      <protection/>
    </xf>
    <xf numFmtId="185" fontId="0" fillId="0" borderId="22" xfId="0" applyNumberFormat="1" applyFill="1" applyBorder="1" applyAlignment="1" applyProtection="1">
      <alignment horizontal="center" vertical="center"/>
      <protection/>
    </xf>
    <xf numFmtId="49" fontId="0" fillId="15" borderId="73" xfId="0" applyNumberFormat="1" applyFont="1" applyFill="1" applyBorder="1" applyAlignment="1" applyProtection="1">
      <alignment horizontal="left"/>
      <protection locked="0"/>
    </xf>
    <xf numFmtId="0" fontId="0" fillId="15" borderId="74" xfId="0" applyNumberFormat="1" applyFill="1" applyBorder="1" applyAlignment="1" applyProtection="1">
      <alignment horizontal="center" vertical="center"/>
      <protection/>
    </xf>
    <xf numFmtId="178" fontId="0" fillId="15" borderId="74" xfId="0" applyNumberFormat="1" applyFill="1" applyBorder="1" applyAlignment="1" applyProtection="1">
      <alignment horizontal="center" vertical="center"/>
      <protection/>
    </xf>
    <xf numFmtId="49" fontId="0" fillId="15" borderId="75" xfId="0" applyNumberFormat="1" applyFont="1" applyFill="1" applyBorder="1" applyAlignment="1" applyProtection="1">
      <alignment horizontal="left"/>
      <protection/>
    </xf>
    <xf numFmtId="0" fontId="0" fillId="15" borderId="75" xfId="0" applyNumberFormat="1" applyFill="1" applyBorder="1" applyAlignment="1" applyProtection="1">
      <alignment horizontal="center" vertical="center"/>
      <protection/>
    </xf>
    <xf numFmtId="178" fontId="0" fillId="15" borderId="75" xfId="0" applyNumberFormat="1" applyFill="1" applyBorder="1" applyAlignment="1" applyProtection="1">
      <alignment horizontal="center" vertical="center"/>
      <protection/>
    </xf>
    <xf numFmtId="0" fontId="0" fillId="0" borderId="0" xfId="0" applyNumberFormat="1" applyFill="1" applyBorder="1" applyAlignment="1" applyProtection="1">
      <alignment/>
      <protection/>
    </xf>
    <xf numFmtId="173" fontId="56" fillId="0" borderId="76" xfId="132" applyNumberFormat="1" applyFont="1" applyFill="1" applyBorder="1" applyAlignment="1" applyProtection="1">
      <alignment/>
      <protection/>
    </xf>
    <xf numFmtId="173" fontId="57" fillId="0" borderId="76" xfId="132" applyNumberFormat="1" applyFont="1" applyFill="1" applyBorder="1" applyAlignment="1" applyProtection="1">
      <alignment/>
      <protection/>
    </xf>
    <xf numFmtId="173" fontId="42" fillId="0" borderId="76" xfId="132" applyNumberFormat="1" applyFont="1" applyFill="1" applyBorder="1" applyAlignment="1" applyProtection="1">
      <alignment vertical="center"/>
      <protection/>
    </xf>
    <xf numFmtId="173" fontId="58" fillId="0" borderId="76" xfId="132" applyNumberFormat="1" applyFont="1" applyFill="1" applyBorder="1" applyAlignment="1" applyProtection="1">
      <alignment vertical="center"/>
      <protection/>
    </xf>
    <xf numFmtId="173" fontId="4" fillId="0" borderId="76" xfId="132" applyNumberFormat="1" applyFont="1" applyFill="1" applyBorder="1" applyAlignment="1" applyProtection="1">
      <alignment vertical="center"/>
      <protection/>
    </xf>
    <xf numFmtId="0" fontId="0" fillId="0" borderId="76" xfId="0" applyFill="1" applyBorder="1" applyAlignment="1" applyProtection="1">
      <alignment/>
      <protection/>
    </xf>
    <xf numFmtId="173" fontId="57" fillId="0" borderId="76" xfId="132" applyNumberFormat="1" applyFont="1" applyFill="1" applyBorder="1" applyAlignment="1" applyProtection="1">
      <alignment vertical="center"/>
      <protection/>
    </xf>
    <xf numFmtId="0" fontId="0" fillId="0" borderId="76" xfId="0" applyBorder="1" applyAlignment="1" applyProtection="1">
      <alignment/>
      <protection/>
    </xf>
    <xf numFmtId="0" fontId="0" fillId="0" borderId="76" xfId="0" applyBorder="1" applyAlignment="1">
      <alignment/>
    </xf>
    <xf numFmtId="173" fontId="59" fillId="0" borderId="77" xfId="0" applyNumberFormat="1" applyFont="1" applyFill="1" applyBorder="1" applyAlignment="1" applyProtection="1">
      <alignment horizontal="center" vertical="center"/>
      <protection/>
    </xf>
    <xf numFmtId="173" fontId="59" fillId="0" borderId="78" xfId="0" applyNumberFormat="1" applyFont="1" applyFill="1" applyBorder="1" applyAlignment="1" applyProtection="1">
      <alignment horizontal="center" vertical="center" wrapText="1"/>
      <protection/>
    </xf>
    <xf numFmtId="0" fontId="1" fillId="0" borderId="79" xfId="0" applyFont="1" applyFill="1" applyBorder="1" applyAlignment="1" applyProtection="1">
      <alignment horizontal="center"/>
      <protection/>
    </xf>
    <xf numFmtId="176" fontId="32" fillId="12" borderId="80" xfId="0" applyNumberFormat="1" applyFont="1" applyFill="1" applyBorder="1" applyAlignment="1" applyProtection="1">
      <alignment horizontal="center"/>
      <protection locked="0"/>
    </xf>
    <xf numFmtId="173" fontId="59" fillId="0" borderId="81" xfId="0" applyNumberFormat="1" applyFont="1" applyFill="1" applyBorder="1" applyAlignment="1" applyProtection="1">
      <alignment horizontal="center" vertical="center"/>
      <protection/>
    </xf>
    <xf numFmtId="0" fontId="59" fillId="0" borderId="82" xfId="0" applyFont="1" applyFill="1" applyBorder="1" applyAlignment="1" applyProtection="1">
      <alignment horizontal="center" vertical="center"/>
      <protection/>
    </xf>
    <xf numFmtId="173" fontId="59" fillId="0" borderId="83" xfId="0" applyNumberFormat="1" applyFont="1" applyFill="1" applyBorder="1" applyAlignment="1" applyProtection="1">
      <alignment horizontal="center" vertical="center"/>
      <protection/>
    </xf>
    <xf numFmtId="173" fontId="59" fillId="0" borderId="84" xfId="0" applyNumberFormat="1" applyFont="1" applyFill="1" applyBorder="1" applyAlignment="1" applyProtection="1">
      <alignment horizontal="center" vertical="center" wrapText="1"/>
      <protection/>
    </xf>
    <xf numFmtId="0" fontId="1" fillId="0" borderId="85" xfId="0" applyFont="1" applyFill="1" applyBorder="1" applyAlignment="1" applyProtection="1">
      <alignment horizontal="center"/>
      <protection/>
    </xf>
    <xf numFmtId="176" fontId="32" fillId="12" borderId="0" xfId="0" applyNumberFormat="1" applyFont="1" applyFill="1" applyBorder="1" applyAlignment="1" applyProtection="1">
      <alignment horizontal="center"/>
      <protection locked="0"/>
    </xf>
    <xf numFmtId="176" fontId="32" fillId="12" borderId="86" xfId="0" applyNumberFormat="1" applyFont="1" applyFill="1" applyBorder="1" applyAlignment="1" applyProtection="1">
      <alignment horizontal="center"/>
      <protection locked="0"/>
    </xf>
    <xf numFmtId="49" fontId="1" fillId="0" borderId="22" xfId="0" applyNumberFormat="1" applyFont="1" applyFill="1" applyBorder="1" applyAlignment="1" applyProtection="1">
      <alignment horizontal="left"/>
      <protection/>
    </xf>
    <xf numFmtId="178" fontId="1" fillId="14" borderId="69" xfId="0" applyNumberFormat="1" applyFont="1" applyFill="1" applyBorder="1" applyAlignment="1" applyProtection="1">
      <alignment horizontal="center" vertical="center" wrapText="1"/>
      <protection/>
    </xf>
    <xf numFmtId="186" fontId="1" fillId="14" borderId="22" xfId="0" applyNumberFormat="1" applyFont="1" applyFill="1" applyBorder="1" applyAlignment="1" applyProtection="1">
      <alignment horizontal="center" vertical="center" wrapText="1"/>
      <protection/>
    </xf>
    <xf numFmtId="185" fontId="1" fillId="14" borderId="69" xfId="0" applyNumberFormat="1" applyFont="1" applyFill="1" applyBorder="1" applyAlignment="1" applyProtection="1">
      <alignment horizontal="center" vertical="center" wrapText="1"/>
      <protection/>
    </xf>
    <xf numFmtId="178" fontId="1" fillId="14" borderId="22" xfId="0" applyNumberFormat="1" applyFont="1" applyFill="1" applyBorder="1" applyAlignment="1" applyProtection="1">
      <alignment horizontal="center" vertical="center" wrapText="1"/>
      <protection/>
    </xf>
    <xf numFmtId="181" fontId="1" fillId="14" borderId="22" xfId="0" applyNumberFormat="1" applyFont="1" applyFill="1" applyBorder="1" applyAlignment="1" applyProtection="1">
      <alignment horizontal="center" vertical="center" wrapText="1"/>
      <protection/>
    </xf>
    <xf numFmtId="178" fontId="1" fillId="14" borderId="22" xfId="0" applyNumberFormat="1" applyFont="1" applyFill="1" applyBorder="1" applyAlignment="1" applyProtection="1">
      <alignment vertical="center"/>
      <protection locked="0"/>
    </xf>
    <xf numFmtId="49" fontId="1" fillId="50" borderId="22" xfId="0" applyNumberFormat="1" applyFont="1" applyFill="1" applyBorder="1" applyAlignment="1" applyProtection="1">
      <alignment horizontal="left"/>
      <protection/>
    </xf>
    <xf numFmtId="178" fontId="1" fillId="51" borderId="22" xfId="0" applyNumberFormat="1" applyFont="1" applyFill="1" applyBorder="1" applyAlignment="1" applyProtection="1">
      <alignment vertical="center"/>
      <protection locked="0"/>
    </xf>
    <xf numFmtId="187" fontId="1" fillId="14" borderId="22" xfId="0" applyNumberFormat="1" applyFont="1" applyFill="1" applyBorder="1" applyAlignment="1" applyProtection="1">
      <alignment horizontal="center" vertical="center" wrapText="1"/>
      <protection/>
    </xf>
    <xf numFmtId="178" fontId="1" fillId="51" borderId="22" xfId="0" applyNumberFormat="1" applyFont="1" applyFill="1" applyBorder="1" applyAlignment="1" applyProtection="1">
      <alignment horizontal="right" vertical="center"/>
      <protection locked="0"/>
    </xf>
    <xf numFmtId="184" fontId="1" fillId="14" borderId="22" xfId="0" applyNumberFormat="1" applyFont="1" applyFill="1" applyBorder="1" applyAlignment="1" applyProtection="1">
      <alignment horizontal="center" vertical="center" wrapText="1"/>
      <protection/>
    </xf>
    <xf numFmtId="49" fontId="1" fillId="50" borderId="87" xfId="0" applyNumberFormat="1" applyFont="1" applyFill="1" applyBorder="1" applyAlignment="1" applyProtection="1">
      <alignment horizontal="left"/>
      <protection/>
    </xf>
    <xf numFmtId="185" fontId="1" fillId="14" borderId="22" xfId="0" applyNumberFormat="1" applyFont="1" applyFill="1" applyBorder="1" applyAlignment="1" applyProtection="1">
      <alignment horizontal="center" vertical="center" wrapText="1"/>
      <protection/>
    </xf>
    <xf numFmtId="0" fontId="33" fillId="0" borderId="0" xfId="0" applyFont="1" applyAlignment="1" applyProtection="1">
      <alignment/>
      <protection/>
    </xf>
    <xf numFmtId="49" fontId="0" fillId="0" borderId="0" xfId="0" applyNumberFormat="1" applyFont="1" applyAlignment="1" applyProtection="1">
      <alignment/>
      <protection/>
    </xf>
    <xf numFmtId="49" fontId="59" fillId="0" borderId="77" xfId="0" applyNumberFormat="1" applyFont="1" applyFill="1" applyBorder="1" applyAlignment="1" applyProtection="1">
      <alignment horizontal="center" vertical="center"/>
      <protection/>
    </xf>
    <xf numFmtId="49" fontId="59" fillId="0" borderId="78" xfId="0" applyNumberFormat="1" applyFont="1" applyFill="1" applyBorder="1" applyAlignment="1" applyProtection="1">
      <alignment horizontal="center" vertical="center" wrapText="1"/>
      <protection/>
    </xf>
    <xf numFmtId="49" fontId="1" fillId="2" borderId="88" xfId="0" applyNumberFormat="1" applyFont="1" applyFill="1" applyBorder="1" applyAlignment="1" applyProtection="1">
      <alignment/>
      <protection/>
    </xf>
    <xf numFmtId="178" fontId="1" fillId="0" borderId="69" xfId="0" applyNumberFormat="1" applyFont="1" applyFill="1" applyBorder="1" applyAlignment="1" applyProtection="1">
      <alignment vertical="center"/>
      <protection/>
    </xf>
    <xf numFmtId="178" fontId="1" fillId="0" borderId="22" xfId="0" applyNumberFormat="1" applyFont="1" applyFill="1" applyBorder="1" applyAlignment="1" applyProtection="1">
      <alignment vertical="center"/>
      <protection/>
    </xf>
    <xf numFmtId="49" fontId="1" fillId="2" borderId="19" xfId="0" applyNumberFormat="1" applyFont="1" applyFill="1" applyBorder="1" applyAlignment="1" applyProtection="1">
      <alignment/>
      <protection/>
    </xf>
    <xf numFmtId="49" fontId="1" fillId="50" borderId="22" xfId="0" applyNumberFormat="1" applyFont="1" applyFill="1" applyBorder="1" applyAlignment="1" applyProtection="1">
      <alignment/>
      <protection/>
    </xf>
    <xf numFmtId="178" fontId="1" fillId="52" borderId="69" xfId="0" applyNumberFormat="1" applyFont="1" applyFill="1" applyBorder="1" applyAlignment="1" applyProtection="1">
      <alignment vertical="center"/>
      <protection/>
    </xf>
    <xf numFmtId="178" fontId="1" fillId="50" borderId="22" xfId="0" applyNumberFormat="1" applyFont="1" applyFill="1" applyBorder="1" applyAlignment="1" applyProtection="1">
      <alignment vertical="center"/>
      <protection/>
    </xf>
    <xf numFmtId="49" fontId="1" fillId="2" borderId="89" xfId="0" applyNumberFormat="1" applyFont="1" applyFill="1" applyBorder="1" applyAlignment="1" applyProtection="1">
      <alignment/>
      <protection/>
    </xf>
    <xf numFmtId="178" fontId="1" fillId="0" borderId="90" xfId="0" applyNumberFormat="1" applyFont="1" applyFill="1" applyBorder="1" applyAlignment="1" applyProtection="1">
      <alignment vertical="center"/>
      <protection/>
    </xf>
    <xf numFmtId="173" fontId="62" fillId="0" borderId="0" xfId="89" applyFont="1" applyFill="1" applyAlignment="1" applyProtection="1">
      <alignment vertical="center"/>
      <protection/>
    </xf>
    <xf numFmtId="0" fontId="50" fillId="0" borderId="0" xfId="0" applyFont="1" applyAlignment="1" applyProtection="1">
      <alignment/>
      <protection/>
    </xf>
    <xf numFmtId="173" fontId="63" fillId="0" borderId="0" xfId="101" applyFont="1" applyFill="1" applyAlignment="1" applyProtection="1">
      <alignment horizontal="right" vertical="center"/>
      <protection/>
    </xf>
    <xf numFmtId="0" fontId="2" fillId="0" borderId="0" xfId="0" applyFont="1" applyFill="1" applyBorder="1" applyAlignment="1" applyProtection="1">
      <alignment horizontal="center"/>
      <protection/>
    </xf>
    <xf numFmtId="0" fontId="64" fillId="0" borderId="0" xfId="0" applyFont="1" applyFill="1" applyBorder="1" applyAlignment="1" applyProtection="1">
      <alignment horizontal="left"/>
      <protection/>
    </xf>
    <xf numFmtId="0" fontId="65" fillId="0" borderId="0" xfId="0" applyFont="1" applyFill="1" applyAlignment="1" applyProtection="1">
      <alignment/>
      <protection/>
    </xf>
    <xf numFmtId="0" fontId="2" fillId="0" borderId="0" xfId="0" applyFont="1" applyAlignment="1" applyProtection="1">
      <alignment/>
      <protection/>
    </xf>
    <xf numFmtId="173" fontId="66" fillId="0" borderId="0" xfId="101" applyFont="1" applyFill="1" applyAlignment="1" applyProtection="1">
      <alignment/>
      <protection/>
    </xf>
    <xf numFmtId="173" fontId="66" fillId="0" borderId="0" xfId="101" applyFont="1" applyFill="1" applyAlignment="1" applyProtection="1">
      <alignment horizontal="center"/>
      <protection/>
    </xf>
    <xf numFmtId="173" fontId="66" fillId="0" borderId="0" xfId="101" applyFont="1" applyFill="1" applyAlignment="1" applyProtection="1">
      <alignment horizontal="right"/>
      <protection/>
    </xf>
    <xf numFmtId="173" fontId="66" fillId="0" borderId="0" xfId="101" applyFont="1" applyFill="1" applyBorder="1" applyAlignment="1" applyProtection="1">
      <alignment horizontal="center"/>
      <protection/>
    </xf>
    <xf numFmtId="173" fontId="0" fillId="0" borderId="0" xfId="100" applyProtection="1">
      <alignment/>
      <protection/>
    </xf>
    <xf numFmtId="0" fontId="2" fillId="0" borderId="0" xfId="0" applyFont="1" applyAlignment="1" applyProtection="1">
      <alignment horizontal="left" indent="1"/>
      <protection/>
    </xf>
    <xf numFmtId="0" fontId="20" fillId="0" borderId="0" xfId="0" applyFont="1" applyAlignment="1" applyProtection="1">
      <alignment horizontal="left" indent="1"/>
      <protection/>
    </xf>
    <xf numFmtId="173" fontId="0" fillId="0" borderId="91" xfId="126" applyNumberFormat="1" applyFont="1" applyFill="1" applyBorder="1" applyAlignment="1" applyProtection="1">
      <alignment horizontal="right"/>
      <protection/>
    </xf>
    <xf numFmtId="188" fontId="33" fillId="15" borderId="91" xfId="126" applyNumberFormat="1" applyFont="1" applyFill="1" applyBorder="1" applyAlignment="1" applyProtection="1">
      <alignment horizontal="center" vertical="center"/>
      <protection/>
    </xf>
    <xf numFmtId="173" fontId="63" fillId="0" borderId="91" xfId="126" applyNumberFormat="1" applyFont="1" applyFill="1" applyBorder="1" applyAlignment="1" applyProtection="1">
      <alignment horizontal="right"/>
      <protection/>
    </xf>
    <xf numFmtId="173" fontId="33" fillId="15" borderId="91" xfId="126" applyNumberFormat="1" applyFont="1" applyFill="1" applyBorder="1" applyAlignment="1" applyProtection="1">
      <alignment horizontal="center" vertical="center"/>
      <protection/>
    </xf>
    <xf numFmtId="175" fontId="33" fillId="15" borderId="91" xfId="126" applyNumberFormat="1" applyFont="1" applyFill="1" applyBorder="1" applyAlignment="1" applyProtection="1">
      <alignment horizontal="center" vertical="center"/>
      <protection/>
    </xf>
    <xf numFmtId="173" fontId="2" fillId="0" borderId="0" xfId="100" applyFont="1" applyProtection="1">
      <alignment/>
      <protection/>
    </xf>
    <xf numFmtId="190" fontId="33" fillId="15" borderId="91" xfId="126" applyNumberFormat="1" applyFont="1" applyFill="1" applyBorder="1" applyAlignment="1" applyProtection="1">
      <alignment horizontal="center"/>
      <protection/>
    </xf>
    <xf numFmtId="178" fontId="33" fillId="15" borderId="91" xfId="126" applyNumberFormat="1" applyFont="1" applyFill="1" applyBorder="1" applyAlignment="1" applyProtection="1">
      <alignment horizontal="center"/>
      <protection/>
    </xf>
    <xf numFmtId="173" fontId="33" fillId="15" borderId="91" xfId="126" applyNumberFormat="1" applyFont="1" applyFill="1" applyBorder="1" applyAlignment="1" applyProtection="1">
      <alignment horizontal="center"/>
      <protection/>
    </xf>
    <xf numFmtId="0" fontId="2" fillId="0" borderId="0" xfId="0" applyFont="1" applyFill="1" applyBorder="1" applyAlignment="1" applyProtection="1">
      <alignment/>
      <protection/>
    </xf>
    <xf numFmtId="175" fontId="33" fillId="15" borderId="91" xfId="126" applyNumberFormat="1" applyFont="1" applyFill="1" applyBorder="1" applyAlignment="1" applyProtection="1">
      <alignment horizontal="center"/>
      <protection/>
    </xf>
    <xf numFmtId="0" fontId="68" fillId="0" borderId="0" xfId="0" applyFont="1" applyFill="1" applyBorder="1" applyAlignment="1" applyProtection="1">
      <alignment/>
      <protection/>
    </xf>
    <xf numFmtId="0" fontId="20" fillId="0" borderId="0" xfId="100" applyNumberFormat="1" applyFont="1" applyBorder="1" applyProtection="1">
      <alignment/>
      <protection/>
    </xf>
    <xf numFmtId="173" fontId="69" fillId="0" borderId="0" xfId="100" applyFont="1" applyProtection="1">
      <alignment/>
      <protection/>
    </xf>
    <xf numFmtId="173" fontId="2" fillId="0" borderId="0" xfId="102" applyFont="1" applyProtection="1">
      <alignment/>
      <protection/>
    </xf>
    <xf numFmtId="173" fontId="69" fillId="0" borderId="0" xfId="102" applyFont="1" applyProtection="1">
      <alignment/>
      <protection/>
    </xf>
    <xf numFmtId="173" fontId="17" fillId="0" borderId="0" xfId="89" applyFont="1" applyFill="1" applyAlignment="1">
      <alignment vertical="center"/>
      <protection/>
    </xf>
    <xf numFmtId="173" fontId="35" fillId="0" borderId="0" xfId="0" applyNumberFormat="1" applyFont="1" applyAlignment="1" applyProtection="1">
      <alignment horizontal="right"/>
      <protection/>
    </xf>
    <xf numFmtId="173" fontId="35" fillId="0" borderId="0" xfId="0" applyNumberFormat="1" applyFont="1" applyBorder="1" applyAlignment="1" applyProtection="1">
      <alignment horizontal="right"/>
      <protection/>
    </xf>
    <xf numFmtId="0" fontId="35" fillId="0" borderId="0" xfId="0" applyNumberFormat="1" applyFont="1" applyAlignment="1" applyProtection="1">
      <alignment horizontal="center"/>
      <protection/>
    </xf>
    <xf numFmtId="0" fontId="68" fillId="0" borderId="0" xfId="0" applyFont="1" applyAlignment="1">
      <alignment/>
    </xf>
    <xf numFmtId="175" fontId="35" fillId="0" borderId="0" xfId="0" applyNumberFormat="1" applyFont="1" applyAlignment="1" applyProtection="1">
      <alignment horizontal="center"/>
      <protection/>
    </xf>
    <xf numFmtId="173" fontId="35" fillId="0" borderId="0" xfId="0" applyNumberFormat="1" applyFont="1" applyAlignment="1" applyProtection="1">
      <alignment/>
      <protection/>
    </xf>
    <xf numFmtId="177" fontId="35" fillId="0" borderId="0" xfId="83" applyNumberFormat="1" applyFont="1" applyFill="1" applyBorder="1" applyAlignment="1" applyProtection="1">
      <alignment horizontal="left"/>
      <protection/>
    </xf>
    <xf numFmtId="173" fontId="35" fillId="0" borderId="0" xfId="0" applyNumberFormat="1" applyFont="1" applyBorder="1" applyAlignment="1" applyProtection="1">
      <alignment/>
      <protection/>
    </xf>
    <xf numFmtId="0" fontId="66" fillId="0" borderId="0" xfId="0" applyFont="1" applyBorder="1" applyAlignment="1" applyProtection="1">
      <alignment horizontal="center"/>
      <protection/>
    </xf>
    <xf numFmtId="0" fontId="66" fillId="0" borderId="0" xfId="0" applyFont="1" applyAlignment="1" applyProtection="1">
      <alignment horizontal="center"/>
      <protection/>
    </xf>
    <xf numFmtId="175" fontId="35" fillId="0" borderId="0" xfId="0" applyNumberFormat="1" applyFont="1" applyAlignment="1" applyProtection="1">
      <alignment horizontal="right"/>
      <protection/>
    </xf>
    <xf numFmtId="175" fontId="35" fillId="0" borderId="0" xfId="0" applyNumberFormat="1" applyFont="1" applyAlignment="1" applyProtection="1">
      <alignment horizontal="left"/>
      <protection/>
    </xf>
    <xf numFmtId="173" fontId="72" fillId="0" borderId="0" xfId="0" applyNumberFormat="1" applyFont="1" applyBorder="1" applyAlignment="1" applyProtection="1">
      <alignment/>
      <protection/>
    </xf>
    <xf numFmtId="0" fontId="73" fillId="0" borderId="0" xfId="0" applyFont="1" applyBorder="1" applyAlignment="1" applyProtection="1">
      <alignment/>
      <protection/>
    </xf>
    <xf numFmtId="0" fontId="74" fillId="14" borderId="0" xfId="0" applyNumberFormat="1" applyFont="1" applyFill="1" applyBorder="1" applyAlignment="1" applyProtection="1">
      <alignment horizontal="left" vertical="center"/>
      <protection locked="0"/>
    </xf>
    <xf numFmtId="0" fontId="76" fillId="14" borderId="0" xfId="0" applyNumberFormat="1" applyFont="1" applyFill="1" applyBorder="1" applyAlignment="1" applyProtection="1">
      <alignment horizontal="left" vertical="center"/>
      <protection locked="0"/>
    </xf>
    <xf numFmtId="0" fontId="2" fillId="0" borderId="0" xfId="0" applyFont="1" applyAlignment="1">
      <alignment/>
    </xf>
    <xf numFmtId="173" fontId="76" fillId="0" borderId="0" xfId="0" applyNumberFormat="1" applyFont="1" applyAlignment="1" applyProtection="1">
      <alignment/>
      <protection/>
    </xf>
    <xf numFmtId="0" fontId="0" fillId="0" borderId="0" xfId="0" applyBorder="1" applyAlignment="1">
      <alignment horizontal="left" wrapText="1"/>
    </xf>
    <xf numFmtId="0" fontId="73" fillId="0" borderId="0" xfId="0" applyFont="1" applyFill="1" applyAlignment="1" applyProtection="1">
      <alignment horizontal="left"/>
      <protection locked="0"/>
    </xf>
    <xf numFmtId="0" fontId="73" fillId="0" borderId="0" xfId="0" applyFont="1" applyFill="1" applyBorder="1" applyAlignment="1" applyProtection="1">
      <alignment horizontal="left"/>
      <protection locked="0"/>
    </xf>
    <xf numFmtId="173" fontId="77" fillId="0" borderId="0" xfId="0" applyNumberFormat="1" applyFont="1" applyBorder="1" applyAlignment="1" applyProtection="1">
      <alignment vertical="center" wrapText="1"/>
      <protection/>
    </xf>
    <xf numFmtId="173" fontId="77" fillId="0" borderId="65" xfId="0" applyNumberFormat="1" applyFont="1" applyFill="1" applyBorder="1" applyAlignment="1" applyProtection="1">
      <alignment horizontal="center" wrapText="1"/>
      <protection/>
    </xf>
    <xf numFmtId="173" fontId="77" fillId="0" borderId="72" xfId="0" applyNumberFormat="1" applyFont="1" applyFill="1" applyBorder="1" applyAlignment="1" applyProtection="1">
      <alignment horizontal="center" wrapText="1"/>
      <protection/>
    </xf>
    <xf numFmtId="0" fontId="77" fillId="0" borderId="0" xfId="0" applyFont="1" applyFill="1" applyBorder="1" applyAlignment="1" applyProtection="1">
      <alignment wrapText="1"/>
      <protection/>
    </xf>
    <xf numFmtId="0" fontId="72" fillId="0" borderId="51" xfId="0" applyFont="1" applyFill="1" applyBorder="1" applyAlignment="1" applyProtection="1">
      <alignment horizontal="center"/>
      <protection/>
    </xf>
    <xf numFmtId="1" fontId="43" fillId="3" borderId="92" xfId="0" applyNumberFormat="1" applyFont="1" applyFill="1" applyBorder="1" applyAlignment="1" applyProtection="1">
      <alignment horizontal="center"/>
      <protection/>
    </xf>
    <xf numFmtId="0" fontId="43" fillId="3" borderId="92" xfId="0" applyFont="1" applyFill="1" applyBorder="1" applyAlignment="1" applyProtection="1">
      <alignment horizontal="center"/>
      <protection/>
    </xf>
    <xf numFmtId="0" fontId="72" fillId="0" borderId="93" xfId="0" applyFont="1" applyFill="1" applyBorder="1" applyAlignment="1" applyProtection="1">
      <alignment horizontal="center"/>
      <protection/>
    </xf>
    <xf numFmtId="0" fontId="73" fillId="0" borderId="0" xfId="0" applyFont="1" applyAlignment="1" applyProtection="1">
      <alignment/>
      <protection/>
    </xf>
    <xf numFmtId="173" fontId="0" fillId="0" borderId="0" xfId="0" applyNumberFormat="1" applyAlignment="1">
      <alignment/>
    </xf>
    <xf numFmtId="173" fontId="17" fillId="0" borderId="0" xfId="99" applyFont="1" applyFill="1" applyAlignment="1">
      <alignment vertical="center"/>
      <protection/>
    </xf>
    <xf numFmtId="173" fontId="35" fillId="0" borderId="0" xfId="0" applyNumberFormat="1" applyFont="1" applyAlignment="1">
      <alignment horizontal="right"/>
    </xf>
    <xf numFmtId="173" fontId="35" fillId="0" borderId="0" xfId="0" applyNumberFormat="1" applyFont="1" applyAlignment="1">
      <alignment/>
    </xf>
    <xf numFmtId="173" fontId="76" fillId="0" borderId="0" xfId="0" applyNumberFormat="1" applyFont="1" applyAlignment="1">
      <alignment/>
    </xf>
    <xf numFmtId="0" fontId="73" fillId="0" borderId="0" xfId="0" applyFont="1" applyAlignment="1">
      <alignment/>
    </xf>
    <xf numFmtId="0" fontId="76" fillId="14" borderId="0" xfId="0" applyNumberFormat="1" applyFont="1" applyFill="1" applyAlignment="1" applyProtection="1">
      <alignment horizontal="left" vertical="center"/>
      <protection locked="0"/>
    </xf>
    <xf numFmtId="0" fontId="0" fillId="0" borderId="0" xfId="0" applyBorder="1" applyAlignment="1">
      <alignment horizontal="left"/>
    </xf>
    <xf numFmtId="191" fontId="0" fillId="0" borderId="0" xfId="0" applyNumberFormat="1" applyAlignment="1">
      <alignment/>
    </xf>
    <xf numFmtId="0" fontId="32" fillId="0" borderId="0" xfId="0" applyFont="1" applyBorder="1" applyAlignment="1">
      <alignment horizontal="center"/>
    </xf>
    <xf numFmtId="192" fontId="0" fillId="0" borderId="0" xfId="126" applyNumberFormat="1" applyFill="1" applyBorder="1" applyAlignment="1" applyProtection="1">
      <alignment horizontal="center"/>
      <protection locked="0"/>
    </xf>
    <xf numFmtId="192" fontId="0" fillId="0" borderId="0" xfId="0" applyNumberFormat="1" applyFill="1" applyAlignment="1">
      <alignment/>
    </xf>
    <xf numFmtId="175" fontId="0" fillId="0" borderId="0" xfId="0" applyNumberFormat="1" applyFont="1" applyFill="1" applyBorder="1" applyAlignment="1">
      <alignment horizontal="center"/>
    </xf>
    <xf numFmtId="1" fontId="50" fillId="0" borderId="0" xfId="0" applyNumberFormat="1" applyFont="1" applyFill="1" applyBorder="1" applyAlignment="1">
      <alignment horizontal="center"/>
    </xf>
    <xf numFmtId="1" fontId="64" fillId="2" borderId="0" xfId="0" applyNumberFormat="1" applyFont="1" applyFill="1" applyBorder="1" applyAlignment="1">
      <alignment horizontal="center"/>
    </xf>
    <xf numFmtId="0" fontId="0" fillId="0" borderId="0" xfId="0" applyFont="1" applyBorder="1" applyAlignment="1">
      <alignment/>
    </xf>
    <xf numFmtId="0" fontId="0" fillId="0" borderId="0" xfId="0" applyFont="1" applyFill="1" applyBorder="1" applyAlignment="1">
      <alignment/>
    </xf>
    <xf numFmtId="0" fontId="35" fillId="0" borderId="0" xfId="0" applyFont="1" applyFill="1" applyBorder="1" applyAlignment="1" applyProtection="1">
      <alignment wrapText="1"/>
      <protection/>
    </xf>
    <xf numFmtId="0" fontId="35" fillId="0" borderId="65" xfId="0" applyFont="1" applyFill="1" applyBorder="1" applyAlignment="1" applyProtection="1">
      <alignment horizontal="center" vertical="center" wrapText="1"/>
      <protection/>
    </xf>
    <xf numFmtId="0" fontId="35" fillId="0" borderId="94" xfId="0" applyFont="1" applyFill="1" applyBorder="1" applyAlignment="1" applyProtection="1">
      <alignment horizontal="center" vertical="center" wrapText="1"/>
      <protection/>
    </xf>
    <xf numFmtId="0" fontId="73" fillId="0" borderId="71" xfId="0" applyFont="1" applyFill="1" applyBorder="1" applyAlignment="1" applyProtection="1">
      <alignment horizontal="center" vertical="center" wrapText="1"/>
      <protection/>
    </xf>
    <xf numFmtId="0" fontId="35" fillId="0" borderId="71" xfId="0" applyNumberFormat="1" applyFont="1" applyFill="1" applyBorder="1" applyAlignment="1" applyProtection="1">
      <alignment horizontal="center" vertical="center" wrapText="1"/>
      <protection/>
    </xf>
    <xf numFmtId="0" fontId="73" fillId="0" borderId="95" xfId="0" applyNumberFormat="1" applyFont="1" applyFill="1" applyBorder="1" applyAlignment="1" applyProtection="1">
      <alignment horizontal="center" vertical="center" wrapText="1"/>
      <protection/>
    </xf>
    <xf numFmtId="0" fontId="50" fillId="2" borderId="19" xfId="0" applyFont="1" applyFill="1" applyBorder="1" applyAlignment="1" applyProtection="1">
      <alignment/>
      <protection/>
    </xf>
    <xf numFmtId="185" fontId="0" fillId="2" borderId="22" xfId="0" applyNumberFormat="1" applyFill="1" applyBorder="1" applyAlignment="1" applyProtection="1">
      <alignment horizontal="center"/>
      <protection/>
    </xf>
    <xf numFmtId="185" fontId="0" fillId="0" borderId="22" xfId="0" applyNumberFormat="1" applyBorder="1" applyAlignment="1" applyProtection="1">
      <alignment horizontal="center"/>
      <protection/>
    </xf>
    <xf numFmtId="185" fontId="2" fillId="53" borderId="96" xfId="0" applyNumberFormat="1" applyFont="1" applyFill="1" applyBorder="1" applyAlignment="1" applyProtection="1">
      <alignment horizontal="center"/>
      <protection/>
    </xf>
    <xf numFmtId="185" fontId="50" fillId="53" borderId="96" xfId="0" applyNumberFormat="1" applyFont="1" applyFill="1" applyBorder="1" applyAlignment="1" applyProtection="1">
      <alignment horizontal="center"/>
      <protection/>
    </xf>
    <xf numFmtId="0" fontId="50" fillId="2" borderId="97" xfId="0" applyFont="1" applyFill="1" applyBorder="1" applyAlignment="1" applyProtection="1">
      <alignment/>
      <protection/>
    </xf>
    <xf numFmtId="185" fontId="0" fillId="2" borderId="73" xfId="0" applyNumberFormat="1" applyFill="1" applyBorder="1" applyAlignment="1" applyProtection="1">
      <alignment horizontal="center"/>
      <protection/>
    </xf>
    <xf numFmtId="185" fontId="0" fillId="0" borderId="73" xfId="0" applyNumberFormat="1" applyBorder="1" applyAlignment="1" applyProtection="1">
      <alignment horizontal="center"/>
      <protection/>
    </xf>
    <xf numFmtId="0" fontId="35" fillId="0" borderId="0" xfId="0" applyFont="1" applyFill="1" applyBorder="1" applyAlignment="1">
      <alignment vertical="center" wrapText="1"/>
    </xf>
    <xf numFmtId="0" fontId="35" fillId="0" borderId="0" xfId="0" applyFont="1" applyFill="1" applyBorder="1" applyAlignment="1">
      <alignment horizontal="center"/>
    </xf>
    <xf numFmtId="0" fontId="0" fillId="2" borderId="0" xfId="0" applyFill="1" applyBorder="1" applyAlignment="1">
      <alignment horizontal="center"/>
    </xf>
    <xf numFmtId="0" fontId="35" fillId="0" borderId="0" xfId="0" applyFont="1" applyAlignment="1" applyProtection="1">
      <alignment horizontal="center"/>
      <protection/>
    </xf>
    <xf numFmtId="173" fontId="35" fillId="0" borderId="0" xfId="0" applyNumberFormat="1" applyFont="1" applyAlignment="1" applyProtection="1">
      <alignment/>
      <protection/>
    </xf>
    <xf numFmtId="175" fontId="35" fillId="0" borderId="0" xfId="0" applyNumberFormat="1" applyFont="1" applyAlignment="1">
      <alignment/>
    </xf>
    <xf numFmtId="0" fontId="81" fillId="0" borderId="0" xfId="0" applyFont="1" applyAlignment="1">
      <alignment/>
    </xf>
    <xf numFmtId="0" fontId="2" fillId="0" borderId="0" xfId="0" applyNumberFormat="1" applyFont="1" applyAlignment="1">
      <alignment/>
    </xf>
    <xf numFmtId="173" fontId="32" fillId="0" borderId="0" xfId="0" applyNumberFormat="1" applyFont="1" applyAlignment="1" applyProtection="1">
      <alignment horizontal="center"/>
      <protection/>
    </xf>
    <xf numFmtId="173" fontId="0" fillId="0" borderId="0" xfId="0" applyNumberFormat="1" applyAlignment="1" applyProtection="1">
      <alignment horizontal="right"/>
      <protection/>
    </xf>
    <xf numFmtId="175" fontId="43" fillId="0" borderId="0" xfId="0" applyNumberFormat="1" applyFont="1" applyAlignment="1" applyProtection="1">
      <alignment horizontal="center"/>
      <protection/>
    </xf>
    <xf numFmtId="173" fontId="72" fillId="14" borderId="0" xfId="0" applyNumberFormat="1" applyFont="1" applyFill="1" applyAlignment="1" applyProtection="1">
      <alignment horizontal="left" vertical="top"/>
      <protection locked="0"/>
    </xf>
    <xf numFmtId="0" fontId="73" fillId="0" borderId="22" xfId="0" applyFont="1" applyBorder="1" applyAlignment="1" applyProtection="1">
      <alignment horizontal="center" vertical="center" wrapText="1"/>
      <protection/>
    </xf>
    <xf numFmtId="9" fontId="82" fillId="54" borderId="22" xfId="110" applyFont="1" applyFill="1" applyBorder="1" applyAlignment="1" applyProtection="1">
      <alignment horizontal="center" vertical="center" wrapText="1"/>
      <protection/>
    </xf>
    <xf numFmtId="178" fontId="2" fillId="2" borderId="98" xfId="0" applyNumberFormat="1" applyFont="1" applyFill="1" applyBorder="1" applyAlignment="1">
      <alignment horizontal="right"/>
    </xf>
    <xf numFmtId="178" fontId="2" fillId="2" borderId="98" xfId="83" applyNumberFormat="1" applyFont="1" applyFill="1" applyBorder="1" applyAlignment="1" applyProtection="1">
      <alignment/>
      <protection/>
    </xf>
    <xf numFmtId="9" fontId="2" fillId="2" borderId="98" xfId="110" applyFont="1" applyFill="1" applyBorder="1" applyAlignment="1" applyProtection="1">
      <alignment/>
      <protection/>
    </xf>
    <xf numFmtId="193" fontId="35" fillId="0" borderId="22" xfId="0" applyNumberFormat="1" applyFont="1" applyBorder="1" applyAlignment="1" applyProtection="1">
      <alignment horizontal="center" vertical="center" wrapText="1"/>
      <protection/>
    </xf>
    <xf numFmtId="9" fontId="2" fillId="2" borderId="98" xfId="110" applyNumberFormat="1" applyFont="1" applyFill="1" applyBorder="1" applyAlignment="1" applyProtection="1">
      <alignment/>
      <protection/>
    </xf>
    <xf numFmtId="184" fontId="35" fillId="0" borderId="22" xfId="0" applyNumberFormat="1" applyFont="1" applyBorder="1" applyAlignment="1" applyProtection="1">
      <alignment horizontal="center" vertical="center" wrapText="1"/>
      <protection/>
    </xf>
    <xf numFmtId="0" fontId="2" fillId="2" borderId="98" xfId="0" applyFont="1" applyFill="1" applyBorder="1" applyAlignment="1">
      <alignment/>
    </xf>
    <xf numFmtId="9" fontId="2" fillId="2" borderId="98" xfId="110" applyFont="1" applyFill="1" applyBorder="1" applyAlignment="1" applyProtection="1">
      <alignment horizontal="center"/>
      <protection/>
    </xf>
    <xf numFmtId="178" fontId="2" fillId="0" borderId="0" xfId="0" applyNumberFormat="1" applyFont="1" applyAlignment="1">
      <alignment/>
    </xf>
    <xf numFmtId="178" fontId="2" fillId="2" borderId="98" xfId="0" applyNumberFormat="1" applyFont="1" applyFill="1" applyBorder="1" applyAlignment="1">
      <alignment/>
    </xf>
    <xf numFmtId="173" fontId="2" fillId="0" borderId="0" xfId="0" applyNumberFormat="1" applyFont="1" applyAlignment="1">
      <alignment/>
    </xf>
    <xf numFmtId="193" fontId="35" fillId="0" borderId="99" xfId="0" applyNumberFormat="1" applyFont="1" applyBorder="1" applyAlignment="1" applyProtection="1">
      <alignment horizontal="center" vertical="center" wrapText="1"/>
      <protection/>
    </xf>
    <xf numFmtId="49" fontId="73" fillId="0" borderId="100" xfId="0" applyNumberFormat="1" applyFont="1" applyBorder="1" applyAlignment="1" applyProtection="1">
      <alignment horizontal="left" vertical="center" wrapText="1"/>
      <protection/>
    </xf>
    <xf numFmtId="186" fontId="35" fillId="0" borderId="22" xfId="0" applyNumberFormat="1" applyFont="1" applyBorder="1" applyAlignment="1" applyProtection="1">
      <alignment horizontal="center" vertical="center" wrapText="1"/>
      <protection/>
    </xf>
    <xf numFmtId="192" fontId="35" fillId="0" borderId="22" xfId="0" applyNumberFormat="1" applyFont="1" applyBorder="1" applyAlignment="1" applyProtection="1">
      <alignment horizontal="center" vertical="center" wrapText="1"/>
      <protection/>
    </xf>
    <xf numFmtId="0" fontId="46" fillId="0" borderId="0" xfId="0" applyFont="1" applyFill="1" applyBorder="1" applyAlignment="1" applyProtection="1">
      <alignment/>
      <protection/>
    </xf>
    <xf numFmtId="0" fontId="85" fillId="0" borderId="0" xfId="0" applyFont="1" applyAlignment="1">
      <alignment/>
    </xf>
    <xf numFmtId="0" fontId="85" fillId="0" borderId="0" xfId="0" applyFont="1" applyAlignment="1">
      <alignment horizontal="right"/>
    </xf>
    <xf numFmtId="0" fontId="85" fillId="0" borderId="0" xfId="0" applyFont="1" applyAlignment="1" applyProtection="1">
      <alignment/>
      <protection/>
    </xf>
    <xf numFmtId="0" fontId="85" fillId="0" borderId="0" xfId="0" applyFont="1" applyAlignment="1" applyProtection="1">
      <alignment horizontal="right"/>
      <protection/>
    </xf>
    <xf numFmtId="173" fontId="36" fillId="0" borderId="0" xfId="99" applyFont="1" applyFill="1" applyAlignment="1">
      <alignment vertical="center"/>
      <protection/>
    </xf>
    <xf numFmtId="0" fontId="85" fillId="0" borderId="0" xfId="0" applyFont="1" applyBorder="1" applyAlignment="1" applyProtection="1">
      <alignment/>
      <protection/>
    </xf>
    <xf numFmtId="0" fontId="86" fillId="0" borderId="0" xfId="0" applyFont="1" applyBorder="1" applyAlignment="1" applyProtection="1">
      <alignment horizontal="left" vertical="center"/>
      <protection/>
    </xf>
    <xf numFmtId="0" fontId="86" fillId="0" borderId="0" xfId="0" applyFont="1" applyBorder="1" applyAlignment="1" applyProtection="1">
      <alignment horizontal="left"/>
      <protection/>
    </xf>
    <xf numFmtId="195" fontId="86" fillId="0" borderId="0" xfId="0" applyNumberFormat="1" applyFont="1" applyBorder="1" applyAlignment="1" applyProtection="1">
      <alignment horizontal="left"/>
      <protection/>
    </xf>
    <xf numFmtId="0" fontId="85" fillId="0" borderId="0" xfId="0" applyFont="1" applyBorder="1" applyAlignment="1">
      <alignment/>
    </xf>
    <xf numFmtId="0" fontId="88" fillId="0" borderId="0" xfId="0" applyFont="1" applyAlignment="1" applyProtection="1">
      <alignment/>
      <protection/>
    </xf>
    <xf numFmtId="0" fontId="91" fillId="0" borderId="0" xfId="0" applyFont="1" applyFill="1" applyBorder="1" applyAlignment="1" applyProtection="1">
      <alignment horizontal="right"/>
      <protection/>
    </xf>
    <xf numFmtId="0" fontId="88" fillId="0" borderId="0" xfId="0" applyFont="1" applyAlignment="1">
      <alignment/>
    </xf>
    <xf numFmtId="0" fontId="59" fillId="0" borderId="101" xfId="0" applyFont="1" applyFill="1" applyBorder="1" applyAlignment="1" applyProtection="1">
      <alignment horizontal="center" vertical="center" wrapText="1"/>
      <protection/>
    </xf>
    <xf numFmtId="0" fontId="92" fillId="0" borderId="102" xfId="0" applyNumberFormat="1" applyFont="1" applyFill="1" applyBorder="1" applyAlignment="1" applyProtection="1">
      <alignment horizontal="right"/>
      <protection/>
    </xf>
    <xf numFmtId="9" fontId="93" fillId="0" borderId="0" xfId="0" applyNumberFormat="1" applyFont="1" applyFill="1" applyBorder="1" applyAlignment="1" applyProtection="1">
      <alignment/>
      <protection/>
    </xf>
    <xf numFmtId="0" fontId="59" fillId="0" borderId="103" xfId="0" applyFont="1" applyFill="1" applyBorder="1" applyAlignment="1" applyProtection="1">
      <alignment horizontal="center"/>
      <protection/>
    </xf>
    <xf numFmtId="0" fontId="92" fillId="0" borderId="104" xfId="0" applyNumberFormat="1" applyFont="1" applyFill="1" applyBorder="1" applyAlignment="1" applyProtection="1">
      <alignment horizontal="right"/>
      <protection/>
    </xf>
    <xf numFmtId="0" fontId="59" fillId="0" borderId="105" xfId="0" applyFont="1" applyFill="1" applyBorder="1" applyAlignment="1" applyProtection="1">
      <alignment horizontal="center"/>
      <protection/>
    </xf>
    <xf numFmtId="0" fontId="92" fillId="0" borderId="106" xfId="0" applyNumberFormat="1" applyFont="1" applyFill="1" applyBorder="1" applyAlignment="1" applyProtection="1">
      <alignment horizontal="right"/>
      <protection/>
    </xf>
    <xf numFmtId="0" fontId="94" fillId="0" borderId="0" xfId="0" applyFont="1" applyFill="1" applyBorder="1" applyAlignment="1" applyProtection="1">
      <alignment horizontal="center"/>
      <protection/>
    </xf>
    <xf numFmtId="0" fontId="92" fillId="0" borderId="0" xfId="0" applyNumberFormat="1" applyFont="1" applyFill="1" applyBorder="1" applyAlignment="1" applyProtection="1">
      <alignment horizontal="right"/>
      <protection/>
    </xf>
    <xf numFmtId="0" fontId="23" fillId="0" borderId="0" xfId="0" applyFont="1" applyFill="1" applyBorder="1" applyAlignment="1" applyProtection="1">
      <alignment horizontal="center" vertical="center"/>
      <protection/>
    </xf>
    <xf numFmtId="9" fontId="93" fillId="0" borderId="0" xfId="0" applyNumberFormat="1" applyFont="1" applyFill="1" applyBorder="1" applyAlignment="1" applyProtection="1">
      <alignment horizontal="center"/>
      <protection/>
    </xf>
    <xf numFmtId="0" fontId="88" fillId="0" borderId="0" xfId="0" applyFont="1" applyFill="1" applyAlignment="1">
      <alignment/>
    </xf>
    <xf numFmtId="196" fontId="95" fillId="2" borderId="0" xfId="0" applyNumberFormat="1" applyFont="1" applyFill="1" applyBorder="1" applyAlignment="1" applyProtection="1">
      <alignment vertical="center"/>
      <protection/>
    </xf>
    <xf numFmtId="0" fontId="92" fillId="2" borderId="0" xfId="0" applyNumberFormat="1" applyFont="1" applyFill="1" applyBorder="1" applyAlignment="1" applyProtection="1">
      <alignment horizontal="right"/>
      <protection/>
    </xf>
    <xf numFmtId="0" fontId="23" fillId="2" borderId="0" xfId="0" applyFont="1" applyFill="1" applyBorder="1" applyAlignment="1" applyProtection="1">
      <alignment horizontal="center" vertical="center"/>
      <protection/>
    </xf>
    <xf numFmtId="0" fontId="96" fillId="2" borderId="0" xfId="0" applyFont="1" applyFill="1" applyBorder="1" applyAlignment="1" applyProtection="1">
      <alignment horizontal="center" vertical="center"/>
      <protection/>
    </xf>
    <xf numFmtId="185" fontId="95" fillId="2" borderId="0" xfId="110" applyNumberFormat="1" applyFont="1" applyFill="1" applyBorder="1" applyAlignment="1" applyProtection="1">
      <alignment horizontal="right"/>
      <protection/>
    </xf>
    <xf numFmtId="9" fontId="97" fillId="2" borderId="0" xfId="0" applyNumberFormat="1" applyFont="1" applyFill="1" applyBorder="1" applyAlignment="1" applyProtection="1">
      <alignment/>
      <protection/>
    </xf>
    <xf numFmtId="0" fontId="98" fillId="2" borderId="0" xfId="0" applyFont="1" applyFill="1" applyBorder="1" applyAlignment="1" applyProtection="1">
      <alignment horizontal="center" vertical="center"/>
      <protection/>
    </xf>
    <xf numFmtId="9" fontId="97" fillId="2" borderId="0" xfId="0" applyNumberFormat="1" applyFont="1" applyFill="1" applyBorder="1" applyAlignment="1" applyProtection="1">
      <alignment horizontal="left"/>
      <protection/>
    </xf>
    <xf numFmtId="0" fontId="73" fillId="0" borderId="0" xfId="0" applyFont="1" applyBorder="1" applyAlignment="1" applyProtection="1">
      <alignment horizontal="center" vertical="center"/>
      <protection/>
    </xf>
    <xf numFmtId="0" fontId="95" fillId="2" borderId="0" xfId="0" applyFont="1" applyFill="1" applyBorder="1" applyAlignment="1" applyProtection="1">
      <alignment horizontal="left" vertical="center"/>
      <protection/>
    </xf>
    <xf numFmtId="178" fontId="99" fillId="0" borderId="0" xfId="0" applyNumberFormat="1" applyFont="1" applyFill="1" applyBorder="1" applyAlignment="1" applyProtection="1">
      <alignment horizontal="right" vertical="center"/>
      <protection/>
    </xf>
    <xf numFmtId="0" fontId="100" fillId="2" borderId="0" xfId="0" applyFont="1" applyFill="1" applyBorder="1" applyAlignment="1" applyProtection="1">
      <alignment horizontal="left" vertical="center"/>
      <protection/>
    </xf>
    <xf numFmtId="0" fontId="59" fillId="0" borderId="107" xfId="0" applyNumberFormat="1" applyFont="1" applyFill="1" applyBorder="1" applyAlignment="1" applyProtection="1">
      <alignment horizontal="center"/>
      <protection/>
    </xf>
    <xf numFmtId="0" fontId="92" fillId="0" borderId="108" xfId="0" applyNumberFormat="1" applyFont="1" applyFill="1" applyBorder="1" applyAlignment="1" applyProtection="1">
      <alignment horizontal="right"/>
      <protection/>
    </xf>
    <xf numFmtId="9" fontId="97" fillId="0" borderId="0" xfId="0" applyNumberFormat="1" applyFont="1" applyFill="1" applyBorder="1" applyAlignment="1" applyProtection="1">
      <alignment/>
      <protection/>
    </xf>
    <xf numFmtId="0" fontId="59" fillId="0" borderId="109" xfId="0" applyNumberFormat="1" applyFont="1" applyFill="1" applyBorder="1" applyAlignment="1" applyProtection="1">
      <alignment horizontal="center"/>
      <protection/>
    </xf>
    <xf numFmtId="0" fontId="92" fillId="0" borderId="110" xfId="0" applyNumberFormat="1" applyFont="1" applyFill="1" applyBorder="1" applyAlignment="1" applyProtection="1">
      <alignment horizontal="right"/>
      <protection/>
    </xf>
    <xf numFmtId="0" fontId="85" fillId="0" borderId="0" xfId="0" applyNumberFormat="1" applyFont="1" applyBorder="1" applyAlignment="1">
      <alignment/>
    </xf>
    <xf numFmtId="0" fontId="59" fillId="0" borderId="109" xfId="0" applyNumberFormat="1" applyFont="1" applyFill="1" applyBorder="1" applyAlignment="1" applyProtection="1">
      <alignment horizontal="center" vertical="center"/>
      <protection/>
    </xf>
    <xf numFmtId="0" fontId="59" fillId="0" borderId="111" xfId="0" applyNumberFormat="1" applyFont="1" applyFill="1" applyBorder="1" applyAlignment="1" applyProtection="1">
      <alignment horizontal="center" vertical="center"/>
      <protection/>
    </xf>
    <xf numFmtId="0" fontId="92" fillId="0" borderId="112" xfId="0" applyNumberFormat="1" applyFont="1" applyFill="1" applyBorder="1" applyAlignment="1" applyProtection="1">
      <alignment horizontal="right"/>
      <protection/>
    </xf>
    <xf numFmtId="0" fontId="102" fillId="0" borderId="0" xfId="0" applyFont="1" applyFill="1" applyBorder="1" applyAlignment="1" applyProtection="1">
      <alignment/>
      <protection/>
    </xf>
    <xf numFmtId="0" fontId="103" fillId="0" borderId="0" xfId="0" applyFont="1" applyFill="1" applyBorder="1" applyAlignment="1" applyProtection="1">
      <alignment/>
      <protection/>
    </xf>
    <xf numFmtId="0" fontId="104" fillId="0" borderId="0" xfId="0" applyFont="1" applyFill="1" applyBorder="1" applyAlignment="1" applyProtection="1">
      <alignment horizontal="center" vertical="center"/>
      <protection/>
    </xf>
    <xf numFmtId="0" fontId="105" fillId="0" borderId="0" xfId="0" applyFont="1" applyFill="1" applyBorder="1" applyAlignment="1" applyProtection="1">
      <alignment horizontal="center" vertical="center"/>
      <protection/>
    </xf>
    <xf numFmtId="0" fontId="105" fillId="0" borderId="0" xfId="0" applyFont="1" applyFill="1" applyBorder="1" applyAlignment="1" applyProtection="1">
      <alignment horizontal="right" vertical="center" indent="1"/>
      <protection/>
    </xf>
    <xf numFmtId="0" fontId="106" fillId="0" borderId="0" xfId="0" applyFont="1" applyFill="1" applyBorder="1" applyAlignment="1" applyProtection="1">
      <alignment horizontal="center"/>
      <protection/>
    </xf>
    <xf numFmtId="0" fontId="107" fillId="0" borderId="113" xfId="0" applyNumberFormat="1" applyFont="1" applyFill="1" applyBorder="1" applyAlignment="1" applyProtection="1">
      <alignment horizontal="center" vertical="center"/>
      <protection/>
    </xf>
    <xf numFmtId="0" fontId="73" fillId="0" borderId="114" xfId="0" applyNumberFormat="1" applyFont="1" applyFill="1" applyBorder="1" applyAlignment="1" applyProtection="1">
      <alignment vertical="center"/>
      <protection/>
    </xf>
    <xf numFmtId="0" fontId="107" fillId="0" borderId="115" xfId="0" applyNumberFormat="1" applyFont="1" applyFill="1" applyBorder="1" applyAlignment="1" applyProtection="1">
      <alignment horizontal="center" vertical="center"/>
      <protection/>
    </xf>
    <xf numFmtId="0" fontId="73" fillId="0" borderId="116" xfId="0" applyNumberFormat="1" applyFont="1" applyFill="1" applyBorder="1" applyAlignment="1" applyProtection="1">
      <alignment vertical="center"/>
      <protection/>
    </xf>
    <xf numFmtId="0" fontId="107" fillId="0" borderId="117" xfId="0" applyNumberFormat="1" applyFont="1" applyFill="1" applyBorder="1" applyAlignment="1" applyProtection="1">
      <alignment horizontal="center" vertical="center"/>
      <protection/>
    </xf>
    <xf numFmtId="0" fontId="73" fillId="0" borderId="118" xfId="0" applyNumberFormat="1" applyFont="1" applyFill="1" applyBorder="1" applyAlignment="1" applyProtection="1">
      <alignment vertical="center"/>
      <protection/>
    </xf>
    <xf numFmtId="0" fontId="73" fillId="0" borderId="119" xfId="0" applyNumberFormat="1" applyFont="1" applyFill="1" applyBorder="1" applyAlignment="1" applyProtection="1">
      <alignment vertical="center"/>
      <protection/>
    </xf>
    <xf numFmtId="175" fontId="0" fillId="0" borderId="0" xfId="0" applyNumberFormat="1" applyAlignment="1">
      <alignment/>
    </xf>
    <xf numFmtId="0" fontId="18" fillId="0" borderId="0" xfId="0" applyFont="1" applyAlignment="1">
      <alignment horizontal="center"/>
    </xf>
    <xf numFmtId="0" fontId="87" fillId="12" borderId="120" xfId="0" applyNumberFormat="1" applyFont="1" applyFill="1" applyBorder="1" applyAlignment="1">
      <alignment vertical="center"/>
    </xf>
    <xf numFmtId="0" fontId="87" fillId="12" borderId="120" xfId="0" applyFont="1" applyFill="1" applyBorder="1" applyAlignment="1">
      <alignment vertical="center"/>
    </xf>
    <xf numFmtId="0" fontId="32" fillId="0" borderId="0" xfId="0" applyFont="1" applyAlignment="1">
      <alignment/>
    </xf>
    <xf numFmtId="0" fontId="46" fillId="0" borderId="0" xfId="0" applyFont="1" applyAlignment="1">
      <alignment/>
    </xf>
    <xf numFmtId="0" fontId="108" fillId="0" borderId="0" xfId="106" applyNumberFormat="1" applyFont="1" applyFill="1" applyBorder="1" applyAlignment="1">
      <alignment horizontal="center" vertical="center" wrapText="1"/>
      <protection/>
    </xf>
    <xf numFmtId="0" fontId="108" fillId="46" borderId="121" xfId="106" applyNumberFormat="1" applyFont="1" applyFill="1" applyBorder="1" applyAlignment="1">
      <alignment horizontal="center" vertical="center" wrapText="1"/>
      <protection/>
    </xf>
    <xf numFmtId="0" fontId="110" fillId="0" borderId="0" xfId="0" applyNumberFormat="1" applyFont="1" applyAlignment="1">
      <alignment/>
    </xf>
    <xf numFmtId="0" fontId="110" fillId="0" borderId="0" xfId="0" applyFont="1" applyAlignment="1">
      <alignment/>
    </xf>
    <xf numFmtId="0" fontId="110" fillId="0" borderId="0" xfId="0" applyFont="1" applyAlignment="1">
      <alignment horizontal="center"/>
    </xf>
    <xf numFmtId="0" fontId="111" fillId="0" borderId="0" xfId="0" applyFont="1" applyBorder="1" applyAlignment="1">
      <alignment/>
    </xf>
    <xf numFmtId="0" fontId="112" fillId="12" borderId="120" xfId="0" applyFont="1" applyFill="1" applyBorder="1" applyAlignment="1">
      <alignment vertical="center"/>
    </xf>
    <xf numFmtId="0" fontId="44" fillId="0" borderId="0" xfId="0" applyFont="1" applyAlignment="1">
      <alignment/>
    </xf>
    <xf numFmtId="0" fontId="113" fillId="12" borderId="22" xfId="0" applyFont="1" applyFill="1" applyBorder="1" applyAlignment="1" applyProtection="1">
      <alignment horizontal="center"/>
      <protection/>
    </xf>
    <xf numFmtId="0" fontId="113" fillId="12" borderId="22" xfId="0" applyFont="1" applyFill="1" applyBorder="1" applyAlignment="1">
      <alignment horizontal="center"/>
    </xf>
    <xf numFmtId="0" fontId="0" fillId="0" borderId="22" xfId="0" applyNumberFormat="1" applyFont="1" applyBorder="1" applyAlignment="1">
      <alignment/>
    </xf>
    <xf numFmtId="0" fontId="0" fillId="0" borderId="22" xfId="0" applyNumberFormat="1" applyFont="1" applyBorder="1" applyAlignment="1">
      <alignment horizontal="center"/>
    </xf>
    <xf numFmtId="0" fontId="69" fillId="0" borderId="22" xfId="0" applyFont="1" applyFill="1" applyBorder="1" applyAlignment="1" applyProtection="1">
      <alignment horizontal="center"/>
      <protection/>
    </xf>
    <xf numFmtId="0" fontId="69" fillId="0" borderId="22" xfId="0" applyFont="1" applyBorder="1" applyAlignment="1" applyProtection="1">
      <alignment horizontal="center"/>
      <protection/>
    </xf>
    <xf numFmtId="0" fontId="114" fillId="0" borderId="22" xfId="0" applyFont="1" applyBorder="1" applyAlignment="1" applyProtection="1">
      <alignment horizontal="left" indent="1"/>
      <protection/>
    </xf>
    <xf numFmtId="0" fontId="0" fillId="0" borderId="22" xfId="0" applyFont="1" applyBorder="1" applyAlignment="1">
      <alignment horizontal="center"/>
    </xf>
    <xf numFmtId="0" fontId="69" fillId="0" borderId="0" xfId="0" applyFont="1" applyFill="1" applyBorder="1" applyAlignment="1" applyProtection="1">
      <alignment/>
      <protection/>
    </xf>
    <xf numFmtId="0" fontId="69" fillId="0" borderId="22" xfId="0" applyFont="1" applyFill="1" applyBorder="1" applyAlignment="1" applyProtection="1">
      <alignment/>
      <protection/>
    </xf>
    <xf numFmtId="173" fontId="69" fillId="0" borderId="22" xfId="102" applyFont="1" applyBorder="1" applyProtection="1">
      <alignment/>
      <protection/>
    </xf>
    <xf numFmtId="0" fontId="0" fillId="0" borderId="22" xfId="0" applyFont="1" applyBorder="1" applyAlignment="1">
      <alignment/>
    </xf>
    <xf numFmtId="0" fontId="0" fillId="0" borderId="22" xfId="0" applyBorder="1" applyAlignment="1">
      <alignment/>
    </xf>
    <xf numFmtId="197" fontId="35" fillId="55" borderId="122" xfId="0" applyNumberFormat="1" applyFont="1" applyFill="1" applyBorder="1" applyAlignment="1" applyProtection="1">
      <alignment/>
      <protection locked="0"/>
    </xf>
    <xf numFmtId="197" fontId="35" fillId="55" borderId="27" xfId="0" applyNumberFormat="1" applyFont="1" applyFill="1" applyBorder="1" applyAlignment="1" applyProtection="1">
      <alignment/>
      <protection locked="0"/>
    </xf>
    <xf numFmtId="178" fontId="35" fillId="55" borderId="27" xfId="0" applyNumberFormat="1" applyFont="1" applyFill="1" applyBorder="1" applyAlignment="1" applyProtection="1">
      <alignment/>
      <protection locked="0"/>
    </xf>
    <xf numFmtId="178" fontId="35" fillId="55" borderId="122" xfId="0" applyNumberFormat="1" applyFont="1" applyFill="1" applyBorder="1" applyAlignment="1" applyProtection="1">
      <alignment/>
      <protection locked="0"/>
    </xf>
    <xf numFmtId="198" fontId="0" fillId="55" borderId="36" xfId="83" applyNumberFormat="1" applyFont="1" applyFill="1" applyBorder="1" applyAlignment="1" applyProtection="1">
      <alignment/>
      <protection locked="0"/>
    </xf>
    <xf numFmtId="198" fontId="0" fillId="55" borderId="37" xfId="83" applyNumberFormat="1" applyFont="1" applyFill="1" applyBorder="1" applyAlignment="1" applyProtection="1">
      <alignment/>
      <protection locked="0"/>
    </xf>
    <xf numFmtId="179" fontId="50" fillId="55" borderId="69" xfId="83" applyNumberFormat="1" applyFont="1" applyFill="1" applyBorder="1" applyAlignment="1" applyProtection="1">
      <alignment/>
      <protection locked="0"/>
    </xf>
    <xf numFmtId="198" fontId="0" fillId="15" borderId="69" xfId="0" applyNumberFormat="1" applyFill="1" applyBorder="1" applyAlignment="1" applyProtection="1">
      <alignment horizontal="right" wrapText="1"/>
      <protection/>
    </xf>
    <xf numFmtId="173" fontId="16" fillId="56" borderId="0" xfId="98" applyFont="1" applyFill="1" applyBorder="1" applyAlignment="1">
      <alignment horizontal="center" vertical="center"/>
      <protection/>
    </xf>
    <xf numFmtId="173" fontId="18" fillId="0" borderId="0" xfId="0" applyNumberFormat="1" applyFont="1" applyBorder="1" applyAlignment="1">
      <alignment horizontal="center"/>
    </xf>
    <xf numFmtId="0" fontId="33" fillId="0" borderId="22" xfId="0" applyNumberFormat="1" applyFont="1" applyBorder="1" applyAlignment="1">
      <alignment horizontal="center" vertical="center" wrapText="1"/>
    </xf>
    <xf numFmtId="0" fontId="0" fillId="0" borderId="22" xfId="0" applyNumberFormat="1" applyFont="1" applyBorder="1" applyAlignment="1">
      <alignment horizontal="center" vertical="center" wrapText="1"/>
    </xf>
    <xf numFmtId="0" fontId="34" fillId="2" borderId="22" xfId="0" applyFont="1" applyFill="1" applyBorder="1" applyAlignment="1" applyProtection="1">
      <alignment vertical="center" wrapText="1"/>
      <protection locked="0"/>
    </xf>
    <xf numFmtId="0" fontId="23" fillId="0" borderId="22" xfId="0" applyFont="1" applyBorder="1" applyAlignment="1" applyProtection="1">
      <alignment horizontal="justify" vertical="center" wrapText="1"/>
      <protection locked="0"/>
    </xf>
    <xf numFmtId="0" fontId="23" fillId="0" borderId="22" xfId="0" applyFont="1" applyBorder="1" applyAlignment="1" applyProtection="1">
      <alignment horizontal="left" vertical="center" wrapText="1"/>
      <protection locked="0"/>
    </xf>
    <xf numFmtId="0" fontId="26" fillId="0" borderId="22" xfId="0" applyFont="1" applyBorder="1" applyAlignment="1" applyProtection="1">
      <alignment vertical="center" wrapText="1"/>
      <protection locked="0"/>
    </xf>
    <xf numFmtId="0" fontId="27" fillId="2" borderId="22" xfId="0" applyFont="1" applyFill="1" applyBorder="1" applyAlignment="1" applyProtection="1">
      <alignment vertical="center" wrapText="1"/>
      <protection locked="0"/>
    </xf>
    <xf numFmtId="0" fontId="23" fillId="0" borderId="22" xfId="0" applyNumberFormat="1" applyFont="1" applyBorder="1" applyAlignment="1" applyProtection="1">
      <alignment horizontal="left" vertical="center" wrapText="1"/>
      <protection locked="0"/>
    </xf>
    <xf numFmtId="0" fontId="27" fillId="14" borderId="22" xfId="0" applyFont="1" applyFill="1" applyBorder="1" applyAlignment="1">
      <alignment vertical="center" wrapText="1"/>
    </xf>
    <xf numFmtId="0" fontId="27" fillId="0" borderId="22" xfId="0" applyFont="1" applyBorder="1" applyAlignment="1" applyProtection="1">
      <alignment vertical="center" wrapText="1"/>
      <protection locked="0"/>
    </xf>
    <xf numFmtId="0" fontId="24" fillId="0" borderId="0" xfId="0" applyNumberFormat="1" applyFont="1" applyBorder="1" applyAlignment="1">
      <alignment horizontal="center"/>
    </xf>
    <xf numFmtId="0" fontId="32" fillId="14" borderId="22" xfId="0" applyNumberFormat="1" applyFont="1" applyFill="1" applyBorder="1" applyAlignment="1">
      <alignment horizontal="center" vertical="center" wrapText="1"/>
    </xf>
    <xf numFmtId="0" fontId="33" fillId="14" borderId="22" xfId="0" applyNumberFormat="1" applyFont="1" applyFill="1" applyBorder="1" applyAlignment="1">
      <alignment horizontal="center" vertical="center"/>
    </xf>
    <xf numFmtId="173" fontId="26" fillId="0" borderId="22" xfId="0" applyNumberFormat="1" applyFont="1" applyBorder="1" applyAlignment="1">
      <alignment horizontal="justify" vertical="center" wrapText="1"/>
    </xf>
    <xf numFmtId="0" fontId="30" fillId="0" borderId="85" xfId="0" applyNumberFormat="1" applyFont="1" applyBorder="1" applyAlignment="1">
      <alignment horizontal="justify" vertical="center" wrapText="1"/>
    </xf>
    <xf numFmtId="0" fontId="30" fillId="0" borderId="22" xfId="0" applyNumberFormat="1" applyFont="1" applyBorder="1" applyAlignment="1">
      <alignment horizontal="left" vertical="center" wrapText="1"/>
    </xf>
    <xf numFmtId="0" fontId="30" fillId="0" borderId="22" xfId="0" applyNumberFormat="1" applyFont="1" applyBorder="1" applyAlignment="1">
      <alignment horizontal="justify" vertical="center" wrapText="1"/>
    </xf>
    <xf numFmtId="173" fontId="26" fillId="0" borderId="22" xfId="0" applyNumberFormat="1" applyFont="1" applyBorder="1" applyAlignment="1">
      <alignment horizontal="left" vertical="center" wrapText="1"/>
    </xf>
    <xf numFmtId="0" fontId="23" fillId="0" borderId="99" xfId="0" applyFont="1" applyBorder="1" applyAlignment="1">
      <alignment horizontal="justify" wrapText="1"/>
    </xf>
    <xf numFmtId="0" fontId="23" fillId="0" borderId="22" xfId="0" applyNumberFormat="1" applyFont="1" applyBorder="1" applyAlignment="1">
      <alignment horizontal="left" vertical="center" wrapText="1"/>
    </xf>
    <xf numFmtId="0" fontId="27" fillId="0" borderId="85" xfId="0" applyFont="1" applyBorder="1" applyAlignment="1">
      <alignment horizontal="justify" vertical="center" wrapText="1"/>
    </xf>
    <xf numFmtId="0" fontId="23" fillId="0" borderId="22" xfId="0" applyNumberFormat="1" applyFont="1" applyBorder="1" applyAlignment="1">
      <alignment horizontal="justify" vertical="center" wrapText="1"/>
    </xf>
    <xf numFmtId="0" fontId="23" fillId="0" borderId="22" xfId="0" applyFont="1" applyBorder="1" applyAlignment="1">
      <alignment horizontal="left" vertical="center" wrapText="1"/>
    </xf>
    <xf numFmtId="0" fontId="23" fillId="0" borderId="22" xfId="0" applyFont="1" applyBorder="1" applyAlignment="1">
      <alignment horizontal="justify" vertical="center" wrapText="1"/>
    </xf>
    <xf numFmtId="0" fontId="27" fillId="0" borderId="22" xfId="0" applyFont="1" applyBorder="1" applyAlignment="1">
      <alignment horizontal="justify" vertical="center" wrapText="1"/>
    </xf>
    <xf numFmtId="0" fontId="25" fillId="15" borderId="22" xfId="0" applyNumberFormat="1" applyFont="1" applyFill="1" applyBorder="1" applyAlignment="1">
      <alignment horizontal="center"/>
    </xf>
    <xf numFmtId="0" fontId="0" fillId="0" borderId="0" xfId="0" applyBorder="1" applyAlignment="1">
      <alignment horizontal="center"/>
    </xf>
    <xf numFmtId="0" fontId="0" fillId="0" borderId="0" xfId="0" applyBorder="1" applyAlignment="1">
      <alignment horizontal="center" wrapText="1"/>
    </xf>
    <xf numFmtId="0" fontId="0" fillId="0" borderId="123" xfId="0" applyBorder="1" applyAlignment="1">
      <alignment horizontal="center"/>
    </xf>
    <xf numFmtId="0" fontId="0" fillId="0" borderId="123" xfId="0" applyBorder="1" applyAlignment="1">
      <alignment horizontal="center" wrapText="1"/>
    </xf>
    <xf numFmtId="9" fontId="27" fillId="0" borderId="22" xfId="110" applyFont="1" applyFill="1" applyBorder="1" applyAlignment="1" applyProtection="1">
      <alignment horizontal="justify" vertical="center" wrapText="1"/>
      <protection/>
    </xf>
    <xf numFmtId="9" fontId="23" fillId="0" borderId="22" xfId="0" applyNumberFormat="1" applyFont="1" applyBorder="1" applyAlignment="1">
      <alignment horizontal="left" vertical="center" wrapText="1"/>
    </xf>
    <xf numFmtId="173" fontId="16" fillId="57" borderId="0" xfId="97" applyFont="1" applyFill="1" applyBorder="1" applyAlignment="1" applyProtection="1">
      <alignment horizontal="center" vertical="center"/>
      <protection/>
    </xf>
    <xf numFmtId="0" fontId="25" fillId="3" borderId="22" xfId="0" applyNumberFormat="1" applyFont="1" applyFill="1" applyBorder="1" applyAlignment="1">
      <alignment horizontal="center"/>
    </xf>
    <xf numFmtId="0" fontId="1" fillId="50" borderId="124" xfId="0" applyFont="1" applyFill="1" applyBorder="1" applyAlignment="1" applyProtection="1">
      <alignment horizontal="left" vertical="center" wrapText="1"/>
      <protection/>
    </xf>
    <xf numFmtId="0" fontId="1" fillId="50" borderId="125" xfId="0" applyFont="1" applyFill="1" applyBorder="1" applyAlignment="1" applyProtection="1">
      <alignment horizontal="center" vertical="center" wrapText="1"/>
      <protection/>
    </xf>
    <xf numFmtId="0" fontId="1" fillId="50" borderId="126" xfId="0" applyFont="1" applyFill="1" applyBorder="1" applyAlignment="1" applyProtection="1">
      <alignment horizontal="center" vertical="center" wrapText="1"/>
      <protection/>
    </xf>
    <xf numFmtId="0" fontId="1" fillId="0" borderId="124" xfId="0" applyFont="1" applyFill="1" applyBorder="1" applyAlignment="1" applyProtection="1">
      <alignment horizontal="left" vertical="center" wrapText="1"/>
      <protection/>
    </xf>
    <xf numFmtId="0" fontId="1" fillId="0" borderId="125" xfId="0" applyFont="1" applyFill="1" applyBorder="1" applyAlignment="1" applyProtection="1">
      <alignment horizontal="center" vertical="center" wrapText="1"/>
      <protection/>
    </xf>
    <xf numFmtId="0" fontId="1" fillId="0" borderId="126" xfId="0" applyFont="1" applyFill="1" applyBorder="1" applyAlignment="1" applyProtection="1">
      <alignment horizontal="center" vertical="center" wrapText="1"/>
      <protection/>
    </xf>
    <xf numFmtId="49" fontId="1" fillId="14" borderId="127" xfId="0" applyNumberFormat="1" applyFont="1" applyFill="1" applyBorder="1" applyAlignment="1" applyProtection="1">
      <alignment horizontal="left" vertical="center" wrapText="1"/>
      <protection/>
    </xf>
    <xf numFmtId="0" fontId="1" fillId="14" borderId="77" xfId="0" applyNumberFormat="1" applyFont="1" applyFill="1" applyBorder="1" applyAlignment="1" applyProtection="1">
      <alignment horizontal="center" vertical="center" wrapText="1"/>
      <protection/>
    </xf>
    <xf numFmtId="49" fontId="1" fillId="14" borderId="21" xfId="0" applyNumberFormat="1" applyFont="1" applyFill="1" applyBorder="1" applyAlignment="1" applyProtection="1">
      <alignment horizontal="center" vertical="center" wrapText="1"/>
      <protection/>
    </xf>
    <xf numFmtId="0" fontId="1" fillId="0" borderId="128" xfId="0" applyFont="1" applyFill="1" applyBorder="1" applyAlignment="1" applyProtection="1">
      <alignment horizontal="left" vertical="center" wrapText="1"/>
      <protection/>
    </xf>
    <xf numFmtId="49" fontId="1" fillId="51" borderId="129" xfId="0" applyNumberFormat="1" applyFont="1" applyFill="1" applyBorder="1" applyAlignment="1" applyProtection="1">
      <alignment horizontal="left" vertical="center" wrapText="1"/>
      <protection/>
    </xf>
    <xf numFmtId="49" fontId="60" fillId="0" borderId="130" xfId="0" applyNumberFormat="1" applyFont="1" applyFill="1" applyBorder="1" applyAlignment="1" applyProtection="1">
      <alignment horizontal="center" vertical="center" wrapText="1"/>
      <protection/>
    </xf>
    <xf numFmtId="49" fontId="1" fillId="14" borderId="125" xfId="0" applyNumberFormat="1" applyFont="1" applyFill="1" applyBorder="1" applyAlignment="1" applyProtection="1">
      <alignment horizontal="left" vertical="center" wrapText="1"/>
      <protection/>
    </xf>
    <xf numFmtId="0" fontId="1" fillId="14" borderId="125" xfId="0" applyNumberFormat="1" applyFont="1" applyFill="1" applyBorder="1" applyAlignment="1" applyProtection="1">
      <alignment horizontal="center" vertical="center" wrapText="1"/>
      <protection/>
    </xf>
    <xf numFmtId="49" fontId="1" fillId="14" borderId="126" xfId="0" applyNumberFormat="1" applyFont="1" applyFill="1" applyBorder="1" applyAlignment="1" applyProtection="1">
      <alignment horizontal="center" vertical="center" wrapText="1"/>
      <protection/>
    </xf>
    <xf numFmtId="49" fontId="1" fillId="51" borderId="125" xfId="0" applyNumberFormat="1" applyFont="1" applyFill="1" applyBorder="1" applyAlignment="1" applyProtection="1">
      <alignment horizontal="left" vertical="center" wrapText="1"/>
      <protection/>
    </xf>
    <xf numFmtId="0" fontId="1" fillId="51" borderId="125" xfId="0" applyNumberFormat="1" applyFont="1" applyFill="1" applyBorder="1" applyAlignment="1" applyProtection="1">
      <alignment horizontal="left" vertical="center" wrapText="1"/>
      <protection/>
    </xf>
    <xf numFmtId="0" fontId="1" fillId="14" borderId="125" xfId="0" applyNumberFormat="1" applyFont="1" applyFill="1" applyBorder="1" applyAlignment="1" applyProtection="1">
      <alignment horizontal="left" vertical="center" wrapText="1"/>
      <protection/>
    </xf>
    <xf numFmtId="173" fontId="59" fillId="0" borderId="77" xfId="0" applyNumberFormat="1" applyFont="1" applyFill="1" applyBorder="1" applyAlignment="1" applyProtection="1">
      <alignment horizontal="center" vertical="center"/>
      <protection/>
    </xf>
    <xf numFmtId="176" fontId="0" fillId="12" borderId="86" xfId="0" applyNumberFormat="1" applyFont="1" applyFill="1" applyBorder="1" applyAlignment="1" applyProtection="1">
      <alignment horizontal="center" vertical="center" textRotation="90"/>
      <protection/>
    </xf>
    <xf numFmtId="0" fontId="0" fillId="0" borderId="131" xfId="0" applyBorder="1" applyAlignment="1" applyProtection="1">
      <alignment horizontal="center"/>
      <protection/>
    </xf>
    <xf numFmtId="173" fontId="0" fillId="0" borderId="59" xfId="0" applyNumberFormat="1" applyFont="1" applyBorder="1" applyAlignment="1" applyProtection="1">
      <alignment horizontal="left"/>
      <protection/>
    </xf>
    <xf numFmtId="173" fontId="0" fillId="0" borderId="61" xfId="0" applyNumberFormat="1" applyFont="1" applyBorder="1" applyAlignment="1" applyProtection="1">
      <alignment horizontal="left"/>
      <protection/>
    </xf>
    <xf numFmtId="173" fontId="0" fillId="0" borderId="93" xfId="0" applyNumberFormat="1" applyFont="1" applyFill="1" applyBorder="1" applyAlignment="1" applyProtection="1">
      <alignment horizontal="left" vertical="center"/>
      <protection locked="0"/>
    </xf>
    <xf numFmtId="173" fontId="21" fillId="0" borderId="132" xfId="0" applyNumberFormat="1" applyFont="1" applyBorder="1" applyAlignment="1" applyProtection="1">
      <alignment horizontal="right"/>
      <protection/>
    </xf>
    <xf numFmtId="173" fontId="32" fillId="0" borderId="133" xfId="0" applyNumberFormat="1" applyFont="1" applyBorder="1" applyAlignment="1" applyProtection="1">
      <alignment horizontal="center"/>
      <protection/>
    </xf>
    <xf numFmtId="0" fontId="0" fillId="33" borderId="134" xfId="0" applyFill="1" applyBorder="1" applyAlignment="1" applyProtection="1">
      <alignment horizontal="center"/>
      <protection/>
    </xf>
    <xf numFmtId="173" fontId="46" fillId="0" borderId="135" xfId="0" applyNumberFormat="1" applyFont="1" applyBorder="1" applyAlignment="1" applyProtection="1">
      <alignment horizontal="center" wrapText="1"/>
      <protection/>
    </xf>
    <xf numFmtId="173" fontId="36" fillId="57" borderId="0" xfId="89" applyFont="1" applyFill="1" applyBorder="1" applyAlignment="1" applyProtection="1">
      <alignment horizontal="center" vertical="center"/>
      <protection/>
    </xf>
    <xf numFmtId="173" fontId="38" fillId="0" borderId="0" xfId="0" applyNumberFormat="1" applyFont="1" applyBorder="1" applyAlignment="1" applyProtection="1">
      <alignment horizontal="right"/>
      <protection/>
    </xf>
    <xf numFmtId="0" fontId="0" fillId="14" borderId="22" xfId="0" applyFill="1" applyBorder="1" applyAlignment="1" applyProtection="1">
      <alignment horizontal="center"/>
      <protection/>
    </xf>
    <xf numFmtId="173" fontId="39" fillId="0" borderId="136" xfId="0" applyNumberFormat="1" applyFont="1" applyBorder="1" applyAlignment="1" applyProtection="1">
      <alignment horizontal="right"/>
      <protection/>
    </xf>
    <xf numFmtId="173" fontId="38" fillId="0" borderId="137" xfId="0" applyNumberFormat="1" applyFont="1" applyBorder="1" applyAlignment="1" applyProtection="1">
      <alignment horizontal="right"/>
      <protection/>
    </xf>
    <xf numFmtId="49" fontId="32" fillId="0" borderId="22" xfId="0" applyNumberFormat="1" applyFont="1" applyBorder="1" applyAlignment="1" applyProtection="1">
      <alignment horizontal="center"/>
      <protection locked="0"/>
    </xf>
    <xf numFmtId="175" fontId="0" fillId="0" borderId="22" xfId="126" applyNumberFormat="1" applyFont="1" applyFill="1" applyBorder="1" applyAlignment="1" applyProtection="1">
      <alignment horizontal="center"/>
      <protection locked="0"/>
    </xf>
    <xf numFmtId="173" fontId="38" fillId="0" borderId="136" xfId="0" applyNumberFormat="1" applyFont="1" applyBorder="1" applyAlignment="1" applyProtection="1">
      <alignment horizontal="right"/>
      <protection/>
    </xf>
    <xf numFmtId="173" fontId="0" fillId="0" borderId="22" xfId="0" applyNumberFormat="1" applyFont="1" applyBorder="1" applyAlignment="1" applyProtection="1">
      <alignment horizontal="center"/>
      <protection locked="0"/>
    </xf>
    <xf numFmtId="173" fontId="2" fillId="31" borderId="22" xfId="126" applyNumberFormat="1" applyFont="1" applyFill="1" applyBorder="1" applyAlignment="1" applyProtection="1">
      <alignment horizontal="center"/>
      <protection locked="0"/>
    </xf>
    <xf numFmtId="173" fontId="38" fillId="0" borderId="23" xfId="0" applyNumberFormat="1" applyFont="1" applyBorder="1" applyAlignment="1" applyProtection="1">
      <alignment horizontal="right"/>
      <protection/>
    </xf>
    <xf numFmtId="49" fontId="0" fillId="0" borderId="69" xfId="0" applyNumberFormat="1" applyFont="1" applyBorder="1" applyAlignment="1" applyProtection="1">
      <alignment horizontal="center"/>
      <protection locked="0"/>
    </xf>
    <xf numFmtId="49" fontId="0" fillId="0" borderId="22" xfId="0" applyNumberFormat="1" applyFont="1" applyBorder="1" applyAlignment="1" applyProtection="1">
      <alignment horizontal="center"/>
      <protection locked="0"/>
    </xf>
    <xf numFmtId="174" fontId="0" fillId="0" borderId="69" xfId="0" applyNumberFormat="1" applyBorder="1" applyAlignment="1" applyProtection="1">
      <alignment horizontal="center"/>
      <protection locked="0"/>
    </xf>
    <xf numFmtId="49" fontId="0" fillId="0" borderId="69" xfId="0" applyNumberFormat="1" applyFont="1" applyBorder="1" applyAlignment="1" applyProtection="1">
      <alignment horizontal="center" wrapText="1"/>
      <protection locked="0"/>
    </xf>
    <xf numFmtId="173" fontId="33" fillId="15" borderId="91" xfId="126" applyNumberFormat="1" applyFont="1" applyFill="1" applyBorder="1" applyAlignment="1" applyProtection="1">
      <alignment horizontal="center"/>
      <protection/>
    </xf>
    <xf numFmtId="173" fontId="0" fillId="0" borderId="91" xfId="126" applyNumberFormat="1" applyFont="1" applyFill="1" applyBorder="1" applyAlignment="1" applyProtection="1">
      <alignment horizontal="right"/>
      <protection/>
    </xf>
    <xf numFmtId="175" fontId="33" fillId="15" borderId="91" xfId="126" applyNumberFormat="1" applyFont="1" applyFill="1" applyBorder="1" applyAlignment="1" applyProtection="1">
      <alignment horizontal="center"/>
      <protection/>
    </xf>
    <xf numFmtId="173" fontId="67" fillId="56" borderId="91" xfId="126" applyNumberFormat="1" applyFont="1" applyFill="1" applyBorder="1" applyAlignment="1" applyProtection="1">
      <alignment horizontal="center"/>
      <protection/>
    </xf>
    <xf numFmtId="189" fontId="33" fillId="15" borderId="91" xfId="126" applyNumberFormat="1" applyFont="1" applyFill="1" applyBorder="1" applyAlignment="1" applyProtection="1">
      <alignment horizontal="center" vertical="center"/>
      <protection/>
    </xf>
    <xf numFmtId="173" fontId="16" fillId="57" borderId="0" xfId="89" applyFont="1" applyFill="1" applyBorder="1" applyAlignment="1" applyProtection="1">
      <alignment horizontal="center" vertical="center"/>
      <protection/>
    </xf>
    <xf numFmtId="173" fontId="18" fillId="15" borderId="0" xfId="101" applyFont="1" applyFill="1" applyBorder="1" applyAlignment="1" applyProtection="1">
      <alignment horizontal="center" vertical="center" wrapText="1"/>
      <protection/>
    </xf>
    <xf numFmtId="173" fontId="63" fillId="0" borderId="0" xfId="101" applyFont="1" applyFill="1" applyBorder="1" applyAlignment="1" applyProtection="1">
      <alignment horizontal="right" vertical="center"/>
      <protection/>
    </xf>
    <xf numFmtId="173" fontId="33" fillId="15" borderId="0" xfId="101" applyFont="1" applyFill="1" applyBorder="1" applyAlignment="1" applyProtection="1">
      <alignment horizontal="center" vertical="center" wrapText="1"/>
      <protection/>
    </xf>
    <xf numFmtId="0" fontId="78" fillId="0" borderId="138" xfId="0" applyFont="1" applyFill="1" applyBorder="1" applyAlignment="1" applyProtection="1">
      <alignment horizontal="left" wrapText="1"/>
      <protection/>
    </xf>
    <xf numFmtId="173" fontId="77" fillId="0" borderId="134" xfId="0" applyNumberFormat="1" applyFont="1" applyBorder="1" applyAlignment="1" applyProtection="1">
      <alignment horizontal="center" vertical="center" wrapText="1"/>
      <protection/>
    </xf>
    <xf numFmtId="0" fontId="0" fillId="0" borderId="139" xfId="0" applyBorder="1" applyAlignment="1" applyProtection="1">
      <alignment horizontal="center"/>
      <protection/>
    </xf>
    <xf numFmtId="0" fontId="78" fillId="0" borderId="140" xfId="0" applyFont="1" applyFill="1" applyBorder="1" applyAlignment="1" applyProtection="1">
      <alignment horizontal="left" wrapText="1"/>
      <protection/>
    </xf>
    <xf numFmtId="0" fontId="71" fillId="0" borderId="0" xfId="0" applyFont="1" applyBorder="1" applyAlignment="1" applyProtection="1">
      <alignment horizontal="center"/>
      <protection/>
    </xf>
    <xf numFmtId="0" fontId="75" fillId="14" borderId="69" xfId="0" applyFont="1" applyFill="1" applyBorder="1" applyAlignment="1" applyProtection="1">
      <alignment horizontal="left" vertical="center" wrapText="1"/>
      <protection locked="0"/>
    </xf>
    <xf numFmtId="0" fontId="70" fillId="14" borderId="22" xfId="0" applyFont="1" applyFill="1" applyBorder="1" applyAlignment="1" applyProtection="1">
      <alignment horizontal="left" vertical="center" wrapText="1"/>
      <protection locked="0"/>
    </xf>
    <xf numFmtId="0" fontId="73" fillId="14" borderId="22" xfId="0" applyFont="1" applyFill="1" applyBorder="1" applyAlignment="1" applyProtection="1">
      <alignment horizontal="left" wrapText="1"/>
      <protection locked="0"/>
    </xf>
    <xf numFmtId="173" fontId="2" fillId="56" borderId="0" xfId="126" applyNumberFormat="1" applyFont="1" applyFill="1" applyBorder="1" applyAlignment="1" applyProtection="1">
      <alignment horizontal="center"/>
      <protection/>
    </xf>
    <xf numFmtId="173" fontId="32" fillId="0" borderId="0" xfId="0" applyNumberFormat="1" applyFont="1" applyBorder="1" applyAlignment="1" applyProtection="1">
      <alignment horizontal="center"/>
      <protection/>
    </xf>
    <xf numFmtId="173" fontId="35" fillId="0" borderId="0" xfId="0" applyNumberFormat="1" applyFont="1" applyBorder="1" applyAlignment="1" applyProtection="1">
      <alignment horizontal="right"/>
      <protection/>
    </xf>
    <xf numFmtId="173" fontId="32" fillId="0" borderId="0" xfId="0" applyNumberFormat="1" applyFont="1" applyBorder="1" applyAlignment="1" applyProtection="1">
      <alignment horizontal="center" wrapText="1"/>
      <protection/>
    </xf>
    <xf numFmtId="173" fontId="35" fillId="0" borderId="0" xfId="0" applyNumberFormat="1" applyFont="1" applyBorder="1" applyAlignment="1" applyProtection="1">
      <alignment horizontal="left"/>
      <protection/>
    </xf>
    <xf numFmtId="0" fontId="0" fillId="0" borderId="93" xfId="0" applyFill="1" applyBorder="1" applyAlignment="1" applyProtection="1">
      <alignment horizontal="center" vertical="center"/>
      <protection/>
    </xf>
    <xf numFmtId="0" fontId="80" fillId="0" borderId="0" xfId="0" applyFont="1" applyBorder="1" applyAlignment="1">
      <alignment horizontal="left" wrapText="1"/>
    </xf>
    <xf numFmtId="0" fontId="79" fillId="14" borderId="22" xfId="0" applyFont="1" applyFill="1" applyBorder="1" applyAlignment="1" applyProtection="1">
      <alignment horizontal="left" vertical="center" wrapText="1"/>
      <protection locked="0"/>
    </xf>
    <xf numFmtId="0" fontId="73" fillId="14" borderId="22" xfId="0" applyFont="1" applyFill="1" applyBorder="1" applyAlignment="1" applyProtection="1">
      <alignment horizontal="left" vertical="center" wrapText="1"/>
      <protection locked="0"/>
    </xf>
    <xf numFmtId="0" fontId="32" fillId="0" borderId="0" xfId="0" applyFont="1" applyBorder="1" applyAlignment="1">
      <alignment horizontal="center"/>
    </xf>
    <xf numFmtId="173" fontId="32" fillId="0" borderId="0" xfId="0" applyNumberFormat="1" applyFont="1" applyBorder="1" applyAlignment="1">
      <alignment horizontal="center"/>
    </xf>
    <xf numFmtId="173" fontId="35" fillId="0" borderId="0" xfId="0" applyNumberFormat="1" applyFont="1" applyBorder="1" applyAlignment="1">
      <alignment horizontal="right"/>
    </xf>
    <xf numFmtId="173" fontId="36" fillId="57" borderId="0" xfId="99" applyFont="1" applyFill="1" applyBorder="1" applyAlignment="1">
      <alignment horizontal="center" vertical="center"/>
      <protection/>
    </xf>
    <xf numFmtId="173" fontId="35" fillId="0" borderId="0" xfId="0" applyNumberFormat="1" applyFont="1" applyBorder="1" applyAlignment="1">
      <alignment horizontal="left"/>
    </xf>
    <xf numFmtId="0" fontId="71" fillId="0" borderId="0" xfId="0" applyFont="1" applyBorder="1" applyAlignment="1">
      <alignment horizontal="center"/>
    </xf>
    <xf numFmtId="0" fontId="73" fillId="14" borderId="69" xfId="0" applyFont="1" applyFill="1" applyBorder="1" applyAlignment="1" applyProtection="1">
      <alignment horizontal="left" wrapText="1"/>
      <protection locked="0"/>
    </xf>
    <xf numFmtId="0" fontId="84" fillId="0" borderId="0" xfId="0" applyFont="1" applyBorder="1" applyAlignment="1" applyProtection="1">
      <alignment horizontal="left" vertical="center" wrapText="1"/>
      <protection/>
    </xf>
    <xf numFmtId="49" fontId="73" fillId="0" borderId="141" xfId="0" applyNumberFormat="1" applyFont="1" applyBorder="1" applyAlignment="1" applyProtection="1">
      <alignment horizontal="left" vertical="center" wrapText="1"/>
      <protection/>
    </xf>
    <xf numFmtId="9" fontId="35" fillId="0" borderId="22" xfId="110" applyFont="1" applyFill="1" applyBorder="1" applyAlignment="1" applyProtection="1">
      <alignment horizontal="center" vertical="center" wrapText="1"/>
      <protection/>
    </xf>
    <xf numFmtId="9" fontId="73" fillId="14" borderId="22" xfId="110" applyFont="1" applyFill="1" applyBorder="1" applyAlignment="1" applyProtection="1">
      <alignment horizontal="left" vertical="center" wrapText="1"/>
      <protection locked="0"/>
    </xf>
    <xf numFmtId="9" fontId="35" fillId="0" borderId="85" xfId="110" applyFont="1" applyFill="1" applyBorder="1" applyAlignment="1" applyProtection="1">
      <alignment horizontal="center" vertical="center" wrapText="1"/>
      <protection/>
    </xf>
    <xf numFmtId="9" fontId="73" fillId="14" borderId="85" xfId="110" applyFont="1" applyFill="1" applyBorder="1" applyAlignment="1" applyProtection="1">
      <alignment horizontal="left" vertical="center" wrapText="1"/>
      <protection locked="0"/>
    </xf>
    <xf numFmtId="49" fontId="73" fillId="0" borderId="69" xfId="0" applyNumberFormat="1" applyFont="1" applyBorder="1" applyAlignment="1" applyProtection="1">
      <alignment horizontal="left" vertical="center" wrapText="1"/>
      <protection/>
    </xf>
    <xf numFmtId="9" fontId="73" fillId="14" borderId="99" xfId="110" applyFont="1" applyFill="1" applyBorder="1" applyAlignment="1" applyProtection="1">
      <alignment horizontal="left" vertical="center" wrapText="1"/>
      <protection locked="0"/>
    </xf>
    <xf numFmtId="49" fontId="83" fillId="0" borderId="22" xfId="0" applyNumberFormat="1" applyFont="1" applyBorder="1" applyAlignment="1" applyProtection="1">
      <alignment horizontal="center" vertical="center" wrapText="1"/>
      <protection/>
    </xf>
    <xf numFmtId="49" fontId="73" fillId="0" borderId="22" xfId="0" applyNumberFormat="1" applyFont="1" applyBorder="1" applyAlignment="1" applyProtection="1">
      <alignment vertical="center" wrapText="1"/>
      <protection/>
    </xf>
    <xf numFmtId="0" fontId="73" fillId="0" borderId="22" xfId="0" applyFont="1" applyBorder="1" applyAlignment="1" applyProtection="1">
      <alignment vertical="center" wrapText="1"/>
      <protection/>
    </xf>
    <xf numFmtId="0" fontId="73" fillId="0" borderId="22" xfId="0" applyFont="1" applyBorder="1" applyAlignment="1" applyProtection="1">
      <alignment horizontal="center" vertical="center"/>
      <protection/>
    </xf>
    <xf numFmtId="9" fontId="73" fillId="14" borderId="22" xfId="110" applyFont="1" applyFill="1" applyBorder="1" applyAlignment="1" applyProtection="1">
      <alignment horizontal="left" vertical="top" wrapText="1"/>
      <protection locked="0"/>
    </xf>
    <xf numFmtId="0" fontId="18" fillId="0" borderId="82" xfId="0" applyFont="1" applyBorder="1" applyAlignment="1" applyProtection="1">
      <alignment horizontal="center"/>
      <protection/>
    </xf>
    <xf numFmtId="0" fontId="73" fillId="0" borderId="22" xfId="0" applyFont="1" applyBorder="1" applyAlignment="1" applyProtection="1">
      <alignment horizontal="center" vertical="center" wrapText="1"/>
      <protection/>
    </xf>
    <xf numFmtId="9" fontId="72" fillId="33" borderId="22" xfId="110" applyFont="1" applyFill="1" applyBorder="1" applyAlignment="1" applyProtection="1">
      <alignment horizontal="center" vertical="center" wrapText="1"/>
      <protection/>
    </xf>
    <xf numFmtId="9" fontId="72" fillId="58" borderId="22" xfId="110" applyFont="1" applyFill="1" applyBorder="1" applyAlignment="1" applyProtection="1">
      <alignment horizontal="center" vertical="center" wrapText="1"/>
      <protection/>
    </xf>
    <xf numFmtId="0" fontId="73" fillId="0" borderId="123" xfId="0" applyFont="1" applyBorder="1" applyAlignment="1" applyProtection="1">
      <alignment horizontal="left" vertical="center" wrapText="1"/>
      <protection/>
    </xf>
    <xf numFmtId="173" fontId="2" fillId="56" borderId="0" xfId="127" applyNumberFormat="1" applyFont="1" applyFill="1" applyBorder="1" applyAlignment="1" applyProtection="1">
      <alignment horizontal="center"/>
      <protection/>
    </xf>
    <xf numFmtId="173" fontId="71" fillId="0" borderId="0" xfId="0" applyNumberFormat="1" applyFont="1" applyBorder="1" applyAlignment="1" applyProtection="1">
      <alignment horizontal="center"/>
      <protection/>
    </xf>
    <xf numFmtId="173" fontId="36" fillId="57" borderId="0" xfId="99" applyFont="1" applyFill="1" applyBorder="1" applyAlignment="1" applyProtection="1">
      <alignment horizontal="center" vertical="center"/>
      <protection/>
    </xf>
    <xf numFmtId="9" fontId="1" fillId="0" borderId="142" xfId="110" applyNumberFormat="1" applyFont="1" applyFill="1" applyBorder="1" applyAlignment="1" applyProtection="1">
      <alignment horizontal="left" vertical="center" wrapText="1"/>
      <protection/>
    </xf>
    <xf numFmtId="0" fontId="1" fillId="14" borderId="143" xfId="0" applyFont="1" applyFill="1" applyBorder="1" applyAlignment="1" applyProtection="1">
      <alignment horizontal="center" vertical="top" wrapText="1"/>
      <protection locked="0"/>
    </xf>
    <xf numFmtId="0" fontId="1" fillId="14" borderId="144" xfId="0" applyFont="1" applyFill="1" applyBorder="1" applyAlignment="1" applyProtection="1">
      <alignment horizontal="center" vertical="top" wrapText="1"/>
      <protection locked="0"/>
    </xf>
    <xf numFmtId="0" fontId="1" fillId="0" borderId="142" xfId="110" applyNumberFormat="1" applyFont="1" applyFill="1" applyBorder="1" applyAlignment="1" applyProtection="1">
      <alignment horizontal="left" vertical="center" wrapText="1"/>
      <protection/>
    </xf>
    <xf numFmtId="0" fontId="22" fillId="0" borderId="145" xfId="0" applyNumberFormat="1" applyFont="1" applyFill="1" applyBorder="1" applyAlignment="1" applyProtection="1">
      <alignment horizontal="left" vertical="center" wrapText="1"/>
      <protection/>
    </xf>
    <xf numFmtId="0" fontId="1" fillId="14" borderId="146" xfId="0" applyFont="1" applyFill="1" applyBorder="1" applyAlignment="1" applyProtection="1">
      <alignment horizontal="center" vertical="top" wrapText="1"/>
      <protection locked="0"/>
    </xf>
    <xf numFmtId="178" fontId="87" fillId="12" borderId="120" xfId="0" applyNumberFormat="1" applyFont="1" applyFill="1" applyBorder="1" applyAlignment="1" applyProtection="1">
      <alignment horizontal="center" vertical="center"/>
      <protection/>
    </xf>
    <xf numFmtId="178" fontId="89" fillId="0" borderId="147" xfId="0" applyNumberFormat="1" applyFont="1" applyFill="1" applyBorder="1" applyAlignment="1" applyProtection="1">
      <alignment horizontal="center"/>
      <protection/>
    </xf>
    <xf numFmtId="178" fontId="90" fillId="14" borderId="124" xfId="0" applyNumberFormat="1" applyFont="1" applyFill="1" applyBorder="1" applyAlignment="1" applyProtection="1">
      <alignment horizontal="center" vertical="center"/>
      <protection/>
    </xf>
    <xf numFmtId="0" fontId="22" fillId="0" borderId="148" xfId="0" applyNumberFormat="1" applyFont="1" applyFill="1" applyBorder="1" applyAlignment="1" applyProtection="1">
      <alignment horizontal="left" vertical="top" wrapText="1"/>
      <protection/>
    </xf>
    <xf numFmtId="0" fontId="1" fillId="15" borderId="149" xfId="0" applyFont="1" applyFill="1" applyBorder="1" applyAlignment="1" applyProtection="1">
      <alignment horizontal="center" vertical="top" wrapText="1"/>
      <protection locked="0"/>
    </xf>
    <xf numFmtId="0" fontId="22" fillId="0" borderId="150" xfId="0" applyNumberFormat="1" applyFont="1" applyFill="1" applyBorder="1" applyAlignment="1" applyProtection="1">
      <alignment horizontal="left" vertical="top" wrapText="1"/>
      <protection/>
    </xf>
    <xf numFmtId="0" fontId="1" fillId="15" borderId="151" xfId="0" applyFont="1" applyFill="1" applyBorder="1" applyAlignment="1" applyProtection="1">
      <alignment horizontal="center" vertical="top" wrapText="1"/>
      <protection locked="0"/>
    </xf>
    <xf numFmtId="0" fontId="22" fillId="0" borderId="152" xfId="0" applyNumberFormat="1" applyFont="1" applyFill="1" applyBorder="1" applyAlignment="1" applyProtection="1">
      <alignment horizontal="left" vertical="top" wrapText="1"/>
      <protection/>
    </xf>
    <xf numFmtId="0" fontId="1" fillId="15" borderId="153" xfId="0" applyFont="1" applyFill="1" applyBorder="1" applyAlignment="1" applyProtection="1">
      <alignment horizontal="center" vertical="top" wrapText="1"/>
      <protection locked="0"/>
    </xf>
    <xf numFmtId="178" fontId="89" fillId="0" borderId="154" xfId="0" applyNumberFormat="1" applyFont="1" applyFill="1" applyBorder="1" applyAlignment="1" applyProtection="1">
      <alignment horizontal="center"/>
      <protection/>
    </xf>
    <xf numFmtId="178" fontId="101" fillId="15" borderId="155" xfId="0" applyNumberFormat="1" applyFont="1" applyFill="1" applyBorder="1" applyAlignment="1" applyProtection="1">
      <alignment horizontal="center" vertical="center"/>
      <protection/>
    </xf>
    <xf numFmtId="178" fontId="101" fillId="15" borderId="156" xfId="0" applyNumberFormat="1" applyFont="1" applyFill="1" applyBorder="1" applyAlignment="1" applyProtection="1">
      <alignment horizontal="center" vertical="center"/>
      <protection/>
    </xf>
    <xf numFmtId="0" fontId="22" fillId="0" borderId="157" xfId="0" applyNumberFormat="1" applyFont="1" applyFill="1" applyBorder="1" applyAlignment="1" applyProtection="1">
      <alignment horizontal="left" vertical="top" wrapText="1"/>
      <protection/>
    </xf>
    <xf numFmtId="49" fontId="1" fillId="3" borderId="158" xfId="0" applyNumberFormat="1" applyFont="1" applyFill="1" applyBorder="1" applyAlignment="1" applyProtection="1">
      <alignment horizontal="center" vertical="center"/>
      <protection locked="0"/>
    </xf>
    <xf numFmtId="0" fontId="22" fillId="0" borderId="159" xfId="0" applyNumberFormat="1" applyFont="1" applyFill="1" applyBorder="1" applyAlignment="1" applyProtection="1">
      <alignment horizontal="left" vertical="top" wrapText="1"/>
      <protection/>
    </xf>
    <xf numFmtId="49" fontId="1" fillId="3" borderId="160" xfId="0" applyNumberFormat="1" applyFont="1" applyFill="1" applyBorder="1" applyAlignment="1" applyProtection="1">
      <alignment horizontal="center" vertical="center"/>
      <protection locked="0"/>
    </xf>
    <xf numFmtId="49" fontId="1" fillId="3" borderId="161" xfId="0" applyNumberFormat="1" applyFont="1" applyFill="1" applyBorder="1" applyAlignment="1" applyProtection="1">
      <alignment horizontal="center" vertical="center" wrapText="1"/>
      <protection locked="0"/>
    </xf>
    <xf numFmtId="178" fontId="71" fillId="0" borderId="0" xfId="0" applyNumberFormat="1" applyFont="1" applyBorder="1" applyAlignment="1" applyProtection="1">
      <alignment horizontal="center"/>
      <protection/>
    </xf>
    <xf numFmtId="178" fontId="89" fillId="0" borderId="0" xfId="0" applyNumberFormat="1" applyFont="1" applyFill="1" applyBorder="1" applyAlignment="1" applyProtection="1">
      <alignment horizontal="center"/>
      <protection/>
    </xf>
    <xf numFmtId="178" fontId="90" fillId="3" borderId="25" xfId="0" applyNumberFormat="1" applyFont="1" applyFill="1" applyBorder="1" applyAlignment="1" applyProtection="1">
      <alignment horizontal="center" vertical="center"/>
      <protection/>
    </xf>
    <xf numFmtId="49" fontId="1" fillId="3" borderId="161" xfId="0" applyNumberFormat="1" applyFont="1" applyFill="1" applyBorder="1" applyAlignment="1" applyProtection="1">
      <alignment horizontal="center" vertical="center"/>
      <protection locked="0"/>
    </xf>
    <xf numFmtId="173" fontId="18" fillId="0" borderId="0" xfId="0" applyNumberFormat="1" applyFont="1" applyBorder="1" applyAlignment="1" applyProtection="1">
      <alignment horizontal="center"/>
      <protection/>
    </xf>
    <xf numFmtId="0" fontId="46" fillId="0" borderId="162" xfId="0" applyFont="1" applyFill="1" applyBorder="1" applyAlignment="1" applyProtection="1">
      <alignment horizontal="left"/>
      <protection locked="0"/>
    </xf>
    <xf numFmtId="0" fontId="46" fillId="0" borderId="163" xfId="0" applyFont="1" applyBorder="1" applyAlignment="1" applyProtection="1">
      <alignment horizontal="left"/>
      <protection locked="0"/>
    </xf>
    <xf numFmtId="0" fontId="46" fillId="0" borderId="164" xfId="0" applyFont="1" applyBorder="1" applyAlignment="1" applyProtection="1">
      <alignment horizontal="left"/>
      <protection locked="0"/>
    </xf>
    <xf numFmtId="0" fontId="46" fillId="0" borderId="165" xfId="0" applyFont="1" applyBorder="1" applyAlignment="1" applyProtection="1">
      <alignment horizontal="left"/>
      <protection locked="0"/>
    </xf>
    <xf numFmtId="0" fontId="46" fillId="0" borderId="166" xfId="0" applyFont="1" applyFill="1" applyBorder="1" applyAlignment="1" applyProtection="1">
      <alignment horizontal="left"/>
      <protection locked="0"/>
    </xf>
    <xf numFmtId="0" fontId="46" fillId="0" borderId="167" xfId="0" applyFont="1" applyBorder="1" applyAlignment="1" applyProtection="1">
      <alignment horizontal="left"/>
      <protection locked="0"/>
    </xf>
    <xf numFmtId="0" fontId="46" fillId="0" borderId="168" xfId="0" applyFont="1" applyBorder="1" applyAlignment="1" applyProtection="1">
      <alignment horizontal="left"/>
      <protection locked="0"/>
    </xf>
    <xf numFmtId="0" fontId="46" fillId="0" borderId="169" xfId="0" applyFont="1" applyBorder="1" applyAlignment="1" applyProtection="1">
      <alignment horizontal="left"/>
      <protection locked="0"/>
    </xf>
    <xf numFmtId="0" fontId="108" fillId="46" borderId="170" xfId="106" applyNumberFormat="1" applyFont="1" applyFill="1" applyBorder="1" applyAlignment="1">
      <alignment horizontal="center" vertical="center" wrapText="1"/>
      <protection/>
    </xf>
    <xf numFmtId="0" fontId="108" fillId="46" borderId="171" xfId="106" applyNumberFormat="1" applyFont="1" applyFill="1" applyBorder="1" applyAlignment="1">
      <alignment horizontal="center" vertical="center" wrapText="1"/>
      <protection/>
    </xf>
    <xf numFmtId="0" fontId="108" fillId="46" borderId="172" xfId="106" applyNumberFormat="1" applyFont="1" applyFill="1" applyBorder="1" applyAlignment="1">
      <alignment horizontal="center" vertical="center" wrapText="1"/>
      <protection/>
    </xf>
    <xf numFmtId="0" fontId="109" fillId="46" borderId="22" xfId="0" applyNumberFormat="1" applyFont="1" applyFill="1" applyBorder="1" applyAlignment="1">
      <alignment horizontal="center" vertical="center" textRotation="90"/>
    </xf>
    <xf numFmtId="0" fontId="46" fillId="0" borderId="173" xfId="0" applyFont="1" applyFill="1" applyBorder="1" applyAlignment="1" applyProtection="1">
      <alignment horizontal="left" vertical="top" wrapText="1"/>
      <protection locked="0"/>
    </xf>
    <xf numFmtId="0" fontId="46" fillId="0" borderId="174" xfId="0" applyFont="1" applyBorder="1" applyAlignment="1" applyProtection="1">
      <alignment horizontal="left"/>
      <protection locked="0"/>
    </xf>
    <xf numFmtId="0" fontId="46" fillId="0" borderId="116" xfId="0" applyFont="1" applyBorder="1" applyAlignment="1" applyProtection="1">
      <alignment horizontal="left"/>
      <protection locked="0"/>
    </xf>
    <xf numFmtId="0" fontId="46" fillId="0" borderId="175" xfId="0" applyFont="1" applyBorder="1" applyAlignment="1" applyProtection="1">
      <alignment horizontal="left"/>
      <protection locked="0"/>
    </xf>
    <xf numFmtId="0" fontId="46" fillId="0" borderId="169" xfId="0" applyFont="1" applyFill="1" applyBorder="1" applyAlignment="1" applyProtection="1">
      <alignment horizontal="left"/>
      <protection locked="0"/>
    </xf>
    <xf numFmtId="0" fontId="46" fillId="0" borderId="168" xfId="0" applyFont="1" applyFill="1" applyBorder="1" applyAlignment="1" applyProtection="1">
      <alignment horizontal="left"/>
      <protection locked="0"/>
    </xf>
    <xf numFmtId="0" fontId="46" fillId="0" borderId="176" xfId="0" applyFont="1" applyFill="1" applyBorder="1" applyAlignment="1" applyProtection="1">
      <alignment horizontal="left" vertical="center" wrapText="1"/>
      <protection locked="0"/>
    </xf>
    <xf numFmtId="0" fontId="46" fillId="0" borderId="163" xfId="0" applyFont="1" applyFill="1" applyBorder="1" applyAlignment="1" applyProtection="1">
      <alignment horizontal="left"/>
      <protection locked="0"/>
    </xf>
    <xf numFmtId="0" fontId="46" fillId="0" borderId="164" xfId="0" applyFont="1" applyFill="1" applyBorder="1" applyAlignment="1" applyProtection="1">
      <alignment horizontal="left"/>
      <protection locked="0"/>
    </xf>
    <xf numFmtId="0" fontId="46" fillId="0" borderId="165" xfId="0" applyFont="1" applyFill="1" applyBorder="1" applyAlignment="1" applyProtection="1">
      <alignment horizontal="left"/>
      <protection locked="0"/>
    </xf>
    <xf numFmtId="0" fontId="46" fillId="0" borderId="177" xfId="0" applyFont="1" applyFill="1" applyBorder="1" applyAlignment="1" applyProtection="1">
      <alignment horizontal="left" vertical="center" wrapText="1"/>
      <protection locked="0"/>
    </xf>
    <xf numFmtId="0" fontId="46" fillId="0" borderId="167" xfId="0" applyFont="1" applyFill="1" applyBorder="1" applyAlignment="1" applyProtection="1">
      <alignment horizontal="left"/>
      <protection locked="0"/>
    </xf>
    <xf numFmtId="0" fontId="46" fillId="0" borderId="178" xfId="0" applyFont="1" applyFill="1" applyBorder="1" applyAlignment="1" applyProtection="1">
      <alignment horizontal="left" wrapText="1"/>
      <protection locked="0"/>
    </xf>
    <xf numFmtId="0" fontId="46" fillId="0" borderId="167" xfId="0" applyFont="1" applyFill="1" applyBorder="1" applyAlignment="1" applyProtection="1">
      <alignment horizontal="left" wrapText="1"/>
      <protection locked="0"/>
    </xf>
    <xf numFmtId="0" fontId="46" fillId="0" borderId="168" xfId="0" applyFont="1" applyFill="1" applyBorder="1" applyAlignment="1" applyProtection="1">
      <alignment horizontal="left" wrapText="1"/>
      <protection locked="0"/>
    </xf>
    <xf numFmtId="0" fontId="46" fillId="0" borderId="179" xfId="0" applyFont="1" applyFill="1" applyBorder="1" applyAlignment="1" applyProtection="1">
      <alignment horizontal="left" wrapText="1"/>
      <protection locked="0"/>
    </xf>
    <xf numFmtId="0" fontId="46" fillId="0" borderId="180" xfId="0" applyFont="1" applyFill="1" applyBorder="1" applyAlignment="1" applyProtection="1">
      <alignment horizontal="left" wrapText="1"/>
      <protection locked="0"/>
    </xf>
    <xf numFmtId="0" fontId="46" fillId="0" borderId="167" xfId="0" applyFont="1" applyFill="1" applyBorder="1" applyAlignment="1" applyProtection="1">
      <alignment horizontal="left" vertical="top" wrapText="1"/>
      <protection locked="0"/>
    </xf>
    <xf numFmtId="0" fontId="0" fillId="14" borderId="22" xfId="0" applyFill="1" applyBorder="1" applyAlignment="1" applyProtection="1">
      <alignment horizontal="center"/>
      <protection locked="0"/>
    </xf>
    <xf numFmtId="173" fontId="2" fillId="56" borderId="0" xfId="128" applyNumberFormat="1" applyFont="1" applyFill="1" applyBorder="1" applyAlignment="1" applyProtection="1">
      <alignment horizontal="center"/>
      <protection locked="0"/>
    </xf>
    <xf numFmtId="173" fontId="16" fillId="57" borderId="0" xfId="89" applyFont="1" applyFill="1" applyBorder="1" applyAlignment="1">
      <alignment horizontal="center" vertical="center"/>
      <protection/>
    </xf>
    <xf numFmtId="0" fontId="18" fillId="0" borderId="0" xfId="0" applyFont="1" applyBorder="1" applyAlignment="1">
      <alignment horizontal="center"/>
    </xf>
  </cellXfs>
  <cellStyles count="122">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uena" xfId="58"/>
    <cellStyle name="Calculation" xfId="59"/>
    <cellStyle name="Cálculo" xfId="60"/>
    <cellStyle name="Celda de comprobación" xfId="61"/>
    <cellStyle name="Celda vinculada" xfId="62"/>
    <cellStyle name="Check Cell" xfId="63"/>
    <cellStyle name="Encabezado 1" xfId="64"/>
    <cellStyle name="Encabezado 4" xfId="65"/>
    <cellStyle name="Énfasis1" xfId="66"/>
    <cellStyle name="Énfasis2" xfId="67"/>
    <cellStyle name="Énfasis3" xfId="68"/>
    <cellStyle name="Énfasis4" xfId="69"/>
    <cellStyle name="Énfasis5" xfId="70"/>
    <cellStyle name="Énfasis6" xfId="71"/>
    <cellStyle name="Entrada" xfId="72"/>
    <cellStyle name="Euro" xfId="73"/>
    <cellStyle name="Explanatory Text" xfId="74"/>
    <cellStyle name="Good" xfId="75"/>
    <cellStyle name="Heading 1" xfId="76"/>
    <cellStyle name="Heading 2" xfId="77"/>
    <cellStyle name="Heading 3" xfId="78"/>
    <cellStyle name="Heading 4" xfId="79"/>
    <cellStyle name="Incorrecto" xfId="80"/>
    <cellStyle name="Input" xfId="81"/>
    <cellStyle name="Linked Cell" xfId="82"/>
    <cellStyle name="Comma" xfId="83"/>
    <cellStyle name="Comma [0]" xfId="84"/>
    <cellStyle name="Millares 2" xfId="85"/>
    <cellStyle name="Currency" xfId="86"/>
    <cellStyle name="Currency [0]" xfId="87"/>
    <cellStyle name="Neutral" xfId="88"/>
    <cellStyle name="Normal 2" xfId="89"/>
    <cellStyle name="Normal 2 2" xfId="90"/>
    <cellStyle name="Normal 2 3" xfId="91"/>
    <cellStyle name="Normal 2 4" xfId="92"/>
    <cellStyle name="Normal 2 5" xfId="93"/>
    <cellStyle name="Normal 2 6" xfId="94"/>
    <cellStyle name="Normal 2 7" xfId="95"/>
    <cellStyle name="Normal 2 8" xfId="96"/>
    <cellStyle name="Normal 2_Dashboard ver 2.2 ES" xfId="97"/>
    <cellStyle name="Normal 2_Ficticia HIV Dashboard_ES - Set Up and Maintenance Guide" xfId="98"/>
    <cellStyle name="Normal 2_Prototipo" xfId="99"/>
    <cellStyle name="Normal 3" xfId="100"/>
    <cellStyle name="Normal 4" xfId="101"/>
    <cellStyle name="Normal 5" xfId="102"/>
    <cellStyle name="Normal 6" xfId="103"/>
    <cellStyle name="Normal 7" xfId="104"/>
    <cellStyle name="Normal 8" xfId="105"/>
    <cellStyle name="Normal_TZ_R3HIV_Phase_2_21_August_08" xfId="106"/>
    <cellStyle name="Notas" xfId="107"/>
    <cellStyle name="Note" xfId="108"/>
    <cellStyle name="Output" xfId="109"/>
    <cellStyle name="Percent" xfId="110"/>
    <cellStyle name="Porcentual 2" xfId="111"/>
    <cellStyle name="Porcentual 3" xfId="112"/>
    <cellStyle name="Porcentual 4" xfId="113"/>
    <cellStyle name="Porcentual 5" xfId="114"/>
    <cellStyle name="Porcentual 6" xfId="115"/>
    <cellStyle name="Porcentual 7" xfId="116"/>
    <cellStyle name="Porcentual 8" xfId="117"/>
    <cellStyle name="Salida" xfId="118"/>
    <cellStyle name="Texto de advertencia" xfId="119"/>
    <cellStyle name="Texto explicativo" xfId="120"/>
    <cellStyle name="Title" xfId="121"/>
    <cellStyle name="Título" xfId="122"/>
    <cellStyle name="Título 2" xfId="123"/>
    <cellStyle name="Título 3" xfId="124"/>
    <cellStyle name="Título 3 2" xfId="125"/>
    <cellStyle name="Título 3 3" xfId="126"/>
    <cellStyle name="Título 3 3_Prototipo" xfId="127"/>
    <cellStyle name="Título 3 3_PrototipoRep1" xfId="128"/>
    <cellStyle name="Título 3 4" xfId="129"/>
    <cellStyle name="Título 3 5" xfId="130"/>
    <cellStyle name="Título 3 6" xfId="131"/>
    <cellStyle name="Título 3 7" xfId="132"/>
    <cellStyle name="Título 3 8" xfId="133"/>
    <cellStyle name="Total" xfId="134"/>
    <cellStyle name="Warning Text" xfId="135"/>
  </cellStyles>
  <dxfs count="76">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10"/>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10"/>
        </patternFill>
      </fill>
    </dxf>
    <dxf>
      <font>
        <b/>
        <i val="0"/>
        <sz val="11"/>
        <color indexed="8"/>
      </font>
      <fill>
        <patternFill patternType="solid">
          <fgColor indexed="19"/>
          <bgColor indexed="11"/>
        </patternFill>
      </fill>
    </dxf>
    <dxf>
      <font>
        <b/>
        <i val="0"/>
        <sz val="11"/>
        <color indexed="8"/>
      </font>
      <fill>
        <patternFill patternType="solid">
          <fgColor indexed="51"/>
          <bgColor indexed="13"/>
        </patternFill>
      </fill>
    </dxf>
    <dxf>
      <font>
        <b/>
        <i val="0"/>
        <sz val="11"/>
        <color indexed="9"/>
      </font>
      <fill>
        <patternFill patternType="solid">
          <fgColor indexed="10"/>
          <bgColor indexed="61"/>
        </patternFill>
      </fill>
    </dxf>
    <dxf>
      <font>
        <b/>
        <i val="0"/>
        <sz val="11"/>
        <color indexed="8"/>
      </font>
      <fill>
        <patternFill patternType="solid">
          <fgColor indexed="19"/>
          <bgColor indexed="11"/>
        </patternFill>
      </fill>
    </dxf>
    <dxf>
      <font>
        <b/>
        <i val="0"/>
        <sz val="11"/>
        <color indexed="8"/>
      </font>
      <fill>
        <patternFill patternType="solid">
          <fgColor indexed="51"/>
          <bgColor indexed="13"/>
        </patternFill>
      </fill>
    </dxf>
    <dxf>
      <font>
        <b/>
        <i val="0"/>
        <sz val="11"/>
        <color indexed="9"/>
      </font>
      <fill>
        <patternFill patternType="solid">
          <fgColor indexed="10"/>
          <bgColor indexed="61"/>
        </patternFill>
      </fill>
    </dxf>
    <dxf>
      <font>
        <b/>
        <i val="0"/>
        <sz val="11"/>
        <color indexed="8"/>
      </font>
      <fill>
        <patternFill patternType="solid">
          <fgColor indexed="19"/>
          <bgColor indexed="11"/>
        </patternFill>
      </fill>
    </dxf>
    <dxf>
      <font>
        <b/>
        <i val="0"/>
        <sz val="11"/>
        <color indexed="8"/>
      </font>
      <fill>
        <patternFill patternType="solid">
          <fgColor indexed="51"/>
          <bgColor indexed="13"/>
        </patternFill>
      </fill>
    </dxf>
    <dxf>
      <font>
        <b/>
        <i val="0"/>
        <sz val="11"/>
        <color indexed="9"/>
      </font>
      <fill>
        <patternFill patternType="solid">
          <fgColor indexed="10"/>
          <bgColor indexed="61"/>
        </patternFill>
      </fill>
    </dxf>
    <dxf>
      <font>
        <b/>
        <i val="0"/>
        <sz val="11"/>
        <color indexed="8"/>
      </font>
      <fill>
        <patternFill patternType="solid">
          <fgColor indexed="19"/>
          <bgColor indexed="11"/>
        </patternFill>
      </fill>
    </dxf>
    <dxf>
      <font>
        <b/>
        <i val="0"/>
        <sz val="11"/>
        <color indexed="8"/>
      </font>
      <fill>
        <patternFill patternType="solid">
          <fgColor indexed="51"/>
          <bgColor indexed="13"/>
        </patternFill>
      </fill>
    </dxf>
    <dxf>
      <font>
        <b/>
        <i val="0"/>
        <sz val="11"/>
        <color indexed="9"/>
      </font>
      <fill>
        <patternFill patternType="solid">
          <fgColor indexed="10"/>
          <bgColor indexed="61"/>
        </patternFill>
      </fill>
    </dxf>
    <dxf>
      <font>
        <b/>
        <i val="0"/>
        <sz val="11"/>
        <color indexed="8"/>
      </font>
      <fill>
        <patternFill patternType="solid">
          <fgColor indexed="19"/>
          <bgColor indexed="11"/>
        </patternFill>
      </fill>
    </dxf>
    <dxf>
      <font>
        <b/>
        <i val="0"/>
        <sz val="11"/>
        <color indexed="8"/>
      </font>
      <fill>
        <patternFill patternType="solid">
          <fgColor indexed="51"/>
          <bgColor indexed="13"/>
        </patternFill>
      </fill>
    </dxf>
    <dxf>
      <font>
        <b/>
        <i val="0"/>
        <sz val="11"/>
        <color indexed="9"/>
      </font>
      <fill>
        <patternFill patternType="solid">
          <fgColor indexed="10"/>
          <bgColor indexed="61"/>
        </patternFill>
      </fill>
    </dxf>
    <dxf>
      <font>
        <b/>
        <i val="0"/>
        <sz val="11"/>
        <color indexed="8"/>
      </font>
      <fill>
        <patternFill patternType="solid">
          <fgColor indexed="19"/>
          <bgColor indexed="11"/>
        </patternFill>
      </fill>
    </dxf>
    <dxf>
      <font>
        <b/>
        <i val="0"/>
        <sz val="11"/>
        <color indexed="8"/>
      </font>
      <fill>
        <patternFill patternType="solid">
          <fgColor indexed="51"/>
          <bgColor indexed="13"/>
        </patternFill>
      </fill>
    </dxf>
    <dxf>
      <font>
        <b/>
        <i val="0"/>
        <sz val="11"/>
        <color indexed="9"/>
      </font>
      <fill>
        <patternFill patternType="solid">
          <fgColor indexed="10"/>
          <bgColor indexed="61"/>
        </patternFill>
      </fill>
    </dxf>
    <dxf>
      <font>
        <b/>
        <i val="0"/>
        <sz val="11"/>
        <color indexed="8"/>
      </font>
      <fill>
        <patternFill patternType="solid">
          <fgColor indexed="19"/>
          <bgColor indexed="11"/>
        </patternFill>
      </fill>
    </dxf>
    <dxf>
      <font>
        <b/>
        <i val="0"/>
        <sz val="11"/>
        <color indexed="8"/>
      </font>
      <fill>
        <patternFill patternType="solid">
          <fgColor indexed="51"/>
          <bgColor indexed="13"/>
        </patternFill>
      </fill>
    </dxf>
    <dxf>
      <font>
        <b/>
        <i val="0"/>
        <sz val="11"/>
        <color indexed="9"/>
      </font>
      <fill>
        <patternFill patternType="solid">
          <fgColor indexed="10"/>
          <bgColor indexed="61"/>
        </patternFill>
      </fill>
    </dxf>
    <dxf>
      <font>
        <b/>
        <i val="0"/>
        <sz val="11"/>
        <color indexed="8"/>
      </font>
      <fill>
        <patternFill patternType="solid">
          <fgColor indexed="19"/>
          <bgColor indexed="11"/>
        </patternFill>
      </fill>
    </dxf>
    <dxf>
      <font>
        <b/>
        <i val="0"/>
        <sz val="11"/>
        <color indexed="8"/>
      </font>
      <fill>
        <patternFill patternType="solid">
          <fgColor indexed="51"/>
          <bgColor indexed="13"/>
        </patternFill>
      </fill>
    </dxf>
    <dxf>
      <font>
        <b/>
        <i val="0"/>
        <sz val="11"/>
        <color indexed="9"/>
      </font>
      <fill>
        <patternFill patternType="solid">
          <fgColor indexed="60"/>
          <bgColor indexed="25"/>
        </patternFill>
      </fill>
    </dxf>
    <dxf>
      <font>
        <b/>
        <i val="0"/>
        <sz val="11"/>
        <color indexed="8"/>
      </font>
      <fill>
        <patternFill patternType="solid">
          <fgColor indexed="19"/>
          <bgColor indexed="11"/>
        </patternFill>
      </fill>
    </dxf>
    <dxf>
      <font>
        <b/>
        <i val="0"/>
        <sz val="11"/>
        <color indexed="8"/>
      </font>
      <fill>
        <patternFill patternType="solid">
          <fgColor indexed="51"/>
          <bgColor indexed="13"/>
        </patternFill>
      </fill>
    </dxf>
    <dxf>
      <font>
        <b/>
        <i val="0"/>
        <sz val="11"/>
        <color indexed="9"/>
      </font>
      <fill>
        <patternFill patternType="solid">
          <fgColor indexed="10"/>
          <bgColor indexed="61"/>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10"/>
        </patternFill>
      </fill>
    </dxf>
    <dxf>
      <font>
        <b/>
        <i val="0"/>
        <sz val="11"/>
        <color indexed="8"/>
      </font>
      <fill>
        <patternFill patternType="solid">
          <fgColor indexed="51"/>
          <bgColor indexed="13"/>
        </patternFill>
      </fill>
    </dxf>
    <dxf>
      <font>
        <b/>
        <i val="0"/>
        <sz val="11"/>
        <color indexed="8"/>
      </font>
      <fill>
        <patternFill patternType="solid">
          <fgColor indexed="19"/>
          <bgColor indexed="11"/>
        </patternFill>
      </fill>
    </dxf>
    <dxf>
      <font>
        <b/>
        <i val="0"/>
        <sz val="11"/>
        <color indexed="8"/>
      </font>
      <fill>
        <patternFill patternType="solid">
          <fgColor indexed="10"/>
          <bgColor indexed="61"/>
        </patternFill>
      </fill>
    </dxf>
    <dxf>
      <font>
        <b/>
        <i val="0"/>
        <sz val="11"/>
        <color indexed="8"/>
      </font>
      <fill>
        <patternFill patternType="solid">
          <fgColor indexed="51"/>
          <bgColor indexed="13"/>
        </patternFill>
      </fill>
    </dxf>
    <dxf>
      <font>
        <b/>
        <i val="0"/>
        <sz val="11"/>
        <color indexed="8"/>
      </font>
      <fill>
        <patternFill patternType="solid">
          <fgColor indexed="19"/>
          <bgColor indexed="11"/>
        </patternFill>
      </fill>
    </dxf>
    <dxf>
      <font>
        <b/>
        <i val="0"/>
        <sz val="11"/>
        <color indexed="8"/>
      </font>
      <fill>
        <patternFill patternType="solid">
          <fgColor indexed="10"/>
          <bgColor indexed="61"/>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10"/>
        </patternFill>
      </fill>
    </dxf>
    <dxf>
      <font>
        <b val="0"/>
        <sz val="11"/>
        <color indexed="9"/>
      </font>
      <fill>
        <patternFill patternType="solid">
          <fgColor indexed="29"/>
          <bgColor indexed="10"/>
        </patternFill>
      </fill>
    </dxf>
    <dxf>
      <font>
        <b val="0"/>
        <sz val="11"/>
        <color indexed="8"/>
      </font>
      <fill>
        <patternFill patternType="solid">
          <fgColor indexed="51"/>
          <bgColor indexed="13"/>
        </patternFill>
      </fill>
    </dxf>
    <dxf>
      <font>
        <b val="0"/>
        <sz val="11"/>
        <color indexed="8"/>
      </font>
      <fill>
        <patternFill patternType="solid">
          <fgColor indexed="19"/>
          <bgColor indexed="11"/>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10"/>
        </patternFill>
      </fill>
    </dxf>
    <dxf>
      <font>
        <b val="0"/>
        <sz val="11"/>
        <color indexed="8"/>
      </font>
      <fill>
        <patternFill patternType="solid">
          <fgColor indexed="33"/>
          <bgColor indexed="9"/>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10"/>
        </patternFill>
      </fill>
    </dxf>
    <dxf>
      <font>
        <b val="0"/>
        <sz val="11"/>
        <color indexed="9"/>
      </font>
      <fill>
        <patternFill patternType="solid">
          <fgColor indexed="32"/>
          <bgColor indexed="8"/>
        </patternFill>
      </fill>
    </dxf>
    <dxf>
      <font>
        <b val="0"/>
        <sz val="11"/>
        <color indexed="8"/>
      </font>
      <fill>
        <patternFill patternType="solid">
          <fgColor indexed="19"/>
          <bgColor indexed="11"/>
        </patternFill>
      </fill>
    </dxf>
    <dxf>
      <font>
        <b val="0"/>
        <sz val="11"/>
        <color indexed="9"/>
      </font>
      <fill>
        <patternFill patternType="solid">
          <fgColor indexed="32"/>
          <bgColor indexed="8"/>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10"/>
          <bgColor indexed="61"/>
        </patternFill>
      </fill>
    </dxf>
    <dxf>
      <font>
        <b val="0"/>
        <sz val="11"/>
        <color indexed="9"/>
      </font>
      <fill>
        <patternFill patternType="solid">
          <fgColor indexed="59"/>
          <bgColor indexed="63"/>
        </patternFill>
      </fill>
    </dxf>
    <dxf>
      <font>
        <b val="0"/>
        <sz val="11"/>
        <color rgb="FFFFFFFF"/>
      </font>
      <fill>
        <patternFill patternType="solid">
          <fgColor rgb="FF333300"/>
          <bgColor rgb="FF333333"/>
        </patternFill>
      </fill>
      <border/>
    </dxf>
    <dxf>
      <font>
        <b val="0"/>
        <sz val="11"/>
        <color rgb="FFFFFFFF"/>
      </font>
      <fill>
        <patternFill patternType="solid">
          <fgColor rgb="FFFF7171"/>
          <bgColor rgb="FFFF5050"/>
        </patternFill>
      </fill>
      <border/>
    </dxf>
    <dxf>
      <font>
        <b val="0"/>
        <sz val="11"/>
        <color rgb="FF000000"/>
      </font>
      <fill>
        <patternFill patternType="solid">
          <fgColor rgb="FFFFFF00"/>
          <bgColor rgb="FFFFCC00"/>
        </patternFill>
      </fill>
      <border/>
    </dxf>
    <dxf>
      <font>
        <b val="0"/>
        <sz val="11"/>
        <color rgb="FF000000"/>
      </font>
      <fill>
        <patternFill patternType="solid">
          <fgColor rgb="FFFFF88F"/>
          <bgColor rgb="FFFFFF99"/>
        </patternFill>
      </fill>
      <border/>
    </dxf>
    <dxf>
      <font>
        <b val="0"/>
        <sz val="11"/>
        <color rgb="FFFFFFFF"/>
      </font>
      <fill>
        <patternFill patternType="solid">
          <fgColor rgb="FF131312"/>
          <bgColor rgb="FF000000"/>
        </patternFill>
      </fill>
      <border/>
    </dxf>
    <dxf>
      <font>
        <b val="0"/>
        <sz val="11"/>
        <color rgb="FF000000"/>
      </font>
      <fill>
        <patternFill patternType="solid">
          <fgColor rgb="FF33CC33"/>
          <bgColor rgb="FF00FF00"/>
        </patternFill>
      </fill>
      <border/>
    </dxf>
    <dxf>
      <font>
        <b val="0"/>
        <sz val="11"/>
        <color rgb="FFFFFFFF"/>
      </font>
      <fill>
        <patternFill patternType="solid">
          <fgColor rgb="FFFF8080"/>
          <bgColor rgb="FFFF7171"/>
        </patternFill>
      </fill>
      <border/>
    </dxf>
    <dxf>
      <font>
        <b val="0"/>
        <sz val="11"/>
        <color rgb="FF000000"/>
      </font>
      <fill>
        <patternFill patternType="solid">
          <fgColor rgb="FFFFF8EF"/>
          <bgColor rgb="FFFFFFFF"/>
        </patternFill>
      </fill>
      <border/>
    </dxf>
    <dxf>
      <font>
        <b val="0"/>
        <sz val="11"/>
        <color rgb="FF000000"/>
      </font>
      <fill>
        <patternFill patternType="solid">
          <fgColor rgb="FFFFCC00"/>
          <bgColor rgb="FFFFFF00"/>
        </patternFill>
      </fill>
      <border/>
    </dxf>
    <dxf>
      <font>
        <b/>
        <i val="0"/>
        <sz val="11"/>
        <color rgb="FF000000"/>
      </font>
      <fill>
        <patternFill patternType="solid">
          <fgColor rgb="FFFF7171"/>
          <bgColor rgb="FFFF5050"/>
        </patternFill>
      </fill>
      <border/>
    </dxf>
    <dxf>
      <font>
        <b/>
        <i val="0"/>
        <sz val="11"/>
        <color rgb="FF000000"/>
      </font>
      <fill>
        <patternFill patternType="solid">
          <fgColor rgb="FF33CC33"/>
          <bgColor rgb="FF00FF00"/>
        </patternFill>
      </fill>
      <border/>
    </dxf>
    <dxf>
      <font>
        <b/>
        <i val="0"/>
        <sz val="11"/>
        <color rgb="FF000000"/>
      </font>
      <fill>
        <patternFill patternType="solid">
          <fgColor rgb="FFFFCC00"/>
          <bgColor rgb="FFFFFF00"/>
        </patternFill>
      </fill>
      <border/>
    </dxf>
    <dxf>
      <font>
        <b/>
        <i val="0"/>
        <sz val="11"/>
        <color rgb="FFFFFFFF"/>
      </font>
      <fill>
        <patternFill patternType="solid">
          <fgColor rgb="FFFF7171"/>
          <bgColor rgb="FFFF5050"/>
        </patternFill>
      </fill>
      <border/>
    </dxf>
    <dxf>
      <font>
        <b/>
        <i val="0"/>
        <sz val="11"/>
        <color rgb="FFFFFFFF"/>
      </font>
      <fill>
        <patternFill patternType="solid">
          <fgColor rgb="FF993300"/>
          <bgColor rgb="FF99336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D9D9D9"/>
      <rgbColor rgb="0000FFFF"/>
      <rgbColor rgb="00800000"/>
      <rgbColor rgb="00008000"/>
      <rgbColor rgb="00000080"/>
      <rgbColor rgb="0033CC33"/>
      <rgbColor rgb="00800080"/>
      <rgbColor rgb="000070C0"/>
      <rgbColor rgb="00C0C0C0"/>
      <rgbColor rgb="00808080"/>
      <rgbColor rgb="00A6A6A6"/>
      <rgbColor rgb="00993366"/>
      <rgbColor rgb="00FFFFCC"/>
      <rgbColor rgb="00CCFFFF"/>
      <rgbColor rgb="00660066"/>
      <rgbColor rgb="00FF8080"/>
      <rgbColor rgb="000066CC"/>
      <rgbColor rgb="00CCC1DA"/>
      <rgbColor rgb="00131312"/>
      <rgbColor rgb="00FFF8EF"/>
      <rgbColor rgb="00FFF88F"/>
      <rgbColor rgb="0093CDDD"/>
      <rgbColor rgb="00800080"/>
      <rgbColor rgb="00800000"/>
      <rgbColor rgb="00376092"/>
      <rgbColor rgb="000000FF"/>
      <rgbColor rgb="0000CCFF"/>
      <rgbColor rgb="00F2F2F2"/>
      <rgbColor rgb="00CCFFCC"/>
      <rgbColor rgb="00FFFF99"/>
      <rgbColor rgb="0099CCFF"/>
      <rgbColor rgb="00FF99CC"/>
      <rgbColor rgb="00BFBFB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FF505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575"/>
          <c:w val="0.93175"/>
          <c:h val="0.7645"/>
        </c:manualLayout>
      </c:layout>
      <c:barChart>
        <c:barDir val="col"/>
        <c:grouping val="clustered"/>
        <c:varyColors val="0"/>
        <c:ser>
          <c:idx val="0"/>
          <c:order val="0"/>
          <c:spPr>
            <a:solidFill>
              <a:srgbClr val="9933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'Introducción de datos'!$C$33:$N$33</c:f>
              <c:numCache>
                <c:ptCount val="12"/>
                <c:pt idx="0">
                  <c:v>1525028.4</c:v>
                </c:pt>
                <c:pt idx="1">
                  <c:v>2212401.4</c:v>
                </c:pt>
                <c:pt idx="2">
                  <c:v>2587475.9</c:v>
                </c:pt>
                <c:pt idx="3">
                  <c:v>2814774.9</c:v>
                </c:pt>
                <c:pt idx="4">
                  <c:v>3244437.9</c:v>
                </c:pt>
                <c:pt idx="5">
                  <c:v>3584850.9</c:v>
                </c:pt>
                <c:pt idx="6">
                  <c:v>3704654.9</c:v>
                </c:pt>
                <c:pt idx="7">
                  <c:v>3808352.9</c:v>
                </c:pt>
                <c:pt idx="8">
                  <c:v>4185765.9</c:v>
                </c:pt>
                <c:pt idx="9">
                  <c:v>4462237.9</c:v>
                </c:pt>
                <c:pt idx="10">
                  <c:v>0</c:v>
                </c:pt>
                <c:pt idx="11">
                  <c:v>0</c:v>
                </c:pt>
              </c:numCache>
            </c:numRef>
          </c:val>
        </c:ser>
        <c:ser>
          <c:idx val="1"/>
          <c:order val="1"/>
          <c:spPr>
            <a:solidFill>
              <a:srgbClr val="0070C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'Introducción de datos'!$C$34:$N$34</c:f>
              <c:numCache>
                <c:ptCount val="12"/>
                <c:pt idx="0">
                  <c:v>983264</c:v>
                </c:pt>
                <c:pt idx="1">
                  <c:v>2776561</c:v>
                </c:pt>
                <c:pt idx="2">
                  <c:v>2776561</c:v>
                </c:pt>
                <c:pt idx="3">
                  <c:v>3217435</c:v>
                </c:pt>
                <c:pt idx="4">
                  <c:v>3217435</c:v>
                </c:pt>
                <c:pt idx="5">
                  <c:v>4135029</c:v>
                </c:pt>
                <c:pt idx="6">
                  <c:v>4135029</c:v>
                </c:pt>
                <c:pt idx="7">
                  <c:v>4135029</c:v>
                </c:pt>
                <c:pt idx="8">
                  <c:v>4574368</c:v>
                </c:pt>
                <c:pt idx="9">
                  <c:v>4574368</c:v>
                </c:pt>
                <c:pt idx="10">
                  <c:v>0</c:v>
                </c:pt>
                <c:pt idx="11">
                  <c:v>0</c:v>
                </c:pt>
              </c:numCache>
            </c:numRef>
          </c:val>
        </c:ser>
        <c:gapWidth val="70"/>
        <c:axId val="38978764"/>
        <c:axId val="15264557"/>
      </c:barChart>
      <c:catAx>
        <c:axId val="38978764"/>
        <c:scaling>
          <c:orientation val="minMax"/>
        </c:scaling>
        <c:axPos val="b"/>
        <c:title>
          <c:tx>
            <c:rich>
              <a:bodyPr vert="horz" rot="0" anchor="ctr"/>
              <a:lstStyle/>
              <a:p>
                <a:pPr algn="ctr">
                  <a:defRPr/>
                </a:pPr>
                <a:r>
                  <a:rPr lang="en-US" cap="none" sz="575" b="1" i="0" u="none" baseline="0">
                    <a:solidFill>
                      <a:srgbClr val="000000"/>
                    </a:solidFill>
                  </a:rPr>
                  <a:t>Periodo de referencia</a:t>
                </a:r>
              </a:p>
            </c:rich>
          </c:tx>
          <c:layout>
            <c:manualLayout>
              <c:xMode val="factor"/>
              <c:yMode val="factor"/>
              <c:x val="-0.01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600" b="0" i="0" u="none" baseline="0">
                <a:solidFill>
                  <a:srgbClr val="000000"/>
                </a:solidFill>
              </a:defRPr>
            </a:pPr>
          </a:p>
        </c:txPr>
        <c:crossAx val="15264557"/>
        <c:crossesAt val="0"/>
        <c:auto val="1"/>
        <c:lblOffset val="100"/>
        <c:tickLblSkip val="1"/>
        <c:noMultiLvlLbl val="0"/>
      </c:catAx>
      <c:valAx>
        <c:axId val="15264557"/>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38978764"/>
        <c:crossesAt val="1"/>
        <c:crossBetween val="between"/>
        <c:dispUnits/>
      </c:valAx>
      <c:spPr>
        <a:solidFill>
          <a:srgbClr val="FFFFFF"/>
        </a:solidFill>
        <a:ln w="3175">
          <a:solidFill>
            <a:srgbClr val="000000"/>
          </a:solidFill>
        </a:ln>
      </c:spPr>
    </c:plotArea>
    <c:legend>
      <c:legendPos val="r"/>
      <c:layout>
        <c:manualLayout>
          <c:xMode val="edge"/>
          <c:yMode val="edge"/>
          <c:x val="0.064"/>
          <c:y val="0.84925"/>
          <c:w val="0.68875"/>
          <c:h val="0.105"/>
        </c:manualLayout>
      </c:layout>
      <c:overlay val="0"/>
      <c:spPr>
        <a:solidFill>
          <a:srgbClr val="FFFFFF"/>
        </a:solidFill>
        <a:ln w="3175">
          <a:solidFill>
            <a:srgbClr val="000000"/>
          </a:solidFill>
        </a:ln>
      </c:spPr>
      <c:txPr>
        <a:bodyPr vert="horz" rot="0"/>
        <a:lstStyle/>
        <a:p>
          <a:pPr>
            <a:defRPr lang="en-US" cap="none" sz="40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
          <c:y val="0.09425"/>
          <c:w val="0.903"/>
          <c:h val="0.8365"/>
        </c:manualLayout>
      </c:layout>
      <c:barChart>
        <c:barDir val="col"/>
        <c:grouping val="clustered"/>
        <c:varyColors val="0"/>
        <c:ser>
          <c:idx val="0"/>
          <c:order val="0"/>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datos'!$H$117:$Q$117</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datos'!$H$123:$Q$123</c:f>
              <c:numCache>
                <c:ptCount val="10"/>
                <c:pt idx="0">
                  <c:v>87</c:v>
                </c:pt>
                <c:pt idx="1">
                  <c:v>65</c:v>
                </c:pt>
                <c:pt idx="2">
                  <c:v>67</c:v>
                </c:pt>
                <c:pt idx="3">
                  <c:v>96.9</c:v>
                </c:pt>
                <c:pt idx="4">
                  <c:v>96</c:v>
                </c:pt>
                <c:pt idx="5">
                  <c:v>97.1</c:v>
                </c:pt>
                <c:pt idx="6">
                  <c:v>96.9</c:v>
                </c:pt>
                <c:pt idx="7">
                  <c:v>94.8</c:v>
                </c:pt>
                <c:pt idx="8">
                  <c:v>97.1</c:v>
                </c:pt>
              </c:numCache>
            </c:numRef>
          </c:val>
        </c:ser>
        <c:ser>
          <c:idx val="1"/>
          <c:order val="1"/>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datos'!$H$117:$Q$117</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datos'!$H$124:$Q$124</c:f>
              <c:numCache>
                <c:ptCount val="10"/>
                <c:pt idx="0">
                  <c:v>96.6</c:v>
                </c:pt>
                <c:pt idx="1">
                  <c:v>94.83</c:v>
                </c:pt>
                <c:pt idx="2">
                  <c:v>65</c:v>
                </c:pt>
                <c:pt idx="3">
                  <c:v>97.7</c:v>
                </c:pt>
                <c:pt idx="4">
                  <c:v>97</c:v>
                </c:pt>
                <c:pt idx="5">
                  <c:v>96.63</c:v>
                </c:pt>
                <c:pt idx="6">
                  <c:v>97.7</c:v>
                </c:pt>
                <c:pt idx="7">
                  <c:v>97.7</c:v>
                </c:pt>
                <c:pt idx="8">
                  <c:v>96.89</c:v>
                </c:pt>
              </c:numCache>
            </c:numRef>
          </c:val>
        </c:ser>
        <c:axId val="46574438"/>
        <c:axId val="16516759"/>
      </c:barChart>
      <c:catAx>
        <c:axId val="46574438"/>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16516759"/>
        <c:crossesAt val="0"/>
        <c:auto val="1"/>
        <c:lblOffset val="100"/>
        <c:tickLblSkip val="1"/>
        <c:noMultiLvlLbl val="0"/>
      </c:catAx>
      <c:valAx>
        <c:axId val="16516759"/>
        <c:scaling>
          <c:orientation val="minMax"/>
        </c:scaling>
        <c:axPos val="l"/>
        <c:majorGridlines>
          <c:spPr>
            <a:ln w="3175">
              <a:solidFill>
                <a:srgbClr val="000000"/>
              </a:solidFill>
            </a:ln>
          </c:spPr>
        </c:majorGridlines>
        <c:delete val="0"/>
        <c:numFmt formatCode="_ * #,##0_ ;_ * \-#,##0_ ;_ * \-_ ;_ @_ " sourceLinked="0"/>
        <c:majorTickMark val="out"/>
        <c:minorTickMark val="none"/>
        <c:tickLblPos val="nextTo"/>
        <c:spPr>
          <a:ln w="3175">
            <a:solidFill>
              <a:srgbClr val="000000"/>
            </a:solidFill>
          </a:ln>
        </c:spPr>
        <c:txPr>
          <a:bodyPr vert="horz" rot="0"/>
          <a:lstStyle/>
          <a:p>
            <a:pPr>
              <a:defRPr lang="en-US" cap="none" sz="475" b="0" i="0" u="none" baseline="0">
                <a:solidFill>
                  <a:srgbClr val="000000"/>
                </a:solidFill>
              </a:defRPr>
            </a:pPr>
          </a:p>
        </c:txPr>
        <c:crossAx val="46574438"/>
        <c:crossesAt val="1"/>
        <c:crossBetween val="between"/>
        <c:dispUnits/>
      </c:valAx>
      <c:spPr>
        <a:noFill/>
        <a:ln>
          <a:noFill/>
        </a:ln>
      </c:spPr>
    </c:plotArea>
    <c:legend>
      <c:legendPos val="r"/>
      <c:layout>
        <c:manualLayout>
          <c:xMode val="edge"/>
          <c:yMode val="edge"/>
          <c:x val="0.2175"/>
          <c:y val="0.80775"/>
          <c:w val="0.337"/>
          <c:h val="0.0825"/>
        </c:manualLayout>
      </c:layout>
      <c:overlay val="0"/>
      <c:spPr>
        <a:solidFill>
          <a:srgbClr val="FFFFFF"/>
        </a:solidFill>
        <a:ln w="3175">
          <a:noFill/>
        </a:ln>
      </c:spPr>
      <c:txPr>
        <a:bodyPr vert="horz" rot="0"/>
        <a:lstStyle/>
        <a:p>
          <a:pPr>
            <a:defRPr lang="en-US" cap="none" sz="57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5"/>
          <c:y val="0.108"/>
          <c:w val="0.9175"/>
          <c:h val="0.835"/>
        </c:manualLayout>
      </c:layout>
      <c:barChart>
        <c:barDir val="col"/>
        <c:grouping val="clustered"/>
        <c:varyColors val="0"/>
        <c:ser>
          <c:idx val="0"/>
          <c:order val="0"/>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datos'!$H$117:$Q$117</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datos'!$H$119:$Q$119</c:f>
              <c:numCache>
                <c:ptCount val="10"/>
                <c:pt idx="3">
                  <c:v>15.1</c:v>
                </c:pt>
                <c:pt idx="4">
                  <c:v>15</c:v>
                </c:pt>
                <c:pt idx="5">
                  <c:v>15.1</c:v>
                </c:pt>
                <c:pt idx="6">
                  <c:v>15.1</c:v>
                </c:pt>
                <c:pt idx="7">
                  <c:v>15.2</c:v>
                </c:pt>
                <c:pt idx="8">
                  <c:v>15.2</c:v>
                </c:pt>
              </c:numCache>
            </c:numRef>
          </c:val>
        </c:ser>
        <c:ser>
          <c:idx val="1"/>
          <c:order val="1"/>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datos'!$H$117:$Q$117</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datos'!$H$120:$Q$120</c:f>
              <c:numCache>
                <c:ptCount val="10"/>
                <c:pt idx="3">
                  <c:v>19.45</c:v>
                </c:pt>
                <c:pt idx="4">
                  <c:v>13.8</c:v>
                </c:pt>
                <c:pt idx="5">
                  <c:v>14.8</c:v>
                </c:pt>
                <c:pt idx="6">
                  <c:v>19.45</c:v>
                </c:pt>
                <c:pt idx="7">
                  <c:v>14.3</c:v>
                </c:pt>
                <c:pt idx="8">
                  <c:v>13.82</c:v>
                </c:pt>
              </c:numCache>
            </c:numRef>
          </c:val>
        </c:ser>
        <c:axId val="14433104"/>
        <c:axId val="62789073"/>
      </c:barChart>
      <c:catAx>
        <c:axId val="14433104"/>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62789073"/>
        <c:crossesAt val="0"/>
        <c:auto val="1"/>
        <c:lblOffset val="100"/>
        <c:tickLblSkip val="1"/>
        <c:noMultiLvlLbl val="0"/>
      </c:catAx>
      <c:valAx>
        <c:axId val="62789073"/>
        <c:scaling>
          <c:orientation val="minMax"/>
        </c:scaling>
        <c:axPos val="l"/>
        <c:majorGridlines>
          <c:spPr>
            <a:ln w="3175">
              <a:solidFill>
                <a:srgbClr val="000000"/>
              </a:solidFill>
            </a:ln>
          </c:spPr>
        </c:majorGridlines>
        <c:delete val="0"/>
        <c:numFmt formatCode="_ * #,##0_ ;_ * \-#,##0_ ;_ * \-_ ;_ @_ " sourceLinked="0"/>
        <c:majorTickMark val="out"/>
        <c:minorTickMark val="none"/>
        <c:tickLblPos val="nextTo"/>
        <c:spPr>
          <a:ln w="3175">
            <a:solidFill>
              <a:srgbClr val="000000"/>
            </a:solidFill>
          </a:ln>
        </c:spPr>
        <c:txPr>
          <a:bodyPr vert="horz" rot="0"/>
          <a:lstStyle/>
          <a:p>
            <a:pPr>
              <a:defRPr lang="en-US" cap="none" sz="475" b="0" i="0" u="none" baseline="0">
                <a:solidFill>
                  <a:srgbClr val="000000"/>
                </a:solidFill>
              </a:defRPr>
            </a:pPr>
          </a:p>
        </c:txPr>
        <c:crossAx val="14433104"/>
        <c:crossesAt val="1"/>
        <c:crossBetween val="between"/>
        <c:dispUnits/>
      </c:valAx>
      <c:spPr>
        <a:noFill/>
        <a:ln>
          <a:noFill/>
        </a:ln>
      </c:spPr>
    </c:plotArea>
    <c:legend>
      <c:legendPos val="r"/>
      <c:layout>
        <c:manualLayout>
          <c:xMode val="edge"/>
          <c:yMode val="edge"/>
          <c:x val="0.03675"/>
          <c:y val="0.826"/>
          <c:w val="0.548"/>
          <c:h val="0.07075"/>
        </c:manualLayout>
      </c:layout>
      <c:overlay val="0"/>
      <c:spPr>
        <a:solidFill>
          <a:srgbClr val="FFFFFF"/>
        </a:solidFill>
        <a:ln w="3175">
          <a:noFill/>
        </a:ln>
      </c:spPr>
      <c:txPr>
        <a:bodyPr vert="horz" rot="0"/>
        <a:lstStyle/>
        <a:p>
          <a:pPr>
            <a:defRPr lang="en-US" cap="none" sz="57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365"/>
          <c:w val="0.8"/>
          <c:h val="0.963"/>
        </c:manualLayout>
      </c:layout>
      <c:barChart>
        <c:barDir val="col"/>
        <c:grouping val="stacked"/>
        <c:varyColors val="0"/>
        <c:ser>
          <c:idx val="0"/>
          <c:order val="0"/>
          <c:tx>
            <c:strRef>
              <c:f>Financiamiento!$M$16</c:f>
              <c:strCache>
                <c:ptCount val="1"/>
                <c:pt idx="0">
                  <c:v>Periodo Anterior</c:v>
                </c:pt>
              </c:strCache>
            </c:strRef>
          </c:tx>
          <c:spPr>
            <a:solidFill>
              <a:srgbClr val="376092"/>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datos'!$B$52:$B$55</c:f>
              <c:strCache>
                <c:ptCount val="4"/>
                <c:pt idx="0">
                  <c:v>Desembolsado por el Fondo Mundial</c:v>
                </c:pt>
                <c:pt idx="1">
                  <c:v>Gasto RP + desembolso a SRs</c:v>
                </c:pt>
                <c:pt idx="2">
                  <c:v>Desembolsado a los subreceptores</c:v>
                </c:pt>
                <c:pt idx="3">
                  <c:v>Gastos de los subreceptores</c:v>
                </c:pt>
              </c:strCache>
            </c:strRef>
          </c:cat>
          <c:val>
            <c:numRef>
              <c:f>'Introducción de datos'!$C$52:$C$55</c:f>
              <c:numCache>
                <c:ptCount val="4"/>
                <c:pt idx="0">
                  <c:v>4135029</c:v>
                </c:pt>
                <c:pt idx="1">
                  <c:v>3855733.8</c:v>
                </c:pt>
              </c:numCache>
            </c:numRef>
          </c:val>
        </c:ser>
        <c:ser>
          <c:idx val="1"/>
          <c:order val="1"/>
          <c:tx>
            <c:strRef>
              <c:f>Financiamiento!$M$15</c:f>
              <c:strCache>
                <c:ptCount val="1"/>
                <c:pt idx="0">
                  <c:v>Periodo Actual</c:v>
                </c:pt>
              </c:strCache>
            </c:strRef>
          </c:tx>
          <c:spPr>
            <a:solidFill>
              <a:srgbClr val="93CDD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datos'!$B$52:$B$55</c:f>
              <c:strCache>
                <c:ptCount val="4"/>
                <c:pt idx="0">
                  <c:v>Desembolsado por el Fondo Mundial</c:v>
                </c:pt>
                <c:pt idx="1">
                  <c:v>Gasto RP + desembolso a SRs</c:v>
                </c:pt>
                <c:pt idx="2">
                  <c:v>Desembolsado a los subreceptores</c:v>
                </c:pt>
                <c:pt idx="3">
                  <c:v>Gastos de los subreceptores</c:v>
                </c:pt>
              </c:strCache>
            </c:strRef>
          </c:cat>
          <c:val>
            <c:numRef>
              <c:f>'Introducción de datos'!$D$52:$D$55</c:f>
              <c:numCache>
                <c:ptCount val="4"/>
                <c:pt idx="0">
                  <c:v>439339</c:v>
                </c:pt>
                <c:pt idx="1">
                  <c:v>392514.32</c:v>
                </c:pt>
              </c:numCache>
            </c:numRef>
          </c:val>
        </c:ser>
        <c:overlap val="100"/>
        <c:axId val="3163286"/>
        <c:axId val="28469575"/>
      </c:barChart>
      <c:catAx>
        <c:axId val="316328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28469575"/>
        <c:crossesAt val="0"/>
        <c:auto val="1"/>
        <c:lblOffset val="100"/>
        <c:tickLblSkip val="1"/>
        <c:noMultiLvlLbl val="0"/>
      </c:catAx>
      <c:valAx>
        <c:axId val="28469575"/>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3163286"/>
        <c:crossesAt val="1"/>
        <c:crossBetween val="between"/>
        <c:dispUnits/>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35"/>
          <c:y val="0.09425"/>
          <c:w val="0.83525"/>
          <c:h val="0.87575"/>
        </c:manualLayout>
      </c:layout>
      <c:barChart>
        <c:barDir val="col"/>
        <c:grouping val="clustered"/>
        <c:varyColors val="0"/>
        <c:ser>
          <c:idx val="0"/>
          <c:order val="0"/>
          <c:tx>
            <c:strRef>
              <c:f>Financiamiento!$C$32</c:f>
              <c:strCache>
                <c:ptCount val="1"/>
                <c:pt idx="0">
                  <c:v>Presupuesto acumulado</c:v>
                </c:pt>
              </c:strCache>
            </c:strRef>
          </c:tx>
          <c:spPr>
            <a:solidFill>
              <a:srgbClr val="9933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datos'!$B$39:$B$44</c:f>
              <c:strCache>
                <c:ptCount val="6"/>
                <c:pt idx="0">
                  <c:v>Objetivo 1</c:v>
                </c:pt>
                <c:pt idx="1">
                  <c:v>Objetivo 2</c:v>
                </c:pt>
                <c:pt idx="2">
                  <c:v>Objetivo 3</c:v>
                </c:pt>
                <c:pt idx="3">
                  <c:v>Objetivo 4</c:v>
                </c:pt>
                <c:pt idx="4">
                  <c:v>Objetivo 5</c:v>
                </c:pt>
                <c:pt idx="5">
                  <c:v>Objetivo 6</c:v>
                </c:pt>
              </c:strCache>
            </c:strRef>
          </c:cat>
          <c:val>
            <c:numRef>
              <c:f>'Introducción de datos'!$C$39:$C$44</c:f>
              <c:numCache>
                <c:ptCount val="6"/>
                <c:pt idx="0">
                  <c:v>1658832.9700000002</c:v>
                </c:pt>
                <c:pt idx="1">
                  <c:v>384929.1699999999</c:v>
                </c:pt>
                <c:pt idx="2">
                  <c:v>1482446.5199999998</c:v>
                </c:pt>
                <c:pt idx="3">
                  <c:v>285133.69000000006</c:v>
                </c:pt>
                <c:pt idx="4">
                  <c:v>650895.55</c:v>
                </c:pt>
              </c:numCache>
            </c:numRef>
          </c:val>
        </c:ser>
        <c:ser>
          <c:idx val="1"/>
          <c:order val="1"/>
          <c:tx>
            <c:strRef>
              <c:f>Financiamiento!$C$33</c:f>
              <c:strCache>
                <c:ptCount val="1"/>
                <c:pt idx="0">
                  <c:v>Gastos acumulados</c:v>
                </c:pt>
              </c:strCache>
            </c:strRef>
          </c:tx>
          <c:spPr>
            <a:solidFill>
              <a:srgbClr val="CCC1DA"/>
            </a:solidFill>
            <a:ln w="3175">
              <a:solidFill>
                <a:srgbClr val="8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datos'!$B$39:$B$44</c:f>
              <c:strCache>
                <c:ptCount val="6"/>
                <c:pt idx="0">
                  <c:v>Objetivo 1</c:v>
                </c:pt>
                <c:pt idx="1">
                  <c:v>Objetivo 2</c:v>
                </c:pt>
                <c:pt idx="2">
                  <c:v>Objetivo 3</c:v>
                </c:pt>
                <c:pt idx="3">
                  <c:v>Objetivo 4</c:v>
                </c:pt>
                <c:pt idx="4">
                  <c:v>Objetivo 5</c:v>
                </c:pt>
                <c:pt idx="5">
                  <c:v>Objetivo 6</c:v>
                </c:pt>
              </c:strCache>
            </c:strRef>
          </c:cat>
          <c:val>
            <c:numRef>
              <c:f>'Introducción de datos'!$D$39:$D$44</c:f>
              <c:numCache>
                <c:ptCount val="6"/>
                <c:pt idx="0">
                  <c:v>1529495.73</c:v>
                </c:pt>
                <c:pt idx="1">
                  <c:v>345094.55</c:v>
                </c:pt>
                <c:pt idx="2">
                  <c:v>1445988.0499999998</c:v>
                </c:pt>
                <c:pt idx="3">
                  <c:v>267954.42</c:v>
                </c:pt>
                <c:pt idx="4">
                  <c:v>659715.3700000001</c:v>
                </c:pt>
              </c:numCache>
            </c:numRef>
          </c:val>
        </c:ser>
        <c:axId val="54899584"/>
        <c:axId val="24334209"/>
      </c:barChart>
      <c:catAx>
        <c:axId val="5489958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500" b="0" i="0" u="none" baseline="0">
                <a:solidFill>
                  <a:srgbClr val="000000"/>
                </a:solidFill>
              </a:defRPr>
            </a:pPr>
          </a:p>
        </c:txPr>
        <c:crossAx val="24334209"/>
        <c:crossesAt val="0"/>
        <c:auto val="1"/>
        <c:lblOffset val="100"/>
        <c:tickLblSkip val="1"/>
        <c:noMultiLvlLbl val="0"/>
      </c:catAx>
      <c:valAx>
        <c:axId val="24334209"/>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500" b="0" i="0" u="none" baseline="0">
                <a:solidFill>
                  <a:srgbClr val="000000"/>
                </a:solidFill>
              </a:defRPr>
            </a:pPr>
          </a:p>
        </c:txPr>
        <c:crossAx val="54899584"/>
        <c:crossesAt val="1"/>
        <c:crossBetween val="between"/>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23225"/>
          <c:w val="0.9505"/>
          <c:h val="0.659"/>
        </c:manualLayout>
      </c:layout>
      <c:barChart>
        <c:barDir val="bar"/>
        <c:grouping val="percentStacked"/>
        <c:varyColors val="0"/>
        <c:ser>
          <c:idx val="0"/>
          <c:order val="0"/>
          <c:tx>
            <c:strRef>
              <c:f>'Introducción de datos'!$D$78</c:f>
              <c:strCache>
                <c:ptCount val="1"/>
                <c:pt idx="0">
                  <c:v>Cubiertos</c:v>
                </c:pt>
              </c:strCache>
            </c:strRef>
          </c:tx>
          <c:spPr>
            <a:solidFill>
              <a:srgbClr val="33CC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00"/>
              </a:solidFill>
              <a:ln w="3175">
                <a:noFill/>
              </a:ln>
            </c:spPr>
          </c:dPt>
          <c:dLbls>
            <c:dLbl>
              <c:idx val="0"/>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'Introducción de datos'!$D$79</c:f>
              <c:numCache>
                <c:ptCount val="1"/>
                <c:pt idx="0">
                  <c:v>2</c:v>
                </c:pt>
              </c:numCache>
            </c:numRef>
          </c:val>
        </c:ser>
        <c:ser>
          <c:idx val="1"/>
          <c:order val="1"/>
          <c:tx>
            <c:strRef>
              <c:f>'Introducción de datos'!$E$78</c:f>
              <c:strCache>
                <c:ptCount val="1"/>
                <c:pt idx="0">
                  <c:v>Vacantes</c:v>
                </c:pt>
              </c:strCache>
            </c:strRef>
          </c:tx>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5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'Introducción de datos'!$E$79</c:f>
              <c:numCache>
                <c:ptCount val="1"/>
                <c:pt idx="0">
                  <c:v>0</c:v>
                </c:pt>
              </c:numCache>
            </c:numRef>
          </c:val>
        </c:ser>
        <c:overlap val="100"/>
        <c:gapWidth val="79"/>
        <c:axId val="17681290"/>
        <c:axId val="24913883"/>
      </c:barChart>
      <c:catAx>
        <c:axId val="17681290"/>
        <c:scaling>
          <c:orientation val="minMax"/>
        </c:scaling>
        <c:axPos val="l"/>
        <c:delete val="1"/>
        <c:majorTickMark val="out"/>
        <c:minorTickMark val="none"/>
        <c:tickLblPos val="nextTo"/>
        <c:crossAx val="24913883"/>
        <c:crossesAt val="0"/>
        <c:auto val="1"/>
        <c:lblOffset val="100"/>
        <c:tickLblSkip val="1"/>
        <c:noMultiLvlLbl val="0"/>
      </c:catAx>
      <c:valAx>
        <c:axId val="24913883"/>
        <c:scaling>
          <c:orientation val="minMax"/>
        </c:scaling>
        <c:axPos val="b"/>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17681290"/>
        <c:crosses val="max"/>
        <c:crossBetween val="between"/>
        <c:dispUnits/>
      </c:valAx>
      <c:spPr>
        <a:solidFill>
          <a:srgbClr val="FFFFFF"/>
        </a:solidFill>
        <a:ln w="3175">
          <a:noFill/>
        </a:ln>
      </c:spPr>
    </c:plotArea>
    <c:legend>
      <c:legendPos val="r"/>
      <c:layout>
        <c:manualLayout>
          <c:xMode val="edge"/>
          <c:yMode val="edge"/>
          <c:x val="0.22375"/>
          <c:y val="0.752"/>
          <c:w val="0.43775"/>
          <c:h val="0.178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5"/>
          <c:y val="0.12225"/>
          <c:w val="0.929"/>
          <c:h val="0.71125"/>
        </c:manualLayout>
      </c:layout>
      <c:barChart>
        <c:barDir val="col"/>
        <c:grouping val="clustered"/>
        <c:varyColors val="0"/>
        <c:ser>
          <c:idx val="0"/>
          <c:order val="0"/>
          <c:tx>
            <c:strRef>
              <c:f>'Introducción de datos'!$C$83</c:f>
              <c:strCache>
                <c:ptCount val="1"/>
                <c:pt idx="0">
                  <c:v>Identificados</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datos'!$C$84</c:f>
              <c:numCache>
                <c:ptCount val="1"/>
              </c:numCache>
            </c:numRef>
          </c:val>
        </c:ser>
        <c:ser>
          <c:idx val="1"/>
          <c:order val="1"/>
          <c:tx>
            <c:strRef>
              <c:f>'Introducción de datos'!$D$83</c:f>
              <c:strCache>
                <c:ptCount val="1"/>
                <c:pt idx="0">
                  <c:v>Evaluados</c:v>
                </c:pt>
              </c:strCache>
            </c:strRef>
          </c:tx>
          <c:spPr>
            <a:solidFill>
              <a:srgbClr val="F2F2F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datos'!$D$84</c:f>
              <c:numCache>
                <c:ptCount val="1"/>
              </c:numCache>
            </c:numRef>
          </c:val>
        </c:ser>
        <c:ser>
          <c:idx val="2"/>
          <c:order val="2"/>
          <c:tx>
            <c:strRef>
              <c:f>'Introducción de datos'!$E$83</c:f>
              <c:strCache>
                <c:ptCount val="1"/>
                <c:pt idx="0">
                  <c:v>Aprobados</c:v>
                </c:pt>
              </c:strCache>
            </c:strRef>
          </c:tx>
          <c:spPr>
            <a:solidFill>
              <a:srgbClr val="D9D9D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datos'!$E$84</c:f>
              <c:numCache>
                <c:ptCount val="1"/>
              </c:numCache>
            </c:numRef>
          </c:val>
        </c:ser>
        <c:ser>
          <c:idx val="3"/>
          <c:order val="3"/>
          <c:tx>
            <c:strRef>
              <c:f>'Introducción de datos'!$F$83</c:f>
              <c:strCache>
                <c:ptCount val="1"/>
                <c:pt idx="0">
                  <c:v>Firmados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datos'!$F$84</c:f>
              <c:numCache>
                <c:ptCount val="1"/>
              </c:numCache>
            </c:numRef>
          </c:val>
        </c:ser>
        <c:ser>
          <c:idx val="4"/>
          <c:order val="4"/>
          <c:tx>
            <c:strRef>
              <c:f>'Introducción de datos'!$G$83</c:f>
              <c:strCache>
                <c:ptCount val="1"/>
                <c:pt idx="0">
                  <c:v>Que reciben financiación</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A6A6A6"/>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val>
            <c:numRef>
              <c:f>'Introducción de datos'!$G$84</c:f>
              <c:numCache>
                <c:ptCount val="1"/>
              </c:numCache>
            </c:numRef>
          </c:val>
        </c:ser>
        <c:overlap val="-20"/>
        <c:axId val="22898356"/>
        <c:axId val="4758613"/>
      </c:barChart>
      <c:catAx>
        <c:axId val="22898356"/>
        <c:scaling>
          <c:orientation val="minMax"/>
        </c:scaling>
        <c:axPos val="b"/>
        <c:delete val="0"/>
        <c:numFmt formatCode="General" sourceLinked="1"/>
        <c:majorTickMark val="none"/>
        <c:minorTickMark val="none"/>
        <c:tickLblPos val="none"/>
        <c:spPr>
          <a:ln w="3175">
            <a:solidFill>
              <a:srgbClr val="000000"/>
            </a:solidFill>
          </a:ln>
        </c:spPr>
        <c:crossAx val="4758613"/>
        <c:crossesAt val="0"/>
        <c:auto val="0"/>
        <c:lblOffset val="100"/>
        <c:tickLblSkip val="1"/>
        <c:noMultiLvlLbl val="0"/>
      </c:catAx>
      <c:valAx>
        <c:axId val="475861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2898356"/>
        <c:crossesAt val="1"/>
        <c:crossBetween val="between"/>
        <c:dispUnits/>
      </c:valAx>
      <c:spPr>
        <a:noFill/>
        <a:ln>
          <a:noFill/>
        </a:ln>
      </c:spPr>
    </c:plotArea>
    <c:legend>
      <c:legendPos val="r"/>
      <c:layout>
        <c:manualLayout>
          <c:xMode val="edge"/>
          <c:yMode val="edge"/>
          <c:x val="0"/>
          <c:y val="0.712"/>
          <c:w val="0.89425"/>
          <c:h val="0.087"/>
        </c:manualLayout>
      </c:layout>
      <c:overlay val="0"/>
      <c:spPr>
        <a:noFill/>
        <a:ln w="3175">
          <a:noFill/>
        </a:ln>
      </c:spPr>
      <c:txPr>
        <a:bodyPr vert="horz" rot="0"/>
        <a:lstStyle/>
        <a:p>
          <a:pPr>
            <a:defRPr lang="en-US" cap="none" sz="57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175"/>
          <c:y val="0.111"/>
          <c:w val="0.7695"/>
          <c:h val="0.73925"/>
        </c:manualLayout>
      </c:layout>
      <c:barChart>
        <c:barDir val="bar"/>
        <c:grouping val="percentStacked"/>
        <c:varyColors val="0"/>
        <c:ser>
          <c:idx val="0"/>
          <c:order val="0"/>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'Introducción de datos'!$B$72:$B$73</c:f>
              <c:strCache>
                <c:ptCount val="2"/>
                <c:pt idx="0">
                  <c:v>Condiciones precedentes</c:v>
                </c:pt>
                <c:pt idx="1">
                  <c:v>Acciones con fecha límite</c:v>
                </c:pt>
              </c:strCache>
            </c:strRef>
          </c:cat>
          <c:val>
            <c:numRef>
              <c:f>'Introducción de datos'!$D$72:$D$73</c:f>
              <c:numCache>
                <c:ptCount val="2"/>
                <c:pt idx="0">
                  <c:v>17</c:v>
                </c:pt>
                <c:pt idx="1">
                  <c:v>0</c:v>
                </c:pt>
              </c:numCache>
            </c:numRef>
          </c:val>
        </c:ser>
        <c:ser>
          <c:idx val="1"/>
          <c:order val="1"/>
          <c:spPr>
            <a:solidFill>
              <a:srgbClr val="FFFF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'Introducción de datos'!$B$72:$B$73</c:f>
              <c:strCache>
                <c:ptCount val="2"/>
                <c:pt idx="0">
                  <c:v>Condiciones precedentes</c:v>
                </c:pt>
                <c:pt idx="1">
                  <c:v>Acciones con fecha límite</c:v>
                </c:pt>
              </c:strCache>
            </c:strRef>
          </c:cat>
          <c:val>
            <c:numRef>
              <c:f>'Introducción de datos'!$E$72:$E$73</c:f>
              <c:numCache>
                <c:ptCount val="2"/>
              </c:numCache>
            </c:numRef>
          </c:val>
        </c:ser>
        <c:ser>
          <c:idx val="2"/>
          <c:order val="2"/>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'Introducción de datos'!$B$72:$B$73</c:f>
              <c:strCache>
                <c:ptCount val="2"/>
                <c:pt idx="0">
                  <c:v>Condiciones precedentes</c:v>
                </c:pt>
                <c:pt idx="1">
                  <c:v>Acciones con fecha límite</c:v>
                </c:pt>
              </c:strCache>
            </c:strRef>
          </c:cat>
          <c:val>
            <c:numRef>
              <c:f>'Introducción de datos'!$F$72:$F$73</c:f>
              <c:numCache>
                <c:ptCount val="2"/>
              </c:numCache>
            </c:numRef>
          </c:val>
        </c:ser>
        <c:overlap val="100"/>
        <c:gapWidth val="70"/>
        <c:axId val="42827518"/>
        <c:axId val="49903343"/>
      </c:barChart>
      <c:catAx>
        <c:axId val="4282751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9903343"/>
        <c:crossesAt val="0"/>
        <c:auto val="1"/>
        <c:lblOffset val="100"/>
        <c:tickLblSkip val="1"/>
        <c:noMultiLvlLbl val="0"/>
      </c:catAx>
      <c:valAx>
        <c:axId val="49903343"/>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2827518"/>
        <c:crossesAt val="1"/>
        <c:crossBetween val="between"/>
        <c:dispUnits/>
      </c:valAx>
      <c:spPr>
        <a:noFill/>
        <a:ln>
          <a:noFill/>
        </a:ln>
      </c:spPr>
    </c:plotArea>
    <c:legend>
      <c:legendPos val="r"/>
      <c:layout>
        <c:manualLayout>
          <c:xMode val="edge"/>
          <c:yMode val="edge"/>
          <c:x val="0"/>
          <c:y val="0.65925"/>
          <c:w val="0.985"/>
          <c:h val="0.17025"/>
        </c:manualLayout>
      </c:layout>
      <c:overlay val="0"/>
      <c:spPr>
        <a:noFill/>
        <a:ln w="3175">
          <a:noFill/>
        </a:ln>
      </c:spPr>
      <c:txPr>
        <a:bodyPr vert="horz" rot="0"/>
        <a:lstStyle/>
        <a:p>
          <a:pPr>
            <a:defRPr lang="en-US" cap="none" sz="57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
          <c:y val="0.152"/>
          <c:w val="0.79825"/>
          <c:h val="0.71025"/>
        </c:manualLayout>
      </c:layout>
      <c:barChart>
        <c:barDir val="bar"/>
        <c:grouping val="percentStacked"/>
        <c:varyColors val="0"/>
        <c:ser>
          <c:idx val="0"/>
          <c:order val="0"/>
          <c:tx>
            <c:strRef>
              <c:f>'Introducción de datos'!$D$88</c:f>
              <c:strCache>
                <c:ptCount val="1"/>
                <c:pt idx="0">
                  <c:v>Recibidos</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'Introducción de datos'!$B$89:$B$90</c:f>
              <c:strCache>
                <c:ptCount val="2"/>
                <c:pt idx="0">
                  <c:v>Sub SR al SR</c:v>
                </c:pt>
                <c:pt idx="1">
                  <c:v>Personal Técnico al RP</c:v>
                </c:pt>
              </c:strCache>
            </c:strRef>
          </c:cat>
          <c:val>
            <c:numRef>
              <c:f>'Introducción de datos'!$D$89:$D$90</c:f>
              <c:numCache>
                <c:ptCount val="2"/>
              </c:numCache>
            </c:numRef>
          </c:val>
        </c:ser>
        <c:ser>
          <c:idx val="1"/>
          <c:order val="1"/>
          <c:tx>
            <c:strRef>
              <c:f>'Introducción de datos'!$E$88</c:f>
              <c:strCache>
                <c:ptCount val="1"/>
                <c:pt idx="0">
                  <c:v>Pendientes</c:v>
                </c:pt>
              </c:strCache>
            </c:strRef>
          </c:tx>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solidFill>
                      <a:srgbClr val="FFFFFF"/>
                    </a:solidFill>
                    <a:latin typeface="Calibri"/>
                    <a:ea typeface="Calibri"/>
                    <a:cs typeface="Calibri"/>
                  </a:defRPr>
                </a:pPr>
              </a:p>
            </c:txPr>
            <c:showLegendKey val="0"/>
            <c:showVal val="1"/>
            <c:showBubbleSize val="0"/>
            <c:showCatName val="0"/>
            <c:showSerName val="0"/>
            <c:showPercent val="0"/>
          </c:dLbls>
          <c:cat>
            <c:strRef>
              <c:f>'Introducción de datos'!$B$89:$B$90</c:f>
              <c:strCache>
                <c:ptCount val="2"/>
                <c:pt idx="0">
                  <c:v>Sub SR al SR</c:v>
                </c:pt>
                <c:pt idx="1">
                  <c:v>Personal Técnico al RP</c:v>
                </c:pt>
              </c:strCache>
            </c:strRef>
          </c:cat>
          <c:val>
            <c:numRef>
              <c:f>'Introducción de datos'!$E$89:$E$90</c:f>
              <c:numCache>
                <c:ptCount val="2"/>
                <c:pt idx="0">
                  <c:v>0</c:v>
                </c:pt>
                <c:pt idx="1">
                  <c:v>0</c:v>
                </c:pt>
              </c:numCache>
            </c:numRef>
          </c:val>
        </c:ser>
        <c:overlap val="100"/>
        <c:gapWidth val="79"/>
        <c:axId val="46476904"/>
        <c:axId val="15638953"/>
      </c:barChart>
      <c:catAx>
        <c:axId val="4647690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15638953"/>
        <c:crossesAt val="0"/>
        <c:auto val="1"/>
        <c:lblOffset val="100"/>
        <c:tickLblSkip val="1"/>
        <c:noMultiLvlLbl val="0"/>
      </c:catAx>
      <c:valAx>
        <c:axId val="15638953"/>
        <c:scaling>
          <c:orientation val="minMax"/>
        </c:scaling>
        <c:axPos val="b"/>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46476904"/>
        <c:crosses val="max"/>
        <c:crossBetween val="between"/>
        <c:dispUnits/>
      </c:valAx>
      <c:spPr>
        <a:solidFill>
          <a:srgbClr val="FFFFFF"/>
        </a:solidFill>
        <a:ln w="3175">
          <a:noFill/>
        </a:ln>
      </c:spPr>
    </c:plotArea>
    <c:legend>
      <c:legendPos val="r"/>
      <c:layout>
        <c:manualLayout>
          <c:xMode val="edge"/>
          <c:yMode val="edge"/>
          <c:x val="0.2945"/>
          <c:y val="0.78375"/>
          <c:w val="0.3115"/>
          <c:h val="0.124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475"/>
          <c:y val="0.11"/>
          <c:w val="0.85975"/>
          <c:h val="0.660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val>
            <c:numRef>
              <c:f>'Introducción de datos'!$C$98:$N$98</c:f>
              <c:numCache>
                <c:ptCount val="12"/>
                <c:pt idx="0">
                  <c:v>164848.8</c:v>
                </c:pt>
                <c:pt idx="1">
                  <c:v>433646.8</c:v>
                </c:pt>
                <c:pt idx="2">
                  <c:v>511255.8</c:v>
                </c:pt>
                <c:pt idx="3">
                  <c:v>511255.8</c:v>
                </c:pt>
                <c:pt idx="4">
                  <c:v>627753.6</c:v>
                </c:pt>
                <c:pt idx="5">
                  <c:v>740333.6</c:v>
                </c:pt>
                <c:pt idx="6">
                  <c:v>740333.6</c:v>
                </c:pt>
                <c:pt idx="7">
                  <c:v>740333.6</c:v>
                </c:pt>
                <c:pt idx="8">
                  <c:v>856831.6</c:v>
                </c:pt>
                <c:pt idx="9">
                  <c:v>969411.6</c:v>
                </c:pt>
                <c:pt idx="10">
                  <c:v>969411.6</c:v>
                </c:pt>
                <c:pt idx="11">
                  <c:v>969411.6</c:v>
                </c:pt>
              </c:numCache>
            </c:numRef>
          </c:val>
          <c:smooth val="0"/>
        </c:ser>
        <c:ser>
          <c:idx val="1"/>
          <c:order val="1"/>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val>
            <c:numRef>
              <c:f>'Introducción de datos'!$C$99:$N$99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CC99"/>
              </a:solidFill>
              <a:ln>
                <a:solidFill>
                  <a:srgbClr val="FFCC99"/>
                </a:solidFill>
              </a:ln>
            </c:spPr>
          </c:marker>
          <c:val>
            <c:numRef>
              <c:f>'Introducción de datos'!$C$100:$N$100</c:f>
              <c:numCache>
                <c:ptCount val="12"/>
                <c:pt idx="0">
                  <c:v>0</c:v>
                </c:pt>
                <c:pt idx="1">
                  <c:v>428187</c:v>
                </c:pt>
                <c:pt idx="2">
                  <c:v>505795.8</c:v>
                </c:pt>
                <c:pt idx="3">
                  <c:v>517006.6</c:v>
                </c:pt>
                <c:pt idx="4">
                  <c:v>517006.6</c:v>
                </c:pt>
                <c:pt idx="5">
                  <c:v>745434.0599999999</c:v>
                </c:pt>
                <c:pt idx="6">
                  <c:v>745434.0599999999</c:v>
                </c:pt>
                <c:pt idx="7">
                  <c:v>836760.7599999999</c:v>
                </c:pt>
                <c:pt idx="8">
                  <c:v>836760.7599999999</c:v>
                </c:pt>
                <c:pt idx="9">
                  <c:v>951538.0799999998</c:v>
                </c:pt>
                <c:pt idx="10">
                  <c:v>951538.0799999998</c:v>
                </c:pt>
                <c:pt idx="11">
                  <c:v>951538.0799999998</c:v>
                </c:pt>
              </c:numCache>
            </c:numRef>
          </c:val>
          <c:smooth val="0"/>
        </c:ser>
        <c:marker val="1"/>
        <c:axId val="6532850"/>
        <c:axId val="58795651"/>
      </c:lineChart>
      <c:catAx>
        <c:axId val="653285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defRPr>
            </a:pPr>
          </a:p>
        </c:txPr>
        <c:crossAx val="58795651"/>
        <c:crossesAt val="0"/>
        <c:auto val="1"/>
        <c:lblOffset val="100"/>
        <c:tickLblSkip val="1"/>
        <c:noMultiLvlLbl val="0"/>
      </c:catAx>
      <c:valAx>
        <c:axId val="5879565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425" b="0" i="0" u="none" baseline="0">
                <a:solidFill>
                  <a:srgbClr val="000000"/>
                </a:solidFill>
              </a:defRPr>
            </a:pPr>
          </a:p>
        </c:txPr>
        <c:crossAx val="6532850"/>
        <c:crossesAt val="1"/>
        <c:crossBetween val="midCat"/>
        <c:dispUnits/>
      </c:valAx>
      <c:spPr>
        <a:solidFill>
          <a:srgbClr val="FFFFFF"/>
        </a:solidFill>
        <a:ln w="12700">
          <a:solidFill>
            <a:srgbClr val="808080"/>
          </a:solidFill>
        </a:ln>
      </c:spPr>
    </c:plotArea>
    <c:legend>
      <c:legendPos val="r"/>
      <c:layout>
        <c:manualLayout>
          <c:xMode val="edge"/>
          <c:yMode val="edge"/>
          <c:x val="0"/>
          <c:y val="0.66"/>
          <c:w val="0.879"/>
          <c:h val="0.204"/>
        </c:manualLayout>
      </c:layout>
      <c:overlay val="0"/>
      <c:spPr>
        <a:noFill/>
        <a:ln w="3175">
          <a:noFill/>
        </a:ln>
      </c:spPr>
      <c:txPr>
        <a:bodyPr vert="horz" rot="0"/>
        <a:lstStyle/>
        <a:p>
          <a:pPr>
            <a:defRPr lang="en-US" cap="none" sz="585"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225"/>
          <c:y val="0.0955"/>
          <c:w val="0.84575"/>
          <c:h val="0.812"/>
        </c:manualLayout>
      </c:layout>
      <c:barChart>
        <c:barDir val="col"/>
        <c:grouping val="clustered"/>
        <c:varyColors val="0"/>
        <c:ser>
          <c:idx val="0"/>
          <c:order val="0"/>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datos'!$H$117:$Q$117</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datos'!$H$121:$Q$121</c:f>
              <c:numCache>
                <c:ptCount val="10"/>
                <c:pt idx="0">
                  <c:v>98</c:v>
                </c:pt>
                <c:pt idx="1">
                  <c:v>48</c:v>
                </c:pt>
                <c:pt idx="2">
                  <c:v>98</c:v>
                </c:pt>
                <c:pt idx="3">
                  <c:v>116</c:v>
                </c:pt>
                <c:pt idx="4">
                  <c:v>220</c:v>
                </c:pt>
                <c:pt idx="5">
                  <c:v>231</c:v>
                </c:pt>
                <c:pt idx="6">
                  <c:v>116</c:v>
                </c:pt>
                <c:pt idx="7">
                  <c:v>122</c:v>
                </c:pt>
                <c:pt idx="8">
                  <c:v>243</c:v>
                </c:pt>
              </c:numCache>
            </c:numRef>
          </c:val>
        </c:ser>
        <c:ser>
          <c:idx val="1"/>
          <c:order val="1"/>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datos'!$H$117:$Q$117</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datos'!$H$122:$Q$122</c:f>
              <c:numCache>
                <c:ptCount val="10"/>
                <c:pt idx="0">
                  <c:v>63</c:v>
                </c:pt>
                <c:pt idx="1">
                  <c:v>85</c:v>
                </c:pt>
                <c:pt idx="2">
                  <c:v>82</c:v>
                </c:pt>
                <c:pt idx="3">
                  <c:v>168</c:v>
                </c:pt>
                <c:pt idx="4">
                  <c:v>266</c:v>
                </c:pt>
                <c:pt idx="5">
                  <c:v>376</c:v>
                </c:pt>
                <c:pt idx="6">
                  <c:v>168</c:v>
                </c:pt>
                <c:pt idx="7">
                  <c:v>247</c:v>
                </c:pt>
                <c:pt idx="8">
                  <c:v>495</c:v>
                </c:pt>
              </c:numCache>
            </c:numRef>
          </c:val>
        </c:ser>
        <c:axId val="59398812"/>
        <c:axId val="64827261"/>
      </c:barChart>
      <c:catAx>
        <c:axId val="59398812"/>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64827261"/>
        <c:crossesAt val="0"/>
        <c:auto val="1"/>
        <c:lblOffset val="100"/>
        <c:tickLblSkip val="1"/>
        <c:noMultiLvlLbl val="0"/>
      </c:catAx>
      <c:valAx>
        <c:axId val="64827261"/>
        <c:scaling>
          <c:orientation val="minMax"/>
        </c:scaling>
        <c:axPos val="l"/>
        <c:majorGridlines>
          <c:spPr>
            <a:ln w="3175">
              <a:solidFill>
                <a:srgbClr val="000000"/>
              </a:solidFill>
            </a:ln>
          </c:spPr>
        </c:majorGridlines>
        <c:delete val="0"/>
        <c:numFmt formatCode="_ * #,##0_ ;_ * \-#,##0_ ;_ * \-_ ;_ @_ " sourceLinked="0"/>
        <c:majorTickMark val="out"/>
        <c:minorTickMark val="none"/>
        <c:tickLblPos val="nextTo"/>
        <c:spPr>
          <a:ln w="3175">
            <a:solidFill>
              <a:srgbClr val="000000"/>
            </a:solidFill>
          </a:ln>
        </c:spPr>
        <c:txPr>
          <a:bodyPr vert="horz" rot="0"/>
          <a:lstStyle/>
          <a:p>
            <a:pPr>
              <a:defRPr lang="en-US" cap="none" sz="475" b="0" i="0" u="none" baseline="0">
                <a:solidFill>
                  <a:srgbClr val="000000"/>
                </a:solidFill>
              </a:defRPr>
            </a:pPr>
          </a:p>
        </c:txPr>
        <c:crossAx val="59398812"/>
        <c:crossesAt val="1"/>
        <c:crossBetween val="between"/>
        <c:dispUnits/>
      </c:valAx>
      <c:spPr>
        <a:noFill/>
        <a:ln>
          <a:noFill/>
        </a:ln>
      </c:spPr>
    </c:plotArea>
    <c:legend>
      <c:legendPos val="r"/>
      <c:layout>
        <c:manualLayout>
          <c:xMode val="edge"/>
          <c:yMode val="edge"/>
          <c:x val="0.04375"/>
          <c:y val="0.82075"/>
          <c:w val="0.5475"/>
          <c:h val="0.07075"/>
        </c:manualLayout>
      </c:layout>
      <c:overlay val="0"/>
      <c:spPr>
        <a:solidFill>
          <a:srgbClr val="FFFFFF"/>
        </a:solidFill>
        <a:ln w="3175">
          <a:noFill/>
        </a:ln>
      </c:spPr>
      <c:txPr>
        <a:bodyPr vert="horz" rot="0"/>
        <a:lstStyle/>
        <a:p>
          <a:pPr>
            <a:defRPr lang="en-US" cap="none" sz="57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Financiamiento!A1" /><Relationship Id="rId4" Type="http://schemas.openxmlformats.org/officeDocument/2006/relationships/hyperlink" Target="#Programatico!A1" /><Relationship Id="rId5" Type="http://schemas.openxmlformats.org/officeDocument/2006/relationships/hyperlink" Target="#Gesti&#243;n!A1" /><Relationship Id="rId6" Type="http://schemas.openxmlformats.org/officeDocument/2006/relationships/hyperlink" Target="#Recomendaciones!A1" /><Relationship Id="rId7" Type="http://schemas.openxmlformats.org/officeDocument/2006/relationships/hyperlink" Target="#Acciones!A1" /><Relationship Id="rId8" Type="http://schemas.openxmlformats.org/officeDocument/2006/relationships/hyperlink" Target="#'Informaci&#243;n de la subvenci&#243;n'!A1" /><Relationship Id="rId9" Type="http://schemas.openxmlformats.org/officeDocument/2006/relationships/hyperlink" Target="#'Lista de indicadores'!A1" /><Relationship Id="rId10" Type="http://schemas.openxmlformats.org/officeDocument/2006/relationships/hyperlink" Target="#'Introducci&#243;n de datos'!A1" /><Relationship Id="rId11" Type="http://schemas.openxmlformats.org/officeDocument/2006/relationships/image" Target="../media/image3.png" /><Relationship Id="rId12" Type="http://schemas.openxmlformats.org/officeDocument/2006/relationships/image" Target="../media/image4.png" /><Relationship Id="rId13" Type="http://schemas.openxmlformats.org/officeDocument/2006/relationships/image" Target="../media/image5.png" /></Relationships>
</file>

<file path=xl/drawings/_rels/drawing10.xml.rels><?xml version="1.0" encoding="utf-8" standalone="yes"?><Relationships xmlns="http://schemas.openxmlformats.org/package/2006/relationships"><Relationship Id="rId1"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hyperlink" Target="#Men&#250;!A1" /></Relationships>
</file>

<file path=xl/drawings/_rels/drawing3.xml.rels><?xml version="1.0" encoding="utf-8" standalone="yes"?><Relationships xmlns="http://schemas.openxmlformats.org/package/2006/relationships"><Relationship Id="rId1" Type="http://schemas.openxmlformats.org/officeDocument/2006/relationships/hyperlink" Target="#Men&#250;!A1" /></Relationships>
</file>

<file path=xl/drawings/_rels/drawing4.xml.rels><?xml version="1.0" encoding="utf-8" standalone="yes"?><Relationships xmlns="http://schemas.openxmlformats.org/package/2006/relationships"><Relationship Id="rId1" Type="http://schemas.openxmlformats.org/officeDocument/2006/relationships/hyperlink" Target="http://www.crwflags.com/fotw/flags/country.html#http://www.crwflags.com/fotw/flags/country.html" TargetMode="External" /><Relationship Id="rId2" Type="http://schemas.openxmlformats.org/officeDocument/2006/relationships/hyperlink" Target="#Men&#250;!A1" /><Relationship Id="rId3" Type="http://schemas.openxmlformats.org/officeDocument/2006/relationships/image" Target="../media/image6.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hyperlink" Target="#Men&#250;!A1"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hyperlink" Target="#Men&#250;!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hyperlink" Target="#Men&#250;!A1" /><Relationship Id="rId4" Type="http://schemas.openxmlformats.org/officeDocument/2006/relationships/chart" Target="/xl/charts/chart11.xml" /></Relationships>
</file>

<file path=xl/drawings/_rels/drawing8.xml.rels><?xml version="1.0" encoding="utf-8" standalone="yes"?><Relationships xmlns="http://schemas.openxmlformats.org/package/2006/relationships"><Relationship Id="rId1" Type="http://schemas.openxmlformats.org/officeDocument/2006/relationships/hyperlink" Target="#Men&#250;!A1" /></Relationships>
</file>

<file path=xl/drawings/_rels/drawing9.xml.rels><?xml version="1.0" encoding="utf-8" standalone="yes"?><Relationships xmlns="http://schemas.openxmlformats.org/package/2006/relationships"><Relationship Id="rId1" Type="http://schemas.openxmlformats.org/officeDocument/2006/relationships/hyperlink" Target="#Men&#250;!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xdr:row>
      <xdr:rowOff>142875</xdr:rowOff>
    </xdr:from>
    <xdr:to>
      <xdr:col>11</xdr:col>
      <xdr:colOff>533400</xdr:colOff>
      <xdr:row>19</xdr:row>
      <xdr:rowOff>104775</xdr:rowOff>
    </xdr:to>
    <xdr:pic>
      <xdr:nvPicPr>
        <xdr:cNvPr id="1" name="Picture 2"/>
        <xdr:cNvPicPr preferRelativeResize="1">
          <a:picLocks noChangeAspect="1"/>
        </xdr:cNvPicPr>
      </xdr:nvPicPr>
      <xdr:blipFill>
        <a:blip r:embed="rId1"/>
        <a:srcRect l="31350" t="36854" r="9529"/>
        <a:stretch>
          <a:fillRect/>
        </a:stretch>
      </xdr:blipFill>
      <xdr:spPr>
        <a:xfrm>
          <a:off x="38100" y="1381125"/>
          <a:ext cx="7543800" cy="2819400"/>
        </a:xfrm>
        <a:prstGeom prst="rect">
          <a:avLst/>
        </a:prstGeom>
        <a:noFill/>
        <a:ln w="9525" cmpd="sng">
          <a:noFill/>
        </a:ln>
      </xdr:spPr>
    </xdr:pic>
    <xdr:clientData/>
  </xdr:twoCellAnchor>
  <xdr:twoCellAnchor>
    <xdr:from>
      <xdr:col>7</xdr:col>
      <xdr:colOff>685800</xdr:colOff>
      <xdr:row>7</xdr:row>
      <xdr:rowOff>47625</xdr:rowOff>
    </xdr:from>
    <xdr:to>
      <xdr:col>11</xdr:col>
      <xdr:colOff>447675</xdr:colOff>
      <xdr:row>18</xdr:row>
      <xdr:rowOff>142875</xdr:rowOff>
    </xdr:to>
    <xdr:pic>
      <xdr:nvPicPr>
        <xdr:cNvPr id="2" name="Picture 824"/>
        <xdr:cNvPicPr preferRelativeResize="1">
          <a:picLocks noChangeAspect="1"/>
        </xdr:cNvPicPr>
      </xdr:nvPicPr>
      <xdr:blipFill>
        <a:blip r:embed="rId2"/>
        <a:stretch>
          <a:fillRect/>
        </a:stretch>
      </xdr:blipFill>
      <xdr:spPr>
        <a:xfrm>
          <a:off x="5334000" y="1857375"/>
          <a:ext cx="2162175" cy="2190750"/>
        </a:xfrm>
        <a:prstGeom prst="rect">
          <a:avLst/>
        </a:prstGeom>
        <a:noFill/>
        <a:ln w="9525" cmpd="sng">
          <a:noFill/>
        </a:ln>
      </xdr:spPr>
    </xdr:pic>
    <xdr:clientData/>
  </xdr:twoCellAnchor>
  <xdr:twoCellAnchor>
    <xdr:from>
      <xdr:col>4</xdr:col>
      <xdr:colOff>257175</xdr:colOff>
      <xdr:row>7</xdr:row>
      <xdr:rowOff>104775</xdr:rowOff>
    </xdr:from>
    <xdr:to>
      <xdr:col>7</xdr:col>
      <xdr:colOff>552450</xdr:colOff>
      <xdr:row>18</xdr:row>
      <xdr:rowOff>66675</xdr:rowOff>
    </xdr:to>
    <xdr:sp>
      <xdr:nvSpPr>
        <xdr:cNvPr id="3" name="AutoShape 27"/>
        <xdr:cNvSpPr>
          <a:spLocks/>
        </xdr:cNvSpPr>
      </xdr:nvSpPr>
      <xdr:spPr>
        <a:xfrm>
          <a:off x="2619375" y="1914525"/>
          <a:ext cx="2581275" cy="2057400"/>
        </a:xfrm>
        <a:prstGeom prst="roundRect">
          <a:avLst/>
        </a:prstGeom>
        <a:gradFill rotWithShape="1">
          <a:gsLst>
            <a:gs pos="0">
              <a:srgbClr val="D48886"/>
            </a:gs>
            <a:gs pos="100000">
              <a:srgbClr val="B24B48"/>
            </a:gs>
          </a:gsLst>
          <a:lin ang="5400000" scaled="1"/>
        </a:gradFill>
        <a:ln w="9360"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285750</xdr:colOff>
      <xdr:row>10</xdr:row>
      <xdr:rowOff>47625</xdr:rowOff>
    </xdr:from>
    <xdr:to>
      <xdr:col>6</xdr:col>
      <xdr:colOff>590550</xdr:colOff>
      <xdr:row>12</xdr:row>
      <xdr:rowOff>38100</xdr:rowOff>
    </xdr:to>
    <xdr:sp>
      <xdr:nvSpPr>
        <xdr:cNvPr id="4" name="AutoShape 26"/>
        <xdr:cNvSpPr>
          <a:spLocks/>
        </xdr:cNvSpPr>
      </xdr:nvSpPr>
      <xdr:spPr>
        <a:xfrm>
          <a:off x="3409950" y="2428875"/>
          <a:ext cx="1066800" cy="371475"/>
        </a:xfrm>
        <a:prstGeom prst="roundRect">
          <a:avLst/>
        </a:prstGeom>
        <a:gradFill rotWithShape="1">
          <a:gsLst>
            <a:gs pos="0">
              <a:srgbClr val="EEEEEE"/>
            </a:gs>
            <a:gs pos="100000">
              <a:srgbClr val="DDDDDD"/>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304800</xdr:colOff>
      <xdr:row>10</xdr:row>
      <xdr:rowOff>85725</xdr:rowOff>
    </xdr:from>
    <xdr:to>
      <xdr:col>6</xdr:col>
      <xdr:colOff>571500</xdr:colOff>
      <xdr:row>11</xdr:row>
      <xdr:rowOff>190500</xdr:rowOff>
    </xdr:to>
    <xdr:sp>
      <xdr:nvSpPr>
        <xdr:cNvPr id="5" name="AutoShape 27">
          <a:hlinkClick r:id="rId3"/>
        </xdr:cNvPr>
        <xdr:cNvSpPr>
          <a:spLocks/>
        </xdr:cNvSpPr>
      </xdr:nvSpPr>
      <xdr:spPr>
        <a:xfrm>
          <a:off x="3429000" y="2466975"/>
          <a:ext cx="1028700" cy="295275"/>
        </a:xfrm>
        <a:prstGeom prst="roundRect">
          <a:avLst/>
        </a:prstGeom>
        <a:gradFill rotWithShape="1">
          <a:gsLst>
            <a:gs pos="0">
              <a:srgbClr val="C0504D"/>
            </a:gs>
            <a:gs pos="100000">
              <a:srgbClr val="863836"/>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Financieros</a:t>
          </a:r>
        </a:p>
      </xdr:txBody>
    </xdr:sp>
    <xdr:clientData/>
  </xdr:twoCellAnchor>
  <xdr:twoCellAnchor>
    <xdr:from>
      <xdr:col>5</xdr:col>
      <xdr:colOff>314325</xdr:colOff>
      <xdr:row>10</xdr:row>
      <xdr:rowOff>104775</xdr:rowOff>
    </xdr:from>
    <xdr:to>
      <xdr:col>5</xdr:col>
      <xdr:colOff>419100</xdr:colOff>
      <xdr:row>11</xdr:row>
      <xdr:rowOff>66675</xdr:rowOff>
    </xdr:to>
    <xdr:sp>
      <xdr:nvSpPr>
        <xdr:cNvPr id="6" name="Freeform 28"/>
        <xdr:cNvSpPr>
          <a:spLocks/>
        </xdr:cNvSpPr>
      </xdr:nvSpPr>
      <xdr:spPr>
        <a:xfrm>
          <a:off x="3438525" y="2486025"/>
          <a:ext cx="104775" cy="15240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304800</xdr:colOff>
      <xdr:row>15</xdr:row>
      <xdr:rowOff>171450</xdr:rowOff>
    </xdr:from>
    <xdr:to>
      <xdr:col>6</xdr:col>
      <xdr:colOff>609600</xdr:colOff>
      <xdr:row>17</xdr:row>
      <xdr:rowOff>161925</xdr:rowOff>
    </xdr:to>
    <xdr:sp>
      <xdr:nvSpPr>
        <xdr:cNvPr id="7" name="AutoShape 26"/>
        <xdr:cNvSpPr>
          <a:spLocks/>
        </xdr:cNvSpPr>
      </xdr:nvSpPr>
      <xdr:spPr>
        <a:xfrm>
          <a:off x="3429000" y="3505200"/>
          <a:ext cx="1066800" cy="371475"/>
        </a:xfrm>
        <a:prstGeom prst="roundRect">
          <a:avLst/>
        </a:prstGeom>
        <a:gradFill rotWithShape="1">
          <a:gsLst>
            <a:gs pos="0">
              <a:srgbClr val="EEEEEE"/>
            </a:gs>
            <a:gs pos="100000">
              <a:srgbClr val="DDDDDD"/>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333375</xdr:colOff>
      <xdr:row>16</xdr:row>
      <xdr:rowOff>19050</xdr:rowOff>
    </xdr:from>
    <xdr:to>
      <xdr:col>6</xdr:col>
      <xdr:colOff>590550</xdr:colOff>
      <xdr:row>17</xdr:row>
      <xdr:rowOff>123825</xdr:rowOff>
    </xdr:to>
    <xdr:sp>
      <xdr:nvSpPr>
        <xdr:cNvPr id="8" name="AutoShape 27">
          <a:hlinkClick r:id="rId4"/>
        </xdr:cNvPr>
        <xdr:cNvSpPr>
          <a:spLocks/>
        </xdr:cNvSpPr>
      </xdr:nvSpPr>
      <xdr:spPr>
        <a:xfrm>
          <a:off x="3457575" y="3543300"/>
          <a:ext cx="1019175" cy="295275"/>
        </a:xfrm>
        <a:prstGeom prst="roundRect">
          <a:avLst/>
        </a:prstGeom>
        <a:gradFill rotWithShape="1">
          <a:gsLst>
            <a:gs pos="0">
              <a:srgbClr val="C0504D"/>
            </a:gs>
            <a:gs pos="100000">
              <a:srgbClr val="863836"/>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Programáticos</a:t>
          </a:r>
        </a:p>
      </xdr:txBody>
    </xdr:sp>
    <xdr:clientData/>
  </xdr:twoCellAnchor>
  <xdr:twoCellAnchor>
    <xdr:from>
      <xdr:col>5</xdr:col>
      <xdr:colOff>352425</xdr:colOff>
      <xdr:row>16</xdr:row>
      <xdr:rowOff>28575</xdr:rowOff>
    </xdr:from>
    <xdr:to>
      <xdr:col>5</xdr:col>
      <xdr:colOff>466725</xdr:colOff>
      <xdr:row>16</xdr:row>
      <xdr:rowOff>190500</xdr:rowOff>
    </xdr:to>
    <xdr:sp>
      <xdr:nvSpPr>
        <xdr:cNvPr id="9" name="Freeform 28"/>
        <xdr:cNvSpPr>
          <a:spLocks/>
        </xdr:cNvSpPr>
      </xdr:nvSpPr>
      <xdr:spPr>
        <a:xfrm>
          <a:off x="3476625" y="3552825"/>
          <a:ext cx="114300"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285750</xdr:colOff>
      <xdr:row>13</xdr:row>
      <xdr:rowOff>9525</xdr:rowOff>
    </xdr:from>
    <xdr:to>
      <xdr:col>6</xdr:col>
      <xdr:colOff>590550</xdr:colOff>
      <xdr:row>14</xdr:row>
      <xdr:rowOff>190500</xdr:rowOff>
    </xdr:to>
    <xdr:sp>
      <xdr:nvSpPr>
        <xdr:cNvPr id="10" name="AutoShape 26"/>
        <xdr:cNvSpPr>
          <a:spLocks/>
        </xdr:cNvSpPr>
      </xdr:nvSpPr>
      <xdr:spPr>
        <a:xfrm>
          <a:off x="3409950" y="2962275"/>
          <a:ext cx="1066800" cy="371475"/>
        </a:xfrm>
        <a:prstGeom prst="roundRect">
          <a:avLst/>
        </a:prstGeom>
        <a:gradFill rotWithShape="1">
          <a:gsLst>
            <a:gs pos="0">
              <a:srgbClr val="EEEEEE"/>
            </a:gs>
            <a:gs pos="100000">
              <a:srgbClr val="DDDDDD"/>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314325</xdr:colOff>
      <xdr:row>13</xdr:row>
      <xdr:rowOff>47625</xdr:rowOff>
    </xdr:from>
    <xdr:to>
      <xdr:col>6</xdr:col>
      <xdr:colOff>571500</xdr:colOff>
      <xdr:row>14</xdr:row>
      <xdr:rowOff>152400</xdr:rowOff>
    </xdr:to>
    <xdr:sp>
      <xdr:nvSpPr>
        <xdr:cNvPr id="11" name="AutoShape 27">
          <a:hlinkClick r:id="rId5"/>
        </xdr:cNvPr>
        <xdr:cNvSpPr>
          <a:spLocks/>
        </xdr:cNvSpPr>
      </xdr:nvSpPr>
      <xdr:spPr>
        <a:xfrm>
          <a:off x="3438525" y="3000375"/>
          <a:ext cx="1019175" cy="295275"/>
        </a:xfrm>
        <a:prstGeom prst="roundRect">
          <a:avLst/>
        </a:prstGeom>
        <a:gradFill rotWithShape="1">
          <a:gsLst>
            <a:gs pos="0">
              <a:srgbClr val="C0504D"/>
            </a:gs>
            <a:gs pos="100000">
              <a:srgbClr val="863836"/>
            </a:gs>
          </a:gsLst>
          <a:lin ang="5400000" scaled="1"/>
        </a:gradFill>
        <a:ln w="9360" cmpd="sng">
          <a:solidFill>
            <a:srgbClr val="FEFEFE"/>
          </a:solidFill>
          <a:headEnd type="none"/>
          <a:tailEnd type="none"/>
        </a:ln>
      </xdr:spPr>
      <xdr:txBody>
        <a:bodyPr vertOverflow="clip" wrap="square" lIns="54000" tIns="46800" rIns="18000" bIns="46800" anchor="ctr"/>
        <a:p>
          <a:pPr algn="ctr">
            <a:defRPr/>
          </a:pPr>
          <a:r>
            <a:rPr lang="en-US" cap="none" sz="1000" b="0" i="0" u="none" baseline="0">
              <a:solidFill>
                <a:srgbClr val="FFFFFF"/>
              </a:solidFill>
            </a:rPr>
            <a:t>Gestión</a:t>
          </a:r>
        </a:p>
      </xdr:txBody>
    </xdr:sp>
    <xdr:clientData/>
  </xdr:twoCellAnchor>
  <xdr:twoCellAnchor>
    <xdr:from>
      <xdr:col>5</xdr:col>
      <xdr:colOff>314325</xdr:colOff>
      <xdr:row>13</xdr:row>
      <xdr:rowOff>57150</xdr:rowOff>
    </xdr:from>
    <xdr:to>
      <xdr:col>5</xdr:col>
      <xdr:colOff>428625</xdr:colOff>
      <xdr:row>14</xdr:row>
      <xdr:rowOff>28575</xdr:rowOff>
    </xdr:to>
    <xdr:sp>
      <xdr:nvSpPr>
        <xdr:cNvPr id="12" name="Freeform 28"/>
        <xdr:cNvSpPr>
          <a:spLocks/>
        </xdr:cNvSpPr>
      </xdr:nvSpPr>
      <xdr:spPr>
        <a:xfrm>
          <a:off x="3438525" y="3009900"/>
          <a:ext cx="114300"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323850</xdr:colOff>
      <xdr:row>5</xdr:row>
      <xdr:rowOff>0</xdr:rowOff>
    </xdr:from>
    <xdr:to>
      <xdr:col>7</xdr:col>
      <xdr:colOff>400050</xdr:colOff>
      <xdr:row>6</xdr:row>
      <xdr:rowOff>47625</xdr:rowOff>
    </xdr:to>
    <xdr:sp>
      <xdr:nvSpPr>
        <xdr:cNvPr id="13" name="Rectangle 803"/>
        <xdr:cNvSpPr>
          <a:spLocks/>
        </xdr:cNvSpPr>
      </xdr:nvSpPr>
      <xdr:spPr>
        <a:xfrm>
          <a:off x="2686050" y="1428750"/>
          <a:ext cx="2362200" cy="238125"/>
        </a:xfrm>
        <a:prstGeom prst="rect">
          <a:avLst/>
        </a:prstGeom>
        <a:noFill/>
        <a:ln w="9525" cmpd="sng">
          <a:noFill/>
        </a:ln>
      </xdr:spPr>
      <xdr:txBody>
        <a:bodyPr vertOverflow="clip" wrap="square" lIns="27360" tIns="27360" rIns="27360" bIns="0"/>
        <a:p>
          <a:pPr algn="ctr">
            <a:defRPr/>
          </a:pPr>
          <a:r>
            <a:rPr lang="en-US" cap="none" sz="1100" b="1" i="1" u="none" baseline="0">
              <a:solidFill>
                <a:srgbClr val="000000"/>
              </a:solidFill>
              <a:latin typeface="Calibri"/>
              <a:ea typeface="Calibri"/>
              <a:cs typeface="Calibri"/>
            </a:rPr>
            <a:t>Seleccione la opción que desea ver:</a:t>
          </a:r>
        </a:p>
      </xdr:txBody>
    </xdr:sp>
    <xdr:clientData/>
  </xdr:twoCellAnchor>
  <xdr:twoCellAnchor>
    <xdr:from>
      <xdr:col>8</xdr:col>
      <xdr:colOff>295275</xdr:colOff>
      <xdr:row>11</xdr:row>
      <xdr:rowOff>0</xdr:rowOff>
    </xdr:from>
    <xdr:to>
      <xdr:col>11</xdr:col>
      <xdr:colOff>133350</xdr:colOff>
      <xdr:row>13</xdr:row>
      <xdr:rowOff>28575</xdr:rowOff>
    </xdr:to>
    <xdr:sp>
      <xdr:nvSpPr>
        <xdr:cNvPr id="14" name="AutoShape 30"/>
        <xdr:cNvSpPr>
          <a:spLocks/>
        </xdr:cNvSpPr>
      </xdr:nvSpPr>
      <xdr:spPr>
        <a:xfrm>
          <a:off x="5705475" y="2571750"/>
          <a:ext cx="1476375" cy="409575"/>
        </a:xfrm>
        <a:prstGeom prst="roundRect">
          <a:avLst/>
        </a:prstGeom>
        <a:gradFill rotWithShape="1">
          <a:gsLst>
            <a:gs pos="0">
              <a:srgbClr val="EEEEEE"/>
            </a:gs>
            <a:gs pos="100000">
              <a:srgbClr val="DDDDDD"/>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333375</xdr:colOff>
      <xdr:row>11</xdr:row>
      <xdr:rowOff>47625</xdr:rowOff>
    </xdr:from>
    <xdr:to>
      <xdr:col>11</xdr:col>
      <xdr:colOff>104775</xdr:colOff>
      <xdr:row>12</xdr:row>
      <xdr:rowOff>190500</xdr:rowOff>
    </xdr:to>
    <xdr:sp>
      <xdr:nvSpPr>
        <xdr:cNvPr id="15" name="AutoShape 31">
          <a:hlinkClick r:id="rId6"/>
        </xdr:cNvPr>
        <xdr:cNvSpPr>
          <a:spLocks/>
        </xdr:cNvSpPr>
      </xdr:nvSpPr>
      <xdr:spPr>
        <a:xfrm>
          <a:off x="5743575" y="2619375"/>
          <a:ext cx="1409700" cy="333375"/>
        </a:xfrm>
        <a:prstGeom prst="roundRect">
          <a:avLst/>
        </a:prstGeom>
        <a:solidFill>
          <a:srgbClr val="99FF99"/>
        </a:soli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000000"/>
              </a:solidFill>
            </a:rPr>
            <a:t>Recomendaciones</a:t>
          </a:r>
        </a:p>
      </xdr:txBody>
    </xdr:sp>
    <xdr:clientData/>
  </xdr:twoCellAnchor>
  <xdr:twoCellAnchor>
    <xdr:from>
      <xdr:col>8</xdr:col>
      <xdr:colOff>352425</xdr:colOff>
      <xdr:row>11</xdr:row>
      <xdr:rowOff>66675</xdr:rowOff>
    </xdr:from>
    <xdr:to>
      <xdr:col>8</xdr:col>
      <xdr:colOff>495300</xdr:colOff>
      <xdr:row>12</xdr:row>
      <xdr:rowOff>47625</xdr:rowOff>
    </xdr:to>
    <xdr:sp>
      <xdr:nvSpPr>
        <xdr:cNvPr id="16" name="Freeform 32"/>
        <xdr:cNvSpPr>
          <a:spLocks/>
        </xdr:cNvSpPr>
      </xdr:nvSpPr>
      <xdr:spPr>
        <a:xfrm>
          <a:off x="5762625" y="2638425"/>
          <a:ext cx="142875" cy="17145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247650</xdr:colOff>
      <xdr:row>7</xdr:row>
      <xdr:rowOff>85725</xdr:rowOff>
    </xdr:from>
    <xdr:to>
      <xdr:col>4</xdr:col>
      <xdr:colOff>104775</xdr:colOff>
      <xdr:row>18</xdr:row>
      <xdr:rowOff>114300</xdr:rowOff>
    </xdr:to>
    <xdr:sp>
      <xdr:nvSpPr>
        <xdr:cNvPr id="17" name="AutoShape 31"/>
        <xdr:cNvSpPr>
          <a:spLocks/>
        </xdr:cNvSpPr>
      </xdr:nvSpPr>
      <xdr:spPr>
        <a:xfrm>
          <a:off x="323850" y="1895475"/>
          <a:ext cx="2143125" cy="2124075"/>
        </a:xfrm>
        <a:prstGeom prst="roundRect">
          <a:avLst/>
        </a:prstGeom>
        <a:gradFill rotWithShape="1">
          <a:gsLst>
            <a:gs pos="0">
              <a:srgbClr val="87AFD3"/>
            </a:gs>
            <a:gs pos="100000">
              <a:srgbClr val="4C7BB4"/>
            </a:gs>
          </a:gsLst>
          <a:lin ang="5400000" scaled="1"/>
        </a:gradFill>
        <a:ln w="9360"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342900</xdr:colOff>
      <xdr:row>7</xdr:row>
      <xdr:rowOff>171450</xdr:rowOff>
    </xdr:from>
    <xdr:to>
      <xdr:col>2</xdr:col>
      <xdr:colOff>57150</xdr:colOff>
      <xdr:row>9</xdr:row>
      <xdr:rowOff>104775</xdr:rowOff>
    </xdr:to>
    <xdr:sp>
      <xdr:nvSpPr>
        <xdr:cNvPr id="18" name="Freeform 32"/>
        <xdr:cNvSpPr>
          <a:spLocks/>
        </xdr:cNvSpPr>
      </xdr:nvSpPr>
      <xdr:spPr>
        <a:xfrm>
          <a:off x="419100" y="1981200"/>
          <a:ext cx="476250" cy="3143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285750</xdr:colOff>
      <xdr:row>14</xdr:row>
      <xdr:rowOff>57150</xdr:rowOff>
    </xdr:from>
    <xdr:to>
      <xdr:col>11</xdr:col>
      <xdr:colOff>123825</xdr:colOff>
      <xdr:row>16</xdr:row>
      <xdr:rowOff>76200</xdr:rowOff>
    </xdr:to>
    <xdr:sp>
      <xdr:nvSpPr>
        <xdr:cNvPr id="19" name="AutoShape 30"/>
        <xdr:cNvSpPr>
          <a:spLocks/>
        </xdr:cNvSpPr>
      </xdr:nvSpPr>
      <xdr:spPr>
        <a:xfrm>
          <a:off x="5695950" y="3200400"/>
          <a:ext cx="1476375" cy="400050"/>
        </a:xfrm>
        <a:prstGeom prst="roundRect">
          <a:avLst/>
        </a:prstGeom>
        <a:gradFill rotWithShape="1">
          <a:gsLst>
            <a:gs pos="0">
              <a:srgbClr val="EEEEEE"/>
            </a:gs>
            <a:gs pos="100000">
              <a:srgbClr val="DDDDDD"/>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314325</xdr:colOff>
      <xdr:row>14</xdr:row>
      <xdr:rowOff>104775</xdr:rowOff>
    </xdr:from>
    <xdr:to>
      <xdr:col>11</xdr:col>
      <xdr:colOff>85725</xdr:colOff>
      <xdr:row>16</xdr:row>
      <xdr:rowOff>57150</xdr:rowOff>
    </xdr:to>
    <xdr:sp>
      <xdr:nvSpPr>
        <xdr:cNvPr id="20" name="AutoShape 31">
          <a:hlinkClick r:id="rId7"/>
        </xdr:cNvPr>
        <xdr:cNvSpPr>
          <a:spLocks/>
        </xdr:cNvSpPr>
      </xdr:nvSpPr>
      <xdr:spPr>
        <a:xfrm>
          <a:off x="5724525" y="3248025"/>
          <a:ext cx="1409700" cy="333375"/>
        </a:xfrm>
        <a:prstGeom prst="roundRect">
          <a:avLst/>
        </a:prstGeom>
        <a:solidFill>
          <a:srgbClr val="99FF99"/>
        </a:soli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000000"/>
              </a:solidFill>
            </a:rPr>
            <a:t>Acciones</a:t>
          </a:r>
        </a:p>
      </xdr:txBody>
    </xdr:sp>
    <xdr:clientData/>
  </xdr:twoCellAnchor>
  <xdr:twoCellAnchor>
    <xdr:from>
      <xdr:col>8</xdr:col>
      <xdr:colOff>333375</xdr:colOff>
      <xdr:row>14</xdr:row>
      <xdr:rowOff>123825</xdr:rowOff>
    </xdr:from>
    <xdr:to>
      <xdr:col>8</xdr:col>
      <xdr:colOff>476250</xdr:colOff>
      <xdr:row>15</xdr:row>
      <xdr:rowOff>104775</xdr:rowOff>
    </xdr:to>
    <xdr:sp>
      <xdr:nvSpPr>
        <xdr:cNvPr id="21" name="Freeform 32"/>
        <xdr:cNvSpPr>
          <a:spLocks/>
        </xdr:cNvSpPr>
      </xdr:nvSpPr>
      <xdr:spPr>
        <a:xfrm>
          <a:off x="5743575" y="3267075"/>
          <a:ext cx="142875" cy="17145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514350</xdr:colOff>
      <xdr:row>15</xdr:row>
      <xdr:rowOff>133350</xdr:rowOff>
    </xdr:from>
    <xdr:to>
      <xdr:col>3</xdr:col>
      <xdr:colOff>495300</xdr:colOff>
      <xdr:row>18</xdr:row>
      <xdr:rowOff>19050</xdr:rowOff>
    </xdr:to>
    <xdr:sp>
      <xdr:nvSpPr>
        <xdr:cNvPr id="22" name="AutoShape 30"/>
        <xdr:cNvSpPr>
          <a:spLocks/>
        </xdr:cNvSpPr>
      </xdr:nvSpPr>
      <xdr:spPr>
        <a:xfrm>
          <a:off x="590550" y="3467100"/>
          <a:ext cx="1504950" cy="457200"/>
        </a:xfrm>
        <a:prstGeom prst="roundRect">
          <a:avLst/>
        </a:prstGeom>
        <a:gradFill rotWithShape="1">
          <a:gsLst>
            <a:gs pos="0">
              <a:srgbClr val="EEEEEE"/>
            </a:gs>
            <a:gs pos="100000">
              <a:srgbClr val="DDDDDD"/>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552450</xdr:colOff>
      <xdr:row>15</xdr:row>
      <xdr:rowOff>171450</xdr:rowOff>
    </xdr:from>
    <xdr:to>
      <xdr:col>3</xdr:col>
      <xdr:colOff>457200</xdr:colOff>
      <xdr:row>17</xdr:row>
      <xdr:rowOff>180975</xdr:rowOff>
    </xdr:to>
    <xdr:sp>
      <xdr:nvSpPr>
        <xdr:cNvPr id="23" name="AutoShape 31">
          <a:hlinkClick r:id="rId8"/>
        </xdr:cNvPr>
        <xdr:cNvSpPr>
          <a:spLocks/>
        </xdr:cNvSpPr>
      </xdr:nvSpPr>
      <xdr:spPr>
        <a:xfrm>
          <a:off x="628650" y="3505200"/>
          <a:ext cx="1428750" cy="390525"/>
        </a:xfrm>
        <a:prstGeom prst="roundRect">
          <a:avLst/>
        </a:prstGeom>
        <a:gradFill rotWithShape="1">
          <a:gsLst>
            <a:gs pos="0">
              <a:srgbClr val="4F81BD"/>
            </a:gs>
            <a:gs pos="100000">
              <a:srgbClr val="375A84"/>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Información de la subvención</a:t>
          </a:r>
        </a:p>
      </xdr:txBody>
    </xdr:sp>
    <xdr:clientData/>
  </xdr:twoCellAnchor>
  <xdr:twoCellAnchor>
    <xdr:from>
      <xdr:col>1</xdr:col>
      <xdr:colOff>571500</xdr:colOff>
      <xdr:row>16</xdr:row>
      <xdr:rowOff>0</xdr:rowOff>
    </xdr:from>
    <xdr:to>
      <xdr:col>1</xdr:col>
      <xdr:colOff>714375</xdr:colOff>
      <xdr:row>16</xdr:row>
      <xdr:rowOff>133350</xdr:rowOff>
    </xdr:to>
    <xdr:sp>
      <xdr:nvSpPr>
        <xdr:cNvPr id="24" name="Freeform 32"/>
        <xdr:cNvSpPr>
          <a:spLocks/>
        </xdr:cNvSpPr>
      </xdr:nvSpPr>
      <xdr:spPr>
        <a:xfrm>
          <a:off x="647700" y="3524250"/>
          <a:ext cx="142875" cy="13335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514350</xdr:colOff>
      <xdr:row>10</xdr:row>
      <xdr:rowOff>28575</xdr:rowOff>
    </xdr:from>
    <xdr:to>
      <xdr:col>3</xdr:col>
      <xdr:colOff>495300</xdr:colOff>
      <xdr:row>12</xdr:row>
      <xdr:rowOff>19050</xdr:rowOff>
    </xdr:to>
    <xdr:sp>
      <xdr:nvSpPr>
        <xdr:cNvPr id="25" name="AutoShape 30"/>
        <xdr:cNvSpPr>
          <a:spLocks/>
        </xdr:cNvSpPr>
      </xdr:nvSpPr>
      <xdr:spPr>
        <a:xfrm>
          <a:off x="590550" y="2409825"/>
          <a:ext cx="1504950" cy="371475"/>
        </a:xfrm>
        <a:prstGeom prst="roundRect">
          <a:avLst/>
        </a:prstGeom>
        <a:gradFill rotWithShape="1">
          <a:gsLst>
            <a:gs pos="0">
              <a:srgbClr val="EEEEEE"/>
            </a:gs>
            <a:gs pos="100000">
              <a:srgbClr val="DDDDDD"/>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552450</xdr:colOff>
      <xdr:row>10</xdr:row>
      <xdr:rowOff>66675</xdr:rowOff>
    </xdr:from>
    <xdr:to>
      <xdr:col>3</xdr:col>
      <xdr:colOff>466725</xdr:colOff>
      <xdr:row>11</xdr:row>
      <xdr:rowOff>180975</xdr:rowOff>
    </xdr:to>
    <xdr:sp>
      <xdr:nvSpPr>
        <xdr:cNvPr id="26" name="AutoShape 31">
          <a:hlinkClick r:id="rId9"/>
        </xdr:cNvPr>
        <xdr:cNvSpPr>
          <a:spLocks/>
        </xdr:cNvSpPr>
      </xdr:nvSpPr>
      <xdr:spPr>
        <a:xfrm>
          <a:off x="628650" y="2447925"/>
          <a:ext cx="1438275" cy="304800"/>
        </a:xfrm>
        <a:prstGeom prst="roundRect">
          <a:avLst/>
        </a:prstGeom>
        <a:gradFill rotWithShape="1">
          <a:gsLst>
            <a:gs pos="0">
              <a:srgbClr val="4F81BD"/>
            </a:gs>
            <a:gs pos="100000">
              <a:srgbClr val="375A84"/>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Lista de indicadores</a:t>
          </a:r>
        </a:p>
      </xdr:txBody>
    </xdr:sp>
    <xdr:clientData/>
  </xdr:twoCellAnchor>
  <xdr:twoCellAnchor>
    <xdr:from>
      <xdr:col>1</xdr:col>
      <xdr:colOff>571500</xdr:colOff>
      <xdr:row>10</xdr:row>
      <xdr:rowOff>85725</xdr:rowOff>
    </xdr:from>
    <xdr:to>
      <xdr:col>1</xdr:col>
      <xdr:colOff>714375</xdr:colOff>
      <xdr:row>11</xdr:row>
      <xdr:rowOff>57150</xdr:rowOff>
    </xdr:to>
    <xdr:sp>
      <xdr:nvSpPr>
        <xdr:cNvPr id="27" name="Freeform 32"/>
        <xdr:cNvSpPr>
          <a:spLocks/>
        </xdr:cNvSpPr>
      </xdr:nvSpPr>
      <xdr:spPr>
        <a:xfrm>
          <a:off x="647700" y="2466975"/>
          <a:ext cx="142875"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514350</xdr:colOff>
      <xdr:row>12</xdr:row>
      <xdr:rowOff>180975</xdr:rowOff>
    </xdr:from>
    <xdr:to>
      <xdr:col>3</xdr:col>
      <xdr:colOff>495300</xdr:colOff>
      <xdr:row>14</xdr:row>
      <xdr:rowOff>171450</xdr:rowOff>
    </xdr:to>
    <xdr:sp>
      <xdr:nvSpPr>
        <xdr:cNvPr id="28" name="AutoShape 30"/>
        <xdr:cNvSpPr>
          <a:spLocks/>
        </xdr:cNvSpPr>
      </xdr:nvSpPr>
      <xdr:spPr>
        <a:xfrm>
          <a:off x="590550" y="2943225"/>
          <a:ext cx="1504950" cy="371475"/>
        </a:xfrm>
        <a:prstGeom prst="roundRect">
          <a:avLst/>
        </a:prstGeom>
        <a:gradFill rotWithShape="1">
          <a:gsLst>
            <a:gs pos="0">
              <a:srgbClr val="EEEEEE"/>
            </a:gs>
            <a:gs pos="100000">
              <a:srgbClr val="DDDDDD"/>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552450</xdr:colOff>
      <xdr:row>13</xdr:row>
      <xdr:rowOff>28575</xdr:rowOff>
    </xdr:from>
    <xdr:to>
      <xdr:col>3</xdr:col>
      <xdr:colOff>466725</xdr:colOff>
      <xdr:row>14</xdr:row>
      <xdr:rowOff>142875</xdr:rowOff>
    </xdr:to>
    <xdr:sp>
      <xdr:nvSpPr>
        <xdr:cNvPr id="29" name="AutoShape 31">
          <a:hlinkClick r:id="rId10"/>
        </xdr:cNvPr>
        <xdr:cNvSpPr>
          <a:spLocks/>
        </xdr:cNvSpPr>
      </xdr:nvSpPr>
      <xdr:spPr>
        <a:xfrm>
          <a:off x="628650" y="2981325"/>
          <a:ext cx="1438275" cy="304800"/>
        </a:xfrm>
        <a:prstGeom prst="roundRect">
          <a:avLst/>
        </a:prstGeom>
        <a:gradFill rotWithShape="1">
          <a:gsLst>
            <a:gs pos="0">
              <a:srgbClr val="4F81BD"/>
            </a:gs>
            <a:gs pos="100000">
              <a:srgbClr val="375A84"/>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Introducción de datos</a:t>
          </a:r>
        </a:p>
      </xdr:txBody>
    </xdr:sp>
    <xdr:clientData/>
  </xdr:twoCellAnchor>
  <xdr:twoCellAnchor>
    <xdr:from>
      <xdr:col>1</xdr:col>
      <xdr:colOff>571500</xdr:colOff>
      <xdr:row>13</xdr:row>
      <xdr:rowOff>47625</xdr:rowOff>
    </xdr:from>
    <xdr:to>
      <xdr:col>1</xdr:col>
      <xdr:colOff>714375</xdr:colOff>
      <xdr:row>14</xdr:row>
      <xdr:rowOff>19050</xdr:rowOff>
    </xdr:to>
    <xdr:sp>
      <xdr:nvSpPr>
        <xdr:cNvPr id="30" name="Freeform 32"/>
        <xdr:cNvSpPr>
          <a:spLocks/>
        </xdr:cNvSpPr>
      </xdr:nvSpPr>
      <xdr:spPr>
        <a:xfrm>
          <a:off x="647700" y="3000375"/>
          <a:ext cx="142875"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257175</xdr:colOff>
      <xdr:row>7</xdr:row>
      <xdr:rowOff>66675</xdr:rowOff>
    </xdr:from>
    <xdr:to>
      <xdr:col>4</xdr:col>
      <xdr:colOff>104775</xdr:colOff>
      <xdr:row>9</xdr:row>
      <xdr:rowOff>133350</xdr:rowOff>
    </xdr:to>
    <xdr:pic>
      <xdr:nvPicPr>
        <xdr:cNvPr id="31" name="Picture 2012"/>
        <xdr:cNvPicPr preferRelativeResize="1">
          <a:picLocks noChangeAspect="1"/>
        </xdr:cNvPicPr>
      </xdr:nvPicPr>
      <xdr:blipFill>
        <a:blip r:embed="rId11"/>
        <a:stretch>
          <a:fillRect/>
        </a:stretch>
      </xdr:blipFill>
      <xdr:spPr>
        <a:xfrm>
          <a:off x="333375" y="1876425"/>
          <a:ext cx="2133600" cy="447675"/>
        </a:xfrm>
        <a:prstGeom prst="rect">
          <a:avLst/>
        </a:prstGeom>
        <a:noFill/>
        <a:ln w="9525" cmpd="sng">
          <a:noFill/>
        </a:ln>
      </xdr:spPr>
    </xdr:pic>
    <xdr:clientData/>
  </xdr:twoCellAnchor>
  <xdr:twoCellAnchor>
    <xdr:from>
      <xdr:col>1</xdr:col>
      <xdr:colOff>323850</xdr:colOff>
      <xdr:row>7</xdr:row>
      <xdr:rowOff>104775</xdr:rowOff>
    </xdr:from>
    <xdr:to>
      <xdr:col>4</xdr:col>
      <xdr:colOff>57150</xdr:colOff>
      <xdr:row>9</xdr:row>
      <xdr:rowOff>190500</xdr:rowOff>
    </xdr:to>
    <xdr:sp fLocksText="0">
      <xdr:nvSpPr>
        <xdr:cNvPr id="32" name="Text Box 2013"/>
        <xdr:cNvSpPr txBox="1">
          <a:spLocks noChangeArrowheads="1"/>
        </xdr:cNvSpPr>
      </xdr:nvSpPr>
      <xdr:spPr>
        <a:xfrm>
          <a:off x="400050" y="1914525"/>
          <a:ext cx="2019300" cy="466725"/>
        </a:xfrm>
        <a:prstGeom prst="rect">
          <a:avLst/>
        </a:prstGeom>
        <a:noFill/>
        <a:ln w="9525" cmpd="sng">
          <a:noFill/>
        </a:ln>
      </xdr:spPr>
      <xdr:txBody>
        <a:bodyPr vertOverflow="clip" wrap="square" lIns="27360" tIns="22680" rIns="27360" bIns="0"/>
        <a:p>
          <a:pPr algn="ctr">
            <a:defRPr/>
          </a:pPr>
          <a:r>
            <a:rPr lang="en-US" cap="none" sz="1100" b="0" i="0" u="none" baseline="0">
              <a:solidFill>
                <a:srgbClr val="000000"/>
              </a:solidFill>
            </a:rPr>
            <a:t>Información de la subvención
</a:t>
          </a:r>
        </a:p>
      </xdr:txBody>
    </xdr:sp>
    <xdr:clientData/>
  </xdr:twoCellAnchor>
  <xdr:twoCellAnchor>
    <xdr:from>
      <xdr:col>4</xdr:col>
      <xdr:colOff>247650</xdr:colOff>
      <xdr:row>7</xdr:row>
      <xdr:rowOff>66675</xdr:rowOff>
    </xdr:from>
    <xdr:to>
      <xdr:col>7</xdr:col>
      <xdr:colOff>561975</xdr:colOff>
      <xdr:row>9</xdr:row>
      <xdr:rowOff>133350</xdr:rowOff>
    </xdr:to>
    <xdr:pic>
      <xdr:nvPicPr>
        <xdr:cNvPr id="33" name="Picture 2016"/>
        <xdr:cNvPicPr preferRelativeResize="1">
          <a:picLocks noChangeAspect="1"/>
        </xdr:cNvPicPr>
      </xdr:nvPicPr>
      <xdr:blipFill>
        <a:blip r:embed="rId12"/>
        <a:stretch>
          <a:fillRect/>
        </a:stretch>
      </xdr:blipFill>
      <xdr:spPr>
        <a:xfrm>
          <a:off x="2609850" y="1876425"/>
          <a:ext cx="2600325" cy="447675"/>
        </a:xfrm>
        <a:prstGeom prst="rect">
          <a:avLst/>
        </a:prstGeom>
        <a:noFill/>
        <a:ln w="9525" cmpd="sng">
          <a:noFill/>
        </a:ln>
      </xdr:spPr>
    </xdr:pic>
    <xdr:clientData/>
  </xdr:twoCellAnchor>
  <xdr:twoCellAnchor>
    <xdr:from>
      <xdr:col>4</xdr:col>
      <xdr:colOff>590550</xdr:colOff>
      <xdr:row>7</xdr:row>
      <xdr:rowOff>104775</xdr:rowOff>
    </xdr:from>
    <xdr:to>
      <xdr:col>7</xdr:col>
      <xdr:colOff>295275</xdr:colOff>
      <xdr:row>9</xdr:row>
      <xdr:rowOff>104775</xdr:rowOff>
    </xdr:to>
    <xdr:sp fLocksText="0">
      <xdr:nvSpPr>
        <xdr:cNvPr id="34" name="Text Box 2017"/>
        <xdr:cNvSpPr txBox="1">
          <a:spLocks noChangeArrowheads="1"/>
        </xdr:cNvSpPr>
      </xdr:nvSpPr>
      <xdr:spPr>
        <a:xfrm>
          <a:off x="2952750" y="1914525"/>
          <a:ext cx="1990725" cy="381000"/>
        </a:xfrm>
        <a:prstGeom prst="rect">
          <a:avLst/>
        </a:prstGeom>
        <a:noFill/>
        <a:ln w="9525" cmpd="sng">
          <a:noFill/>
        </a:ln>
      </xdr:spPr>
      <xdr:txBody>
        <a:bodyPr vertOverflow="clip" wrap="square" lIns="20160" tIns="20160" rIns="20160" bIns="20160"/>
        <a:p>
          <a:pPr algn="ctr">
            <a:defRPr/>
          </a:pPr>
          <a:r>
            <a:rPr lang="en-US" cap="none" sz="1200" b="0" i="0" u="none" baseline="0">
              <a:solidFill>
                <a:srgbClr val="000000"/>
              </a:solidFill>
            </a:rPr>
            <a:t>Indicadores
</a:t>
          </a:r>
        </a:p>
      </xdr:txBody>
    </xdr:sp>
    <xdr:clientData/>
  </xdr:twoCellAnchor>
  <xdr:twoCellAnchor>
    <xdr:from>
      <xdr:col>7</xdr:col>
      <xdr:colOff>733425</xdr:colOff>
      <xdr:row>7</xdr:row>
      <xdr:rowOff>76200</xdr:rowOff>
    </xdr:from>
    <xdr:to>
      <xdr:col>11</xdr:col>
      <xdr:colOff>409575</xdr:colOff>
      <xdr:row>9</xdr:row>
      <xdr:rowOff>133350</xdr:rowOff>
    </xdr:to>
    <xdr:pic>
      <xdr:nvPicPr>
        <xdr:cNvPr id="35" name="Picture 2018"/>
        <xdr:cNvPicPr preferRelativeResize="1">
          <a:picLocks noChangeAspect="1"/>
        </xdr:cNvPicPr>
      </xdr:nvPicPr>
      <xdr:blipFill>
        <a:blip r:embed="rId13"/>
        <a:stretch>
          <a:fillRect/>
        </a:stretch>
      </xdr:blipFill>
      <xdr:spPr>
        <a:xfrm>
          <a:off x="5381625" y="1885950"/>
          <a:ext cx="2076450" cy="438150"/>
        </a:xfrm>
        <a:prstGeom prst="rect">
          <a:avLst/>
        </a:prstGeom>
        <a:noFill/>
        <a:ln w="9525" cmpd="sng">
          <a:noFill/>
        </a:ln>
      </xdr:spPr>
    </xdr:pic>
    <xdr:clientData/>
  </xdr:twoCellAnchor>
  <xdr:twoCellAnchor>
    <xdr:from>
      <xdr:col>8</xdr:col>
      <xdr:colOff>57150</xdr:colOff>
      <xdr:row>7</xdr:row>
      <xdr:rowOff>104775</xdr:rowOff>
    </xdr:from>
    <xdr:to>
      <xdr:col>11</xdr:col>
      <xdr:colOff>342900</xdr:colOff>
      <xdr:row>9</xdr:row>
      <xdr:rowOff>104775</xdr:rowOff>
    </xdr:to>
    <xdr:sp fLocksText="0">
      <xdr:nvSpPr>
        <xdr:cNvPr id="36" name="Text Box 2019"/>
        <xdr:cNvSpPr txBox="1">
          <a:spLocks noChangeArrowheads="1"/>
        </xdr:cNvSpPr>
      </xdr:nvSpPr>
      <xdr:spPr>
        <a:xfrm>
          <a:off x="5467350" y="1914525"/>
          <a:ext cx="1924050" cy="381000"/>
        </a:xfrm>
        <a:prstGeom prst="rect">
          <a:avLst/>
        </a:prstGeom>
        <a:noFill/>
        <a:ln w="9525" cmpd="sng">
          <a:noFill/>
        </a:ln>
      </xdr:spPr>
      <xdr:txBody>
        <a:bodyPr vertOverflow="clip" wrap="square" lIns="20160" tIns="20160" rIns="20160" bIns="20160"/>
        <a:p>
          <a:pPr algn="ctr">
            <a:defRPr/>
          </a:pPr>
          <a:r>
            <a:rPr lang="en-US" cap="none" sz="1200" b="0" i="0" u="none" baseline="0">
              <a:solidFill>
                <a:srgbClr val="000000"/>
              </a:solidFill>
            </a:rPr>
            <a:t>Informes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66675</xdr:rowOff>
    </xdr:from>
    <xdr:to>
      <xdr:col>1</xdr:col>
      <xdr:colOff>123825</xdr:colOff>
      <xdr:row>4</xdr:row>
      <xdr:rowOff>76200</xdr:rowOff>
    </xdr:to>
    <xdr:pic>
      <xdr:nvPicPr>
        <xdr:cNvPr id="1" name="Picture 2"/>
        <xdr:cNvPicPr preferRelativeResize="1">
          <a:picLocks noChangeAspect="1"/>
        </xdr:cNvPicPr>
      </xdr:nvPicPr>
      <xdr:blipFill>
        <a:blip r:embed="rId1"/>
        <a:stretch>
          <a:fillRect/>
        </a:stretch>
      </xdr:blipFill>
      <xdr:spPr>
        <a:xfrm>
          <a:off x="142875" y="257175"/>
          <a:ext cx="742950"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1123950</xdr:colOff>
      <xdr:row>0</xdr:row>
      <xdr:rowOff>438150</xdr:rowOff>
    </xdr:to>
    <xdr:sp>
      <xdr:nvSpPr>
        <xdr:cNvPr id="1" name="AutoShape 50">
          <a:hlinkClick r:id="rId1"/>
        </xdr:cNvPr>
        <xdr:cNvSpPr>
          <a:spLocks/>
        </xdr:cNvSpPr>
      </xdr:nvSpPr>
      <xdr:spPr>
        <a:xfrm>
          <a:off x="28575" y="28575"/>
          <a:ext cx="1276350" cy="409575"/>
        </a:xfrm>
        <a:prstGeom prst="leftArrow">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29</xdr:row>
      <xdr:rowOff>285750</xdr:rowOff>
    </xdr:from>
    <xdr:to>
      <xdr:col>6</xdr:col>
      <xdr:colOff>142875</xdr:colOff>
      <xdr:row>39</xdr:row>
      <xdr:rowOff>104775</xdr:rowOff>
    </xdr:to>
    <xdr:sp>
      <xdr:nvSpPr>
        <xdr:cNvPr id="1" name="AutoShape 100"/>
        <xdr:cNvSpPr>
          <a:spLocks/>
        </xdr:cNvSpPr>
      </xdr:nvSpPr>
      <xdr:spPr>
        <a:xfrm flipH="1">
          <a:off x="11953875" y="4533900"/>
          <a:ext cx="0" cy="2305050"/>
        </a:xfrm>
        <a:prstGeom prst="straightConnector1">
          <a:avLst/>
        </a:prstGeom>
        <a:noFill/>
        <a:ln w="9360"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171450</xdr:colOff>
      <xdr:row>0</xdr:row>
      <xdr:rowOff>0</xdr:rowOff>
    </xdr:from>
    <xdr:to>
      <xdr:col>1</xdr:col>
      <xdr:colOff>923925</xdr:colOff>
      <xdr:row>0</xdr:row>
      <xdr:rowOff>333375</xdr:rowOff>
    </xdr:to>
    <xdr:sp>
      <xdr:nvSpPr>
        <xdr:cNvPr id="2" name="AutoShape 50">
          <a:hlinkClick r:id="rId1"/>
        </xdr:cNvPr>
        <xdr:cNvSpPr>
          <a:spLocks/>
        </xdr:cNvSpPr>
      </xdr:nvSpPr>
      <xdr:spPr>
        <a:xfrm>
          <a:off x="171450" y="0"/>
          <a:ext cx="933450"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twoCellAnchor>
    <xdr:from>
      <xdr:col>2</xdr:col>
      <xdr:colOff>1209675</xdr:colOff>
      <xdr:row>47</xdr:row>
      <xdr:rowOff>38100</xdr:rowOff>
    </xdr:from>
    <xdr:to>
      <xdr:col>6</xdr:col>
      <xdr:colOff>971550</xdr:colOff>
      <xdr:row>48</xdr:row>
      <xdr:rowOff>47625</xdr:rowOff>
    </xdr:to>
    <xdr:grpSp>
      <xdr:nvGrpSpPr>
        <xdr:cNvPr id="3" name="Group 18"/>
        <xdr:cNvGrpSpPr>
          <a:grpSpLocks/>
        </xdr:cNvGrpSpPr>
      </xdr:nvGrpSpPr>
      <xdr:grpSpPr>
        <a:xfrm>
          <a:off x="7953375" y="8286750"/>
          <a:ext cx="4829175" cy="200025"/>
          <a:chOff x="16701" y="13139"/>
          <a:chExt cx="10140" cy="314"/>
        </a:xfrm>
        <a:solidFill>
          <a:srgbClr val="FFFFFF"/>
        </a:solidFill>
      </xdr:grpSpPr>
      <xdr:sp>
        <xdr:nvSpPr>
          <xdr:cNvPr id="4" name="AutoShape 100"/>
          <xdr:cNvSpPr>
            <a:spLocks/>
          </xdr:cNvSpPr>
        </xdr:nvSpPr>
        <xdr:spPr>
          <a:xfrm>
            <a:off x="16729" y="13431"/>
            <a:ext cx="10107" cy="2"/>
          </a:xfrm>
          <a:prstGeom prst="straightConnector1">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 name="Straight Connector 16"/>
          <xdr:cNvSpPr>
            <a:spLocks/>
          </xdr:cNvSpPr>
        </xdr:nvSpPr>
        <xdr:spPr>
          <a:xfrm flipV="1">
            <a:off x="16701" y="13139"/>
            <a:ext cx="0" cy="288"/>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sp>
        <xdr:nvSpPr>
          <xdr:cNvPr id="6" name="Straight Connector 17"/>
          <xdr:cNvSpPr>
            <a:spLocks/>
          </xdr:cNvSpPr>
        </xdr:nvSpPr>
        <xdr:spPr>
          <a:xfrm flipV="1">
            <a:off x="26841" y="13165"/>
            <a:ext cx="0" cy="288"/>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0</xdr:rowOff>
    </xdr:from>
    <xdr:to>
      <xdr:col>0</xdr:col>
      <xdr:colOff>1181100</xdr:colOff>
      <xdr:row>2</xdr:row>
      <xdr:rowOff>447675</xdr:rowOff>
    </xdr:to>
    <xdr:sp>
      <xdr:nvSpPr>
        <xdr:cNvPr id="1" name="Rectangle 117">
          <a:hlinkClick r:id="rId1"/>
        </xdr:cNvPr>
        <xdr:cNvSpPr>
          <a:spLocks/>
        </xdr:cNvSpPr>
      </xdr:nvSpPr>
      <xdr:spPr>
        <a:xfrm>
          <a:off x="200025" y="590550"/>
          <a:ext cx="981075" cy="447675"/>
        </a:xfrm>
        <a:prstGeom prst="rect">
          <a:avLst/>
        </a:prstGeom>
        <a:solidFill>
          <a:srgbClr val="FFFFFF"/>
        </a:solidFill>
        <a:ln w="9360" cmpd="sng">
          <a:solidFill>
            <a:srgbClr val="000000"/>
          </a:solidFill>
          <a:headEnd type="none"/>
          <a:tailEnd type="none"/>
        </a:ln>
      </xdr:spPr>
      <xdr:txBody>
        <a:bodyPr vertOverflow="clip" wrap="square" lIns="27360" tIns="22680" rIns="0" bIns="0"/>
        <a:p>
          <a:pPr algn="l">
            <a:defRPr/>
          </a:pPr>
          <a:r>
            <a:rPr lang="en-US" cap="none" sz="900" b="0" i="0" u="none" baseline="0">
              <a:solidFill>
                <a:srgbClr val="000000"/>
              </a:solidFill>
              <a:latin typeface="Calibri"/>
              <a:ea typeface="Calibri"/>
              <a:cs typeface="Calibri"/>
            </a:rPr>
            <a:t>http://www.crwflags.com/fotw/flags/country.html</a:t>
          </a:r>
        </a:p>
      </xdr:txBody>
    </xdr:sp>
    <xdr:clientData/>
  </xdr:twoCellAnchor>
  <xdr:twoCellAnchor>
    <xdr:from>
      <xdr:col>0</xdr:col>
      <xdr:colOff>85725</xdr:colOff>
      <xdr:row>0</xdr:row>
      <xdr:rowOff>38100</xdr:rowOff>
    </xdr:from>
    <xdr:to>
      <xdr:col>0</xdr:col>
      <xdr:colOff>1009650</xdr:colOff>
      <xdr:row>1</xdr:row>
      <xdr:rowOff>104775</xdr:rowOff>
    </xdr:to>
    <xdr:sp>
      <xdr:nvSpPr>
        <xdr:cNvPr id="2" name="AutoShape 50">
          <a:hlinkClick r:id="rId2"/>
        </xdr:cNvPr>
        <xdr:cNvSpPr>
          <a:spLocks/>
        </xdr:cNvSpPr>
      </xdr:nvSpPr>
      <xdr:spPr>
        <a:xfrm>
          <a:off x="85725" y="38100"/>
          <a:ext cx="923925"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twoCellAnchor>
    <xdr:from>
      <xdr:col>0</xdr:col>
      <xdr:colOff>219075</xdr:colOff>
      <xdr:row>1</xdr:row>
      <xdr:rowOff>276225</xdr:rowOff>
    </xdr:from>
    <xdr:to>
      <xdr:col>0</xdr:col>
      <xdr:colOff>1209675</xdr:colOff>
      <xdr:row>3</xdr:row>
      <xdr:rowOff>47625</xdr:rowOff>
    </xdr:to>
    <xdr:pic>
      <xdr:nvPicPr>
        <xdr:cNvPr id="3" name="Picture 711"/>
        <xdr:cNvPicPr preferRelativeResize="1">
          <a:picLocks noChangeAspect="1"/>
        </xdr:cNvPicPr>
      </xdr:nvPicPr>
      <xdr:blipFill>
        <a:blip r:embed="rId3"/>
        <a:stretch>
          <a:fillRect/>
        </a:stretch>
      </xdr:blipFill>
      <xdr:spPr>
        <a:xfrm>
          <a:off x="219075" y="542925"/>
          <a:ext cx="990600" cy="55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9</xdr:row>
      <xdr:rowOff>104775</xdr:rowOff>
    </xdr:from>
    <xdr:to>
      <xdr:col>6</xdr:col>
      <xdr:colOff>19050</xdr:colOff>
      <xdr:row>20</xdr:row>
      <xdr:rowOff>180975</xdr:rowOff>
    </xdr:to>
    <xdr:graphicFrame>
      <xdr:nvGraphicFramePr>
        <xdr:cNvPr id="1" name="Chart 1"/>
        <xdr:cNvGraphicFramePr/>
      </xdr:nvGraphicFramePr>
      <xdr:xfrm>
        <a:off x="257175" y="2457450"/>
        <a:ext cx="4552950" cy="2171700"/>
      </xdr:xfrm>
      <a:graphic>
        <a:graphicData uri="http://schemas.openxmlformats.org/drawingml/2006/chart">
          <c:chart xmlns:c="http://schemas.openxmlformats.org/drawingml/2006/chart" r:id="rId1"/>
        </a:graphicData>
      </a:graphic>
    </xdr:graphicFrame>
    <xdr:clientData/>
  </xdr:twoCellAnchor>
  <xdr:twoCellAnchor>
    <xdr:from>
      <xdr:col>5</xdr:col>
      <xdr:colOff>1524000</xdr:colOff>
      <xdr:row>9</xdr:row>
      <xdr:rowOff>76200</xdr:rowOff>
    </xdr:from>
    <xdr:to>
      <xdr:col>11</xdr:col>
      <xdr:colOff>171450</xdr:colOff>
      <xdr:row>21</xdr:row>
      <xdr:rowOff>38100</xdr:rowOff>
    </xdr:to>
    <xdr:graphicFrame>
      <xdr:nvGraphicFramePr>
        <xdr:cNvPr id="2" name="Chart 2"/>
        <xdr:cNvGraphicFramePr/>
      </xdr:nvGraphicFramePr>
      <xdr:xfrm>
        <a:off x="4448175" y="2428875"/>
        <a:ext cx="4819650" cy="23622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23</xdr:row>
      <xdr:rowOff>0</xdr:rowOff>
    </xdr:from>
    <xdr:to>
      <xdr:col>5</xdr:col>
      <xdr:colOff>1733550</xdr:colOff>
      <xdr:row>30</xdr:row>
      <xdr:rowOff>38100</xdr:rowOff>
    </xdr:to>
    <xdr:graphicFrame>
      <xdr:nvGraphicFramePr>
        <xdr:cNvPr id="3" name="Chart 3"/>
        <xdr:cNvGraphicFramePr/>
      </xdr:nvGraphicFramePr>
      <xdr:xfrm>
        <a:off x="0" y="5638800"/>
        <a:ext cx="4657725" cy="20193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1</xdr:col>
      <xdr:colOff>685800</xdr:colOff>
      <xdr:row>0</xdr:row>
      <xdr:rowOff>333375</xdr:rowOff>
    </xdr:to>
    <xdr:sp>
      <xdr:nvSpPr>
        <xdr:cNvPr id="4" name="AutoShape 50">
          <a:hlinkClick r:id="rId4"/>
        </xdr:cNvPr>
        <xdr:cNvSpPr>
          <a:spLocks/>
        </xdr:cNvSpPr>
      </xdr:nvSpPr>
      <xdr:spPr>
        <a:xfrm>
          <a:off x="0" y="0"/>
          <a:ext cx="923925"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7</xdr:row>
      <xdr:rowOff>161925</xdr:rowOff>
    </xdr:from>
    <xdr:to>
      <xdr:col>12</xdr:col>
      <xdr:colOff>219075</xdr:colOff>
      <xdr:row>14</xdr:row>
      <xdr:rowOff>152400</xdr:rowOff>
    </xdr:to>
    <xdr:graphicFrame>
      <xdr:nvGraphicFramePr>
        <xdr:cNvPr id="1" name="Chart 1"/>
        <xdr:cNvGraphicFramePr/>
      </xdr:nvGraphicFramePr>
      <xdr:xfrm>
        <a:off x="5705475" y="1924050"/>
        <a:ext cx="4981575" cy="1314450"/>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16</xdr:row>
      <xdr:rowOff>0</xdr:rowOff>
    </xdr:from>
    <xdr:to>
      <xdr:col>6</xdr:col>
      <xdr:colOff>0</xdr:colOff>
      <xdr:row>25</xdr:row>
      <xdr:rowOff>28575</xdr:rowOff>
    </xdr:to>
    <xdr:graphicFrame>
      <xdr:nvGraphicFramePr>
        <xdr:cNvPr id="2" name="Chart 2"/>
        <xdr:cNvGraphicFramePr/>
      </xdr:nvGraphicFramePr>
      <xdr:xfrm>
        <a:off x="285750" y="3619500"/>
        <a:ext cx="4143375" cy="18383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xdr:row>
      <xdr:rowOff>19050</xdr:rowOff>
    </xdr:from>
    <xdr:to>
      <xdr:col>6</xdr:col>
      <xdr:colOff>95250</xdr:colOff>
      <xdr:row>14</xdr:row>
      <xdr:rowOff>247650</xdr:rowOff>
    </xdr:to>
    <xdr:graphicFrame>
      <xdr:nvGraphicFramePr>
        <xdr:cNvPr id="3" name="Chart 3"/>
        <xdr:cNvGraphicFramePr/>
      </xdr:nvGraphicFramePr>
      <xdr:xfrm>
        <a:off x="0" y="1962150"/>
        <a:ext cx="4524375" cy="1371600"/>
      </xdr:xfrm>
      <a:graphic>
        <a:graphicData uri="http://schemas.openxmlformats.org/drawingml/2006/chart">
          <c:chart xmlns:c="http://schemas.openxmlformats.org/drawingml/2006/chart" r:id="rId3"/>
        </a:graphicData>
      </a:graphic>
    </xdr:graphicFrame>
    <xdr:clientData/>
  </xdr:twoCellAnchor>
  <xdr:twoCellAnchor>
    <xdr:from>
      <xdr:col>6</xdr:col>
      <xdr:colOff>1076325</xdr:colOff>
      <xdr:row>16</xdr:row>
      <xdr:rowOff>19050</xdr:rowOff>
    </xdr:from>
    <xdr:to>
      <xdr:col>13</xdr:col>
      <xdr:colOff>171450</xdr:colOff>
      <xdr:row>25</xdr:row>
      <xdr:rowOff>57150</xdr:rowOff>
    </xdr:to>
    <xdr:graphicFrame>
      <xdr:nvGraphicFramePr>
        <xdr:cNvPr id="4" name="Chart 4"/>
        <xdr:cNvGraphicFramePr/>
      </xdr:nvGraphicFramePr>
      <xdr:xfrm>
        <a:off x="5505450" y="3638550"/>
        <a:ext cx="5743575" cy="1847850"/>
      </xdr:xfrm>
      <a:graphic>
        <a:graphicData uri="http://schemas.openxmlformats.org/drawingml/2006/chart">
          <c:chart xmlns:c="http://schemas.openxmlformats.org/drawingml/2006/chart" r:id="rId4"/>
        </a:graphicData>
      </a:graphic>
    </xdr:graphicFrame>
    <xdr:clientData/>
  </xdr:twoCellAnchor>
  <xdr:twoCellAnchor>
    <xdr:from>
      <xdr:col>0</xdr:col>
      <xdr:colOff>209550</xdr:colOff>
      <xdr:row>27</xdr:row>
      <xdr:rowOff>47625</xdr:rowOff>
    </xdr:from>
    <xdr:to>
      <xdr:col>6</xdr:col>
      <xdr:colOff>114300</xdr:colOff>
      <xdr:row>33</xdr:row>
      <xdr:rowOff>238125</xdr:rowOff>
    </xdr:to>
    <xdr:graphicFrame>
      <xdr:nvGraphicFramePr>
        <xdr:cNvPr id="5" name="Chart 5"/>
        <xdr:cNvGraphicFramePr/>
      </xdr:nvGraphicFramePr>
      <xdr:xfrm>
        <a:off x="209550" y="6372225"/>
        <a:ext cx="4333875" cy="24669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9525</xdr:rowOff>
    </xdr:from>
    <xdr:to>
      <xdr:col>1</xdr:col>
      <xdr:colOff>695325</xdr:colOff>
      <xdr:row>0</xdr:row>
      <xdr:rowOff>342900</xdr:rowOff>
    </xdr:to>
    <xdr:sp>
      <xdr:nvSpPr>
        <xdr:cNvPr id="6" name="AutoShape 50">
          <a:hlinkClick r:id="rId6"/>
        </xdr:cNvPr>
        <xdr:cNvSpPr>
          <a:spLocks/>
        </xdr:cNvSpPr>
      </xdr:nvSpPr>
      <xdr:spPr>
        <a:xfrm>
          <a:off x="0" y="9525"/>
          <a:ext cx="914400"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9</xdr:row>
      <xdr:rowOff>142875</xdr:rowOff>
    </xdr:from>
    <xdr:to>
      <xdr:col>12</xdr:col>
      <xdr:colOff>238125</xdr:colOff>
      <xdr:row>18</xdr:row>
      <xdr:rowOff>19050</xdr:rowOff>
    </xdr:to>
    <xdr:graphicFrame>
      <xdr:nvGraphicFramePr>
        <xdr:cNvPr id="1" name="Chart 1"/>
        <xdr:cNvGraphicFramePr/>
      </xdr:nvGraphicFramePr>
      <xdr:xfrm>
        <a:off x="4400550" y="2886075"/>
        <a:ext cx="4000500" cy="1838325"/>
      </xdr:xfrm>
      <a:graphic>
        <a:graphicData uri="http://schemas.openxmlformats.org/drawingml/2006/chart">
          <c:chart xmlns:c="http://schemas.openxmlformats.org/drawingml/2006/chart" r:id="rId1"/>
        </a:graphicData>
      </a:graphic>
    </xdr:graphicFrame>
    <xdr:clientData/>
  </xdr:twoCellAnchor>
  <xdr:twoCellAnchor>
    <xdr:from>
      <xdr:col>12</xdr:col>
      <xdr:colOff>676275</xdr:colOff>
      <xdr:row>9</xdr:row>
      <xdr:rowOff>200025</xdr:rowOff>
    </xdr:from>
    <xdr:to>
      <xdr:col>19</xdr:col>
      <xdr:colOff>171450</xdr:colOff>
      <xdr:row>18</xdr:row>
      <xdr:rowOff>57150</xdr:rowOff>
    </xdr:to>
    <xdr:graphicFrame>
      <xdr:nvGraphicFramePr>
        <xdr:cNvPr id="2" name="Chart 2"/>
        <xdr:cNvGraphicFramePr/>
      </xdr:nvGraphicFramePr>
      <xdr:xfrm>
        <a:off x="8839200" y="2943225"/>
        <a:ext cx="4467225" cy="181927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0</xdr:row>
      <xdr:rowOff>19050</xdr:rowOff>
    </xdr:from>
    <xdr:to>
      <xdr:col>1</xdr:col>
      <xdr:colOff>923925</xdr:colOff>
      <xdr:row>1</xdr:row>
      <xdr:rowOff>19050</xdr:rowOff>
    </xdr:to>
    <xdr:sp>
      <xdr:nvSpPr>
        <xdr:cNvPr id="3" name="AutoShape 50">
          <a:hlinkClick r:id="rId3"/>
        </xdr:cNvPr>
        <xdr:cNvSpPr>
          <a:spLocks/>
        </xdr:cNvSpPr>
      </xdr:nvSpPr>
      <xdr:spPr>
        <a:xfrm>
          <a:off x="28575" y="19050"/>
          <a:ext cx="923925"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twoCellAnchor>
    <xdr:from>
      <xdr:col>1</xdr:col>
      <xdr:colOff>257175</xdr:colOff>
      <xdr:row>9</xdr:row>
      <xdr:rowOff>114300</xdr:rowOff>
    </xdr:from>
    <xdr:to>
      <xdr:col>5</xdr:col>
      <xdr:colOff>266700</xdr:colOff>
      <xdr:row>17</xdr:row>
      <xdr:rowOff>66675</xdr:rowOff>
    </xdr:to>
    <xdr:graphicFrame>
      <xdr:nvGraphicFramePr>
        <xdr:cNvPr id="4" name="Chart 4"/>
        <xdr:cNvGraphicFramePr/>
      </xdr:nvGraphicFramePr>
      <xdr:xfrm>
        <a:off x="285750" y="2857500"/>
        <a:ext cx="3962400" cy="1838325"/>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xdr:col>
      <xdr:colOff>895350</xdr:colOff>
      <xdr:row>0</xdr:row>
      <xdr:rowOff>381000</xdr:rowOff>
    </xdr:to>
    <xdr:sp>
      <xdr:nvSpPr>
        <xdr:cNvPr id="1" name="AutoShape 50">
          <a:hlinkClick r:id="rId1"/>
        </xdr:cNvPr>
        <xdr:cNvSpPr>
          <a:spLocks/>
        </xdr:cNvSpPr>
      </xdr:nvSpPr>
      <xdr:spPr>
        <a:xfrm>
          <a:off x="47625" y="47625"/>
          <a:ext cx="923925"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676275</xdr:colOff>
      <xdr:row>0</xdr:row>
      <xdr:rowOff>361950</xdr:rowOff>
    </xdr:to>
    <xdr:sp>
      <xdr:nvSpPr>
        <xdr:cNvPr id="1" name="AutoShape 50">
          <a:hlinkClick r:id="rId1"/>
        </xdr:cNvPr>
        <xdr:cNvSpPr>
          <a:spLocks/>
        </xdr:cNvSpPr>
      </xdr:nvSpPr>
      <xdr:spPr>
        <a:xfrm>
          <a:off x="28575" y="28575"/>
          <a:ext cx="923925"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CPFG\AppData\Local\Microsoft\Windows\Temporary%20Internet%20Files\Content.IE5\509RGSVL\Documents%20and%20Settings\Administrator\My%20Documents\Downloads\Ficticia%20HIV%20Dashboard_ES%20-%20Set%20Up%20and%20Maintenance%20Guid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UCPFG\AppData\Local\Microsoft\Windows\Temporary%20Internet%20Files\Content.IE5\509RGSVL\Tablero%20de%20Mando%20S9_R9%20TB%20(Programatico)%20financiero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a de indicadores"/>
      <sheetName val="Introducción de datos"/>
      <sheetName val="Información de la subvención"/>
      <sheetName val="Financiamiento"/>
      <sheetName val="Gestión"/>
      <sheetName val="Programatico"/>
      <sheetName val="Recomendaciones"/>
      <sheetName val="Acciones"/>
      <sheetName val="Setup"/>
    </sheetNames>
    <sheetDataSet>
      <sheetData sheetId="1">
        <row r="6">
          <cell r="B6" t="str">
            <v>Subvención nº:</v>
          </cell>
          <cell r="C6" t="str">
            <v>FIC-910-G01-H</v>
          </cell>
        </row>
      </sheetData>
      <sheetData sheetId="2">
        <row r="3">
          <cell r="B3" t="str">
            <v>Tablero de mando:  Ficticia - VIH / SIDA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Lista de indicadores"/>
      <sheetName val="Introducción de datos"/>
      <sheetName val="Información de la subvención"/>
      <sheetName val="Financiamiento"/>
      <sheetName val="Gestión"/>
      <sheetName val="Programatico"/>
      <sheetName val="Recomendaciones"/>
      <sheetName val="Acciones"/>
      <sheetName val="Setu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tabColor indexed="51"/>
  </sheetPr>
  <dimension ref="B2:O4"/>
  <sheetViews>
    <sheetView showGridLines="0" zoomScale="80" zoomScaleNormal="80" zoomScalePageLayoutView="0" workbookViewId="0" topLeftCell="A3">
      <selection activeCell="A1" sqref="A1"/>
    </sheetView>
  </sheetViews>
  <sheetFormatPr defaultColWidth="9.140625" defaultRowHeight="15"/>
  <cols>
    <col min="1" max="1" width="1.1484375" style="0" customWidth="1"/>
    <col min="2" max="10" width="11.421875" style="0" customWidth="1"/>
    <col min="11" max="11" width="1.7109375" style="0" customWidth="1"/>
  </cols>
  <sheetData>
    <row r="1" ht="25.5" customHeight="1"/>
    <row r="2" spans="2:15" ht="36">
      <c r="B2" s="477" t="str">
        <f>+'[1]Información de la subvención'!B3:J3</f>
        <v>Tablero de mando:  Ficticia - VIH / SIDA</v>
      </c>
      <c r="C2" s="477"/>
      <c r="D2" s="477"/>
      <c r="E2" s="477"/>
      <c r="F2" s="477"/>
      <c r="G2" s="477"/>
      <c r="H2" s="477"/>
      <c r="I2" s="477"/>
      <c r="J2" s="477"/>
      <c r="K2" s="477"/>
      <c r="L2" s="477"/>
      <c r="M2" s="1"/>
      <c r="N2" s="1"/>
      <c r="O2" s="1"/>
    </row>
    <row r="4" spans="2:12" ht="21">
      <c r="B4" s="478" t="str">
        <f>+'Introducción de datos'!G6&amp;"  "&amp;+'Introducción de datos'!G8&amp;",  "&amp;+'Introducción de datos'!I8</f>
        <v>TB  Ronda 9,  Fase 2</v>
      </c>
      <c r="C4" s="478"/>
      <c r="D4" s="478"/>
      <c r="E4" s="478"/>
      <c r="F4" s="2"/>
      <c r="G4" s="2"/>
      <c r="H4" s="3" t="str">
        <f>+'[1]Introducción de datos'!B6&amp;" "&amp;+'[1]Introducción de datos'!C6</f>
        <v>Subvención nº: FIC-910-G01-H</v>
      </c>
      <c r="I4" s="3"/>
      <c r="J4" s="4"/>
      <c r="K4" s="2"/>
      <c r="L4" s="2"/>
    </row>
  </sheetData>
  <sheetProtection selectLockedCells="1" selectUnlockedCells="1"/>
  <mergeCells count="2">
    <mergeCell ref="B2:L2"/>
    <mergeCell ref="B4:E4"/>
  </mergeCells>
  <printOptions/>
  <pageMargins left="0.7083333333333334" right="0.7083333333333334" top="0.7479166666666667" bottom="0.7486111111111111" header="0.5118055555555555" footer="0.31527777777777777"/>
  <pageSetup horizontalDpi="300" verticalDpi="300" orientation="landscape" paperSize="9"/>
  <headerFooter alignWithMargins="0">
    <oddFooter>&amp;L&amp;F&amp;C&amp;A&amp;R&amp;D</oddFooter>
  </headerFooter>
  <drawing r:id="rId1"/>
</worksheet>
</file>

<file path=xl/worksheets/sheet10.xml><?xml version="1.0" encoding="utf-8"?>
<worksheet xmlns="http://schemas.openxmlformats.org/spreadsheetml/2006/main" xmlns:r="http://schemas.openxmlformats.org/officeDocument/2006/relationships">
  <dimension ref="B3:O48"/>
  <sheetViews>
    <sheetView showGridLines="0" zoomScale="80" zoomScaleNormal="80" zoomScalePageLayoutView="0" workbookViewId="0" topLeftCell="G6">
      <selection activeCell="H9" sqref="H9:H21"/>
    </sheetView>
  </sheetViews>
  <sheetFormatPr defaultColWidth="9.140625" defaultRowHeight="15"/>
  <cols>
    <col min="1" max="1" width="11.421875" style="0" customWidth="1"/>
    <col min="2" max="2" width="16.140625" style="0" customWidth="1"/>
    <col min="3" max="3" width="14.7109375" style="0" customWidth="1"/>
    <col min="4" max="4" width="15.57421875" style="0" customWidth="1"/>
    <col min="5" max="6" width="11.421875" style="0" customWidth="1"/>
    <col min="7" max="7" width="14.421875" style="0" customWidth="1"/>
    <col min="8" max="8" width="35.57421875" style="0" customWidth="1"/>
    <col min="9" max="9" width="45.7109375" style="0" customWidth="1"/>
    <col min="10" max="10" width="33.57421875" style="0" customWidth="1"/>
    <col min="11" max="12" width="11.421875" style="0" customWidth="1"/>
    <col min="13" max="13" width="28.57421875" style="0" customWidth="1"/>
    <col min="14" max="14" width="46.421875" style="0" customWidth="1"/>
  </cols>
  <sheetData>
    <row r="2" ht="25.5" customHeight="1"/>
    <row r="3" spans="2:9" ht="36">
      <c r="B3" s="670" t="str">
        <f>'Información de la subvención'!B3:J3</f>
        <v>Tablero de mando:  El Salvador - TB</v>
      </c>
      <c r="C3" s="670"/>
      <c r="D3" s="670"/>
      <c r="E3" s="670"/>
      <c r="F3" s="670"/>
      <c r="G3" s="670"/>
      <c r="H3" s="670"/>
      <c r="I3" s="291"/>
    </row>
    <row r="6" spans="2:8" ht="18.75">
      <c r="B6" s="671" t="s">
        <v>51</v>
      </c>
      <c r="C6" s="671"/>
      <c r="D6" s="671"/>
      <c r="E6" s="671"/>
      <c r="F6" s="671"/>
      <c r="G6" s="671"/>
      <c r="H6" s="671"/>
    </row>
    <row r="8" spans="2:15" ht="18.75">
      <c r="B8" s="456" t="s">
        <v>52</v>
      </c>
      <c r="C8" s="456" t="s">
        <v>53</v>
      </c>
      <c r="D8" s="456" t="s">
        <v>54</v>
      </c>
      <c r="E8" s="456" t="s">
        <v>55</v>
      </c>
      <c r="F8" s="456" t="s">
        <v>56</v>
      </c>
      <c r="G8" s="456" t="s">
        <v>57</v>
      </c>
      <c r="H8" s="456" t="s">
        <v>58</v>
      </c>
      <c r="I8" s="457" t="s">
        <v>59</v>
      </c>
      <c r="J8" s="457" t="s">
        <v>60</v>
      </c>
      <c r="M8" s="10"/>
      <c r="N8" s="10"/>
      <c r="O8" s="10"/>
    </row>
    <row r="9" spans="2:15" ht="15">
      <c r="B9" s="458" t="s">
        <v>61</v>
      </c>
      <c r="C9" s="458" t="s">
        <v>61</v>
      </c>
      <c r="D9" s="458" t="s">
        <v>61</v>
      </c>
      <c r="E9" s="458" t="s">
        <v>61</v>
      </c>
      <c r="F9" s="458" t="s">
        <v>61</v>
      </c>
      <c r="G9" s="458" t="s">
        <v>61</v>
      </c>
      <c r="H9" s="458" t="s">
        <v>61</v>
      </c>
      <c r="I9" s="459" t="s">
        <v>61</v>
      </c>
      <c r="J9" s="458" t="s">
        <v>61</v>
      </c>
      <c r="M9" s="10"/>
      <c r="N9" s="10"/>
      <c r="O9" s="10"/>
    </row>
    <row r="10" spans="2:15" ht="15">
      <c r="B10" s="460" t="s">
        <v>62</v>
      </c>
      <c r="C10" s="460" t="s">
        <v>226</v>
      </c>
      <c r="D10" s="460" t="s">
        <v>63</v>
      </c>
      <c r="E10" s="460" t="s">
        <v>64</v>
      </c>
      <c r="F10" s="460" t="s">
        <v>230</v>
      </c>
      <c r="G10" s="461" t="s">
        <v>208</v>
      </c>
      <c r="H10" s="462" t="s">
        <v>65</v>
      </c>
      <c r="I10" s="463" t="s">
        <v>311</v>
      </c>
      <c r="J10" s="458" t="s">
        <v>66</v>
      </c>
      <c r="M10" s="10"/>
      <c r="N10" s="10"/>
      <c r="O10" s="10"/>
    </row>
    <row r="11" spans="2:15" ht="15">
      <c r="B11" s="460" t="s">
        <v>67</v>
      </c>
      <c r="C11" s="460" t="s">
        <v>68</v>
      </c>
      <c r="D11" s="460" t="s">
        <v>69</v>
      </c>
      <c r="E11" s="460" t="s">
        <v>203</v>
      </c>
      <c r="F11" s="460" t="s">
        <v>231</v>
      </c>
      <c r="G11" s="461" t="s">
        <v>70</v>
      </c>
      <c r="H11" s="462" t="s">
        <v>71</v>
      </c>
      <c r="I11" s="463" t="s">
        <v>312</v>
      </c>
      <c r="J11" s="458" t="s">
        <v>72</v>
      </c>
      <c r="M11" s="10"/>
      <c r="N11" s="10"/>
      <c r="O11" s="10"/>
    </row>
    <row r="12" spans="2:15" ht="15">
      <c r="B12" s="460" t="s">
        <v>196</v>
      </c>
      <c r="D12" s="460" t="s">
        <v>73</v>
      </c>
      <c r="E12" s="460" t="s">
        <v>74</v>
      </c>
      <c r="F12" s="460" t="s">
        <v>232</v>
      </c>
      <c r="G12" s="461" t="s">
        <v>75</v>
      </c>
      <c r="H12" s="462" t="s">
        <v>76</v>
      </c>
      <c r="I12" s="463" t="s">
        <v>313</v>
      </c>
      <c r="J12" s="458" t="s">
        <v>77</v>
      </c>
      <c r="M12" s="464"/>
      <c r="N12" s="10"/>
      <c r="O12" s="10"/>
    </row>
    <row r="13" spans="2:15" ht="15">
      <c r="B13" s="460" t="s">
        <v>78</v>
      </c>
      <c r="D13" s="460" t="s">
        <v>79</v>
      </c>
      <c r="E13" s="465"/>
      <c r="F13" s="460" t="s">
        <v>233</v>
      </c>
      <c r="G13" s="461" t="s">
        <v>80</v>
      </c>
      <c r="H13" s="462" t="s">
        <v>81</v>
      </c>
      <c r="I13" s="463" t="s">
        <v>314</v>
      </c>
      <c r="J13" s="458" t="s">
        <v>82</v>
      </c>
      <c r="M13" s="464"/>
      <c r="N13" s="10"/>
      <c r="O13" s="10"/>
    </row>
    <row r="14" spans="2:15" ht="15">
      <c r="B14" s="460" t="s">
        <v>83</v>
      </c>
      <c r="D14" s="460" t="s">
        <v>84</v>
      </c>
      <c r="F14" s="460" t="s">
        <v>234</v>
      </c>
      <c r="G14" s="461" t="s">
        <v>85</v>
      </c>
      <c r="H14" s="462" t="s">
        <v>86</v>
      </c>
      <c r="I14" s="463" t="s">
        <v>87</v>
      </c>
      <c r="J14" s="458" t="s">
        <v>88</v>
      </c>
      <c r="M14" s="464"/>
      <c r="N14" s="10"/>
      <c r="O14" s="10"/>
    </row>
    <row r="15" spans="4:15" ht="15">
      <c r="D15" s="460" t="s">
        <v>89</v>
      </c>
      <c r="F15" s="460" t="s">
        <v>235</v>
      </c>
      <c r="H15" s="462" t="s">
        <v>90</v>
      </c>
      <c r="I15" s="463" t="s">
        <v>91</v>
      </c>
      <c r="J15" s="458" t="s">
        <v>92</v>
      </c>
      <c r="M15" s="464"/>
      <c r="N15" s="10"/>
      <c r="O15" s="10"/>
    </row>
    <row r="16" spans="4:15" ht="15">
      <c r="D16" s="460" t="s">
        <v>93</v>
      </c>
      <c r="F16" s="460" t="s">
        <v>236</v>
      </c>
      <c r="H16" s="462" t="s">
        <v>94</v>
      </c>
      <c r="I16" s="463" t="s">
        <v>95</v>
      </c>
      <c r="J16" s="458" t="s">
        <v>96</v>
      </c>
      <c r="M16" s="464"/>
      <c r="N16" s="10"/>
      <c r="O16" s="10"/>
    </row>
    <row r="17" spans="4:15" ht="15">
      <c r="D17" s="460" t="s">
        <v>97</v>
      </c>
      <c r="F17" s="460" t="s">
        <v>237</v>
      </c>
      <c r="H17" s="462" t="s">
        <v>98</v>
      </c>
      <c r="I17" s="463" t="s">
        <v>99</v>
      </c>
      <c r="J17" s="458" t="s">
        <v>100</v>
      </c>
      <c r="M17" s="464"/>
      <c r="N17" s="10"/>
      <c r="O17" s="10"/>
    </row>
    <row r="18" spans="4:15" ht="15">
      <c r="D18" s="460" t="s">
        <v>201</v>
      </c>
      <c r="F18" s="460" t="s">
        <v>213</v>
      </c>
      <c r="H18" s="462" t="s">
        <v>101</v>
      </c>
      <c r="I18" s="463" t="s">
        <v>102</v>
      </c>
      <c r="J18" s="458" t="s">
        <v>103</v>
      </c>
      <c r="M18" s="464"/>
      <c r="N18" s="10"/>
      <c r="O18" s="10"/>
    </row>
    <row r="19" spans="4:15" ht="15">
      <c r="D19" s="460" t="s">
        <v>104</v>
      </c>
      <c r="F19" s="460" t="s">
        <v>238</v>
      </c>
      <c r="H19" s="462" t="s">
        <v>206</v>
      </c>
      <c r="I19" s="463" t="s">
        <v>105</v>
      </c>
      <c r="J19" s="458" t="s">
        <v>106</v>
      </c>
      <c r="M19" s="464"/>
      <c r="N19" s="10"/>
      <c r="O19" s="10"/>
    </row>
    <row r="20" spans="4:15" ht="15">
      <c r="D20" s="466"/>
      <c r="F20" s="460" t="s">
        <v>239</v>
      </c>
      <c r="H20" s="462" t="s">
        <v>107</v>
      </c>
      <c r="I20" s="463" t="s">
        <v>108</v>
      </c>
      <c r="J20" s="458" t="s">
        <v>109</v>
      </c>
      <c r="M20" s="10"/>
      <c r="N20" s="10"/>
      <c r="O20" s="10"/>
    </row>
    <row r="21" spans="4:15" ht="15">
      <c r="D21" s="467"/>
      <c r="F21" s="460" t="s">
        <v>240</v>
      </c>
      <c r="H21" s="467"/>
      <c r="I21" s="463" t="s">
        <v>110</v>
      </c>
      <c r="J21" s="458" t="s">
        <v>111</v>
      </c>
      <c r="M21" s="10"/>
      <c r="N21" s="10"/>
      <c r="O21" s="10"/>
    </row>
    <row r="22" spans="8:15" ht="15">
      <c r="H22" s="467"/>
      <c r="I22" s="463" t="s">
        <v>112</v>
      </c>
      <c r="J22" s="458" t="s">
        <v>113</v>
      </c>
      <c r="M22" s="10"/>
      <c r="N22" s="10"/>
      <c r="O22" s="10"/>
    </row>
    <row r="23" spans="9:15" ht="15">
      <c r="I23" s="463" t="s">
        <v>114</v>
      </c>
      <c r="J23" s="458" t="s">
        <v>115</v>
      </c>
      <c r="M23" s="10"/>
      <c r="N23" s="10"/>
      <c r="O23" s="10"/>
    </row>
    <row r="24" spans="9:15" ht="15">
      <c r="I24" s="463" t="s">
        <v>116</v>
      </c>
      <c r="J24" s="458" t="s">
        <v>117</v>
      </c>
      <c r="M24" s="10"/>
      <c r="N24" s="10"/>
      <c r="O24" s="10"/>
    </row>
    <row r="25" spans="9:10" ht="15">
      <c r="I25" s="468"/>
      <c r="J25" s="458" t="s">
        <v>118</v>
      </c>
    </row>
    <row r="26" spans="9:10" ht="15">
      <c r="I26" s="463" t="s">
        <v>119</v>
      </c>
      <c r="J26" s="458" t="s">
        <v>120</v>
      </c>
    </row>
    <row r="27" spans="9:10" ht="15">
      <c r="I27" s="463" t="s">
        <v>121</v>
      </c>
      <c r="J27" s="458" t="s">
        <v>190</v>
      </c>
    </row>
    <row r="28" spans="9:10" ht="15">
      <c r="I28" s="468" t="s">
        <v>122</v>
      </c>
      <c r="J28" s="458" t="s">
        <v>123</v>
      </c>
    </row>
    <row r="29" spans="9:10" ht="15">
      <c r="I29" s="468" t="s">
        <v>124</v>
      </c>
      <c r="J29" s="458" t="s">
        <v>125</v>
      </c>
    </row>
    <row r="30" spans="9:10" ht="15">
      <c r="I30" s="468" t="s">
        <v>126</v>
      </c>
      <c r="J30" s="458" t="s">
        <v>127</v>
      </c>
    </row>
    <row r="31" ht="15">
      <c r="J31" s="458" t="s">
        <v>128</v>
      </c>
    </row>
    <row r="32" ht="15">
      <c r="J32" s="458" t="s">
        <v>129</v>
      </c>
    </row>
    <row r="33" ht="15">
      <c r="J33" s="458" t="s">
        <v>130</v>
      </c>
    </row>
    <row r="34" ht="15">
      <c r="J34" s="458" t="s">
        <v>131</v>
      </c>
    </row>
    <row r="35" ht="15">
      <c r="J35" s="458" t="s">
        <v>132</v>
      </c>
    </row>
    <row r="36" ht="15">
      <c r="J36" s="458" t="s">
        <v>133</v>
      </c>
    </row>
    <row r="37" ht="15">
      <c r="J37" s="458" t="s">
        <v>134</v>
      </c>
    </row>
    <row r="38" ht="15">
      <c r="J38" s="458" t="s">
        <v>135</v>
      </c>
    </row>
    <row r="39" ht="15">
      <c r="J39" s="458" t="s">
        <v>136</v>
      </c>
    </row>
    <row r="40" ht="15">
      <c r="J40" s="458" t="s">
        <v>137</v>
      </c>
    </row>
    <row r="41" ht="15">
      <c r="J41" s="458" t="s">
        <v>138</v>
      </c>
    </row>
    <row r="42" ht="15">
      <c r="J42" s="458" t="s">
        <v>139</v>
      </c>
    </row>
    <row r="43" ht="15">
      <c r="J43" s="458" t="s">
        <v>140</v>
      </c>
    </row>
    <row r="44" ht="15">
      <c r="J44" s="458" t="s">
        <v>141</v>
      </c>
    </row>
    <row r="45" ht="15">
      <c r="J45" s="458" t="s">
        <v>142</v>
      </c>
    </row>
    <row r="46" ht="15">
      <c r="J46" s="458" t="s">
        <v>143</v>
      </c>
    </row>
    <row r="47" ht="15">
      <c r="J47" s="458" t="s">
        <v>144</v>
      </c>
    </row>
    <row r="48" ht="15">
      <c r="J48" s="458" t="s">
        <v>145</v>
      </c>
    </row>
  </sheetData>
  <sheetProtection selectLockedCells="1" selectUnlockedCells="1"/>
  <mergeCells count="2">
    <mergeCell ref="B3:H3"/>
    <mergeCell ref="B6:H6"/>
  </mergeCells>
  <dataValidations count="1">
    <dataValidation type="list" allowBlank="1" showErrorMessage="1" sqref="M28">
      <formula1>$J$10:$J$48</formula1>
      <formula2>0</formula2>
    </dataValidation>
  </dataValidations>
  <printOptions/>
  <pageMargins left="0.7" right="0.7" top="0.75" bottom="0.75" header="0.5118055555555555" footer="0.3"/>
  <pageSetup horizontalDpi="300" verticalDpi="300" orientation="landscape"/>
  <headerFooter alignWithMargins="0">
    <oddFooter>&amp;L&amp;8&amp;F: &amp;A</oddFooter>
  </headerFooter>
  <drawing r:id="rId1"/>
</worksheet>
</file>

<file path=xl/worksheets/sheet2.xml><?xml version="1.0" encoding="utf-8"?>
<worksheet xmlns="http://schemas.openxmlformats.org/spreadsheetml/2006/main" xmlns:r="http://schemas.openxmlformats.org/officeDocument/2006/relationships">
  <sheetPr>
    <tabColor indexed="51"/>
  </sheetPr>
  <dimension ref="A1:BH48"/>
  <sheetViews>
    <sheetView showGridLines="0" zoomScale="70" zoomScaleNormal="70" zoomScalePageLayoutView="0" workbookViewId="0" topLeftCell="B1">
      <pane ySplit="2" topLeftCell="A3" activePane="bottomLeft" state="frozen"/>
      <selection pane="topLeft" activeCell="B1" sqref="B1"/>
      <selection pane="bottomLeft" activeCell="B11" sqref="B11"/>
    </sheetView>
  </sheetViews>
  <sheetFormatPr defaultColWidth="9.140625" defaultRowHeight="15"/>
  <cols>
    <col min="1" max="1" width="2.7109375" style="0" customWidth="1"/>
    <col min="2" max="2" width="21.421875" style="0" customWidth="1"/>
    <col min="3" max="3" width="11.421875" style="0" customWidth="1"/>
    <col min="4" max="4" width="11.140625" style="0" customWidth="1"/>
    <col min="5" max="5" width="16.421875" style="0" customWidth="1"/>
    <col min="6" max="6" width="15.7109375" style="0" customWidth="1"/>
    <col min="7" max="7" width="37.28125" style="0" customWidth="1"/>
    <col min="8" max="8" width="17.28125" style="0" customWidth="1"/>
    <col min="9" max="9" width="71.00390625" style="0" customWidth="1"/>
    <col min="10" max="10" width="14.140625" style="0" customWidth="1"/>
    <col min="11" max="11" width="16.00390625" style="0" customWidth="1"/>
    <col min="12" max="12" width="13.140625" style="0" customWidth="1"/>
    <col min="13" max="13" width="49.421875" style="0" customWidth="1"/>
    <col min="14" max="14" width="2.57421875" style="5" customWidth="1"/>
    <col min="15" max="15" width="3.00390625" style="5" customWidth="1"/>
    <col min="16" max="16" width="2.57421875" style="0" customWidth="1"/>
    <col min="17" max="17" width="16.140625" style="0" customWidth="1"/>
    <col min="18" max="18" width="13.7109375" style="0" customWidth="1"/>
    <col min="19" max="19" width="11.421875" style="0" customWidth="1"/>
    <col min="20" max="20" width="14.8515625" style="0" customWidth="1"/>
    <col min="21" max="21" width="16.00390625" style="0" customWidth="1"/>
    <col min="22" max="22" width="0" style="0" hidden="1" customWidth="1"/>
    <col min="23" max="23" width="15.57421875" style="0" customWidth="1"/>
    <col min="24" max="24" width="11.421875" style="0" customWidth="1"/>
    <col min="25" max="25" width="2.28125" style="0" customWidth="1"/>
    <col min="26" max="26" width="1.1484375" style="0" customWidth="1"/>
    <col min="27" max="27" width="3.28125" style="0" customWidth="1"/>
    <col min="28" max="28" width="17.00390625" style="0" customWidth="1"/>
    <col min="29" max="29" width="15.00390625" style="0" customWidth="1"/>
    <col min="30" max="30" width="11.421875" style="0" customWidth="1"/>
    <col min="31" max="31" width="13.57421875" style="0" customWidth="1"/>
    <col min="32" max="32" width="16.8515625" style="0" customWidth="1"/>
    <col min="33" max="33" width="11.421875" style="0" customWidth="1"/>
    <col min="34" max="34" width="2.00390625" style="0" customWidth="1"/>
    <col min="35" max="35" width="3.28125" style="0" customWidth="1"/>
    <col min="36" max="36" width="2.28125" style="0" customWidth="1"/>
    <col min="37" max="37" width="40.7109375" style="0" customWidth="1"/>
    <col min="38" max="38" width="15.421875" style="0" customWidth="1"/>
  </cols>
  <sheetData>
    <row r="1" spans="1:13" ht="34.5" customHeight="1">
      <c r="A1" s="6"/>
      <c r="B1" s="6"/>
      <c r="C1" s="6"/>
      <c r="D1" s="6"/>
      <c r="E1" s="6"/>
      <c r="F1" s="6"/>
      <c r="G1" s="6"/>
      <c r="H1" s="6"/>
      <c r="I1" s="6"/>
      <c r="J1" s="6"/>
      <c r="K1" s="6"/>
      <c r="L1" s="6"/>
      <c r="M1" s="6"/>
    </row>
    <row r="2" spans="1:13" ht="36" customHeight="1">
      <c r="A2" s="6"/>
      <c r="B2" s="511" t="str">
        <f>+"Cuadro de mando:  "&amp;"  "&amp;+'Introducción de datos'!C4&amp;" - "&amp;'Introducción de datos'!G6</f>
        <v>Cuadro de mando:    El Salvador - TB</v>
      </c>
      <c r="C2" s="511"/>
      <c r="D2" s="511"/>
      <c r="E2" s="511"/>
      <c r="F2" s="511"/>
      <c r="G2" s="511"/>
      <c r="H2" s="511"/>
      <c r="I2" s="511"/>
      <c r="J2" s="511"/>
      <c r="K2" s="511"/>
      <c r="L2" s="511"/>
      <c r="M2" s="511"/>
    </row>
    <row r="3" spans="1:13" ht="15.75" customHeight="1">
      <c r="A3" s="6"/>
      <c r="B3" s="7"/>
      <c r="C3" s="7"/>
      <c r="D3" s="7"/>
      <c r="E3" s="7"/>
      <c r="F3" s="7"/>
      <c r="G3" s="7"/>
      <c r="H3" s="7"/>
      <c r="I3" s="7"/>
      <c r="J3" s="7"/>
      <c r="K3" s="8"/>
      <c r="L3" s="8"/>
      <c r="M3" s="6"/>
    </row>
    <row r="5" spans="2:15" ht="23.25">
      <c r="B5" s="489" t="s">
        <v>146</v>
      </c>
      <c r="C5" s="489"/>
      <c r="D5" s="489"/>
      <c r="E5" s="489"/>
      <c r="F5" s="489"/>
      <c r="G5" s="489"/>
      <c r="H5" s="489"/>
      <c r="I5" s="489"/>
      <c r="J5" s="489"/>
      <c r="K5" s="489"/>
      <c r="L5" s="489"/>
      <c r="M5" s="489"/>
      <c r="N5" s="489"/>
      <c r="O5" s="489"/>
    </row>
    <row r="7" spans="2:15" ht="21">
      <c r="B7" s="512" t="s">
        <v>147</v>
      </c>
      <c r="C7" s="512"/>
      <c r="D7" s="512"/>
      <c r="E7" s="512" t="s">
        <v>148</v>
      </c>
      <c r="F7" s="512"/>
      <c r="G7" s="512"/>
      <c r="H7" s="512"/>
      <c r="I7" s="512"/>
      <c r="J7" s="512" t="s">
        <v>149</v>
      </c>
      <c r="K7" s="512"/>
      <c r="L7" s="512"/>
      <c r="M7" s="512" t="s">
        <v>150</v>
      </c>
      <c r="N7" s="512"/>
      <c r="O7" s="512"/>
    </row>
    <row r="8" spans="2:15" ht="92.25" customHeight="1">
      <c r="B8" s="492" t="str">
        <f>+'Introducción de datos'!B27</f>
        <v>F1: Presupuesto y desembolsos del Fondo Mundial</v>
      </c>
      <c r="C8" s="492"/>
      <c r="D8" s="492"/>
      <c r="E8" s="509" t="s">
        <v>151</v>
      </c>
      <c r="F8" s="509"/>
      <c r="G8" s="509"/>
      <c r="H8" s="509"/>
      <c r="I8" s="509"/>
      <c r="J8" s="510" t="s">
        <v>152</v>
      </c>
      <c r="K8" s="510"/>
      <c r="L8" s="510"/>
      <c r="M8" s="510" t="s">
        <v>153</v>
      </c>
      <c r="N8" s="510"/>
      <c r="O8" s="510"/>
    </row>
    <row r="9" spans="2:15" ht="117.75" customHeight="1">
      <c r="B9" s="492" t="str">
        <f>+'Introducción de datos'!B36</f>
        <v>F2: Presupuesto y gastos reales por objetivo de la subvención</v>
      </c>
      <c r="C9" s="492"/>
      <c r="D9" s="492"/>
      <c r="E9" s="503" t="s">
        <v>154</v>
      </c>
      <c r="F9" s="503"/>
      <c r="G9" s="503"/>
      <c r="H9" s="503"/>
      <c r="I9" s="503"/>
      <c r="J9" s="498" t="s">
        <v>155</v>
      </c>
      <c r="K9" s="498"/>
      <c r="L9" s="498"/>
      <c r="M9" s="498" t="s">
        <v>153</v>
      </c>
      <c r="N9" s="498"/>
      <c r="O9" s="498"/>
    </row>
    <row r="10" spans="2:15" ht="233.25" customHeight="1">
      <c r="B10" s="496" t="str">
        <f>+'Introducción de datos'!B49</f>
        <v>F3: Desembolsos y gastos</v>
      </c>
      <c r="C10" s="496"/>
      <c r="D10" s="496"/>
      <c r="E10" s="503" t="s">
        <v>156</v>
      </c>
      <c r="F10" s="503"/>
      <c r="G10" s="503"/>
      <c r="H10" s="503"/>
      <c r="I10" s="503"/>
      <c r="J10" s="501" t="s">
        <v>157</v>
      </c>
      <c r="K10" s="501"/>
      <c r="L10" s="501"/>
      <c r="M10" s="498" t="s">
        <v>158</v>
      </c>
      <c r="N10" s="498"/>
      <c r="O10" s="498"/>
    </row>
    <row r="11" spans="2:60" ht="279.75" customHeight="1">
      <c r="B11" s="496" t="str">
        <f>+'Introducción de datos'!B58</f>
        <v>F4: Último ciclo de información y desembolso del RP</v>
      </c>
      <c r="C11" s="496"/>
      <c r="D11" s="496"/>
      <c r="E11" s="503" t="s">
        <v>159</v>
      </c>
      <c r="F11" s="503"/>
      <c r="G11" s="503"/>
      <c r="H11" s="503"/>
      <c r="I11" s="503"/>
      <c r="J11" s="501" t="s">
        <v>160</v>
      </c>
      <c r="K11" s="501"/>
      <c r="L11" s="501"/>
      <c r="M11" s="498" t="s">
        <v>161</v>
      </c>
      <c r="N11" s="498"/>
      <c r="O11" s="498"/>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row>
    <row r="12" spans="2:60" s="10" customFormat="1" ht="15">
      <c r="B12" s="507"/>
      <c r="C12" s="507"/>
      <c r="D12" s="507"/>
      <c r="E12" s="508"/>
      <c r="F12" s="508"/>
      <c r="G12" s="508"/>
      <c r="H12" s="508"/>
      <c r="I12" s="508"/>
      <c r="J12" s="508"/>
      <c r="K12" s="508"/>
      <c r="L12" s="508"/>
      <c r="M12" s="508"/>
      <c r="N12" s="508"/>
      <c r="O12" s="508"/>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row>
    <row r="13" spans="2:60" s="10" customFormat="1" ht="15">
      <c r="B13" s="505"/>
      <c r="C13" s="505"/>
      <c r="D13" s="505"/>
      <c r="E13" s="506"/>
      <c r="F13" s="506"/>
      <c r="G13" s="506"/>
      <c r="H13" s="506"/>
      <c r="I13" s="506"/>
      <c r="J13" s="506"/>
      <c r="K13" s="506"/>
      <c r="L13" s="506"/>
      <c r="M13" s="506"/>
      <c r="N13" s="506"/>
      <c r="O13" s="506"/>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row>
    <row r="14" spans="2:60" s="10" customFormat="1" ht="15">
      <c r="B14" s="505"/>
      <c r="C14" s="505"/>
      <c r="D14" s="505"/>
      <c r="E14" s="506"/>
      <c r="F14" s="506"/>
      <c r="G14" s="506"/>
      <c r="H14" s="506"/>
      <c r="I14" s="506"/>
      <c r="J14" s="506"/>
      <c r="K14" s="506"/>
      <c r="L14" s="506"/>
      <c r="M14" s="506"/>
      <c r="N14" s="506"/>
      <c r="O14" s="506"/>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row>
    <row r="15" spans="2:60" s="10" customFormat="1" ht="15">
      <c r="B15" s="505"/>
      <c r="C15" s="505"/>
      <c r="D15" s="505"/>
      <c r="E15" s="506"/>
      <c r="F15" s="506"/>
      <c r="G15" s="506"/>
      <c r="H15" s="506"/>
      <c r="I15" s="506"/>
      <c r="J15" s="506"/>
      <c r="K15" s="506"/>
      <c r="L15" s="506"/>
      <c r="M15" s="506"/>
      <c r="N15" s="506"/>
      <c r="O15" s="506"/>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row>
    <row r="16" spans="2:60" ht="23.25">
      <c r="B16" s="489" t="s">
        <v>162</v>
      </c>
      <c r="C16" s="489"/>
      <c r="D16" s="489"/>
      <c r="E16" s="489"/>
      <c r="F16" s="489"/>
      <c r="G16" s="489"/>
      <c r="H16" s="489"/>
      <c r="I16" s="489"/>
      <c r="J16" s="489"/>
      <c r="K16" s="489"/>
      <c r="L16" s="489"/>
      <c r="M16" s="489"/>
      <c r="N16" s="489"/>
      <c r="O16" s="48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row>
    <row r="17" spans="19:60" ht="15">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row>
    <row r="18" spans="2:60" ht="21">
      <c r="B18" s="504" t="s">
        <v>147</v>
      </c>
      <c r="C18" s="504"/>
      <c r="D18" s="504"/>
      <c r="E18" s="504" t="s">
        <v>148</v>
      </c>
      <c r="F18" s="504"/>
      <c r="G18" s="504"/>
      <c r="H18" s="504"/>
      <c r="I18" s="504"/>
      <c r="J18" s="504" t="s">
        <v>149</v>
      </c>
      <c r="K18" s="504"/>
      <c r="L18" s="504"/>
      <c r="M18" s="504" t="s">
        <v>163</v>
      </c>
      <c r="N18" s="504"/>
      <c r="O18" s="504"/>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row>
    <row r="19" spans="2:60" ht="149.25" customHeight="1">
      <c r="B19" s="492" t="str">
        <f>+'Introducción de datos'!B69</f>
        <v>M1: Estado de las condiciones precedentes y acciones con fecha límite</v>
      </c>
      <c r="C19" s="492"/>
      <c r="D19" s="492"/>
      <c r="E19" s="503" t="s">
        <v>164</v>
      </c>
      <c r="F19" s="503"/>
      <c r="G19" s="503"/>
      <c r="H19" s="503"/>
      <c r="I19" s="503"/>
      <c r="J19" s="498" t="s">
        <v>165</v>
      </c>
      <c r="K19" s="498"/>
      <c r="L19" s="498"/>
      <c r="M19" s="498" t="s">
        <v>166</v>
      </c>
      <c r="N19" s="498"/>
      <c r="O19" s="498"/>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row>
    <row r="20" spans="2:60" ht="102.75" customHeight="1">
      <c r="B20" s="492" t="str">
        <f>+'Introducción de datos'!B76</f>
        <v>M2: Estado de los principales puestos directivos del RP</v>
      </c>
      <c r="C20" s="492"/>
      <c r="D20" s="492"/>
      <c r="E20" s="503" t="s">
        <v>167</v>
      </c>
      <c r="F20" s="503"/>
      <c r="G20" s="503"/>
      <c r="H20" s="503"/>
      <c r="I20" s="503"/>
      <c r="J20" s="498" t="s">
        <v>168</v>
      </c>
      <c r="K20" s="498"/>
      <c r="L20" s="498"/>
      <c r="M20" s="498" t="s">
        <v>169</v>
      </c>
      <c r="N20" s="498"/>
      <c r="O20" s="498"/>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row>
    <row r="21" spans="2:60" ht="137.25" customHeight="1">
      <c r="B21" s="492" t="str">
        <f>+'Introducción de datos'!B81</f>
        <v>M3: Acuerdos contractuales (subreceptores) </v>
      </c>
      <c r="C21" s="492"/>
      <c r="D21" s="492"/>
      <c r="E21" s="502" t="s">
        <v>170</v>
      </c>
      <c r="F21" s="502"/>
      <c r="G21" s="502"/>
      <c r="H21" s="502"/>
      <c r="I21" s="502"/>
      <c r="J21" s="498" t="s">
        <v>171</v>
      </c>
      <c r="K21" s="498"/>
      <c r="L21" s="498"/>
      <c r="M21" s="498" t="s">
        <v>172</v>
      </c>
      <c r="N21" s="498"/>
      <c r="O21" s="498"/>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row>
    <row r="22" spans="2:60" ht="74.25" customHeight="1">
      <c r="B22" s="492" t="str">
        <f>+'Introducción de datos'!B86</f>
        <v>M4: Número de informes completos recibidos a tiempo</v>
      </c>
      <c r="C22" s="492"/>
      <c r="D22" s="492"/>
      <c r="E22" s="500" t="s">
        <v>173</v>
      </c>
      <c r="F22" s="500"/>
      <c r="G22" s="500"/>
      <c r="H22" s="500"/>
      <c r="I22" s="500"/>
      <c r="J22" s="501" t="s">
        <v>174</v>
      </c>
      <c r="K22" s="501"/>
      <c r="L22" s="501"/>
      <c r="M22" s="498" t="s">
        <v>175</v>
      </c>
      <c r="N22" s="498"/>
      <c r="O22" s="498"/>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row>
    <row r="23" spans="2:60" ht="207.75" customHeight="1">
      <c r="B23" s="496" t="str">
        <f>+'Introducción de datos'!B92</f>
        <v>M5: Presupuesto y compra de productos y equipo sanitario, medicamentos y productos farmacéuticos</v>
      </c>
      <c r="C23" s="496"/>
      <c r="D23" s="496"/>
      <c r="E23" s="497" t="s">
        <v>176</v>
      </c>
      <c r="F23" s="497"/>
      <c r="G23" s="497"/>
      <c r="H23" s="497"/>
      <c r="I23" s="497"/>
      <c r="J23" s="498" t="s">
        <v>177</v>
      </c>
      <c r="K23" s="498"/>
      <c r="L23" s="498"/>
      <c r="M23" s="498" t="s">
        <v>178</v>
      </c>
      <c r="N23" s="498"/>
      <c r="O23" s="498"/>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row>
    <row r="24" spans="2:60" ht="114.75" customHeight="1">
      <c r="B24" s="496"/>
      <c r="C24" s="496"/>
      <c r="D24" s="496"/>
      <c r="E24" s="499" t="s">
        <v>179</v>
      </c>
      <c r="F24" s="499"/>
      <c r="G24" s="499"/>
      <c r="H24" s="499"/>
      <c r="I24" s="499"/>
      <c r="J24" s="498"/>
      <c r="K24" s="498"/>
      <c r="L24" s="498"/>
      <c r="M24" s="498"/>
      <c r="N24" s="498"/>
      <c r="O24" s="498"/>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row>
    <row r="25" spans="2:60" ht="206.25" customHeight="1">
      <c r="B25" s="492" t="str">
        <f>+'Introducción de datos'!B105</f>
        <v>M6: Diferencia entre existencias actuales y existencias de seguridad</v>
      </c>
      <c r="C25" s="492"/>
      <c r="D25" s="492"/>
      <c r="E25" s="493" t="s">
        <v>180</v>
      </c>
      <c r="F25" s="493"/>
      <c r="G25" s="493"/>
      <c r="H25" s="493"/>
      <c r="I25" s="493"/>
      <c r="J25" s="494" t="s">
        <v>181</v>
      </c>
      <c r="K25" s="494"/>
      <c r="L25" s="494"/>
      <c r="M25" s="495" t="s">
        <v>182</v>
      </c>
      <c r="N25" s="495"/>
      <c r="O25" s="495"/>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row>
    <row r="26" spans="19:60" ht="15">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row>
    <row r="27" spans="19:60" ht="15">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row>
    <row r="28" spans="19:60" ht="15">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row>
    <row r="29" spans="2:60" ht="18.75">
      <c r="B29" s="13"/>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row>
    <row r="30" spans="2:60" ht="23.25">
      <c r="B30" s="489" t="s">
        <v>183</v>
      </c>
      <c r="C30" s="489"/>
      <c r="D30" s="489"/>
      <c r="E30" s="489"/>
      <c r="F30" s="489"/>
      <c r="G30" s="489"/>
      <c r="H30" s="489"/>
      <c r="I30" s="489"/>
      <c r="J30" s="489"/>
      <c r="K30" s="489"/>
      <c r="L30" s="489"/>
      <c r="M30" s="489"/>
      <c r="N30" s="489"/>
      <c r="O30" s="48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row>
    <row r="31" spans="19:60" ht="15">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row>
    <row r="32" spans="1:60" ht="28.5" customHeight="1">
      <c r="A32" s="14"/>
      <c r="B32" s="490" t="s">
        <v>184</v>
      </c>
      <c r="C32" s="490"/>
      <c r="D32" s="490"/>
      <c r="E32" s="491" t="s">
        <v>185</v>
      </c>
      <c r="F32" s="491"/>
      <c r="G32" s="491"/>
      <c r="H32" s="491"/>
      <c r="I32" s="491"/>
      <c r="J32" s="491" t="s">
        <v>149</v>
      </c>
      <c r="K32" s="491"/>
      <c r="L32" s="491"/>
      <c r="M32" s="491" t="s">
        <v>163</v>
      </c>
      <c r="N32" s="491"/>
      <c r="O32" s="491"/>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row>
    <row r="33" spans="1:60" ht="47.25" customHeight="1">
      <c r="A33" s="14"/>
      <c r="B33" s="488"/>
      <c r="C33" s="488"/>
      <c r="D33" s="488"/>
      <c r="E33" s="482"/>
      <c r="F33" s="482"/>
      <c r="G33" s="482"/>
      <c r="H33" s="482"/>
      <c r="I33" s="482"/>
      <c r="J33" s="483"/>
      <c r="K33" s="483"/>
      <c r="L33" s="483"/>
      <c r="M33" s="483"/>
      <c r="N33" s="483"/>
      <c r="O33" s="483"/>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row>
    <row r="34" spans="1:60" ht="59.25" customHeight="1">
      <c r="A34" s="14"/>
      <c r="B34" s="488"/>
      <c r="C34" s="488"/>
      <c r="D34" s="488"/>
      <c r="E34" s="482"/>
      <c r="F34" s="482"/>
      <c r="G34" s="482"/>
      <c r="H34" s="482"/>
      <c r="I34" s="482"/>
      <c r="J34" s="483"/>
      <c r="K34" s="483"/>
      <c r="L34" s="483"/>
      <c r="M34" s="483"/>
      <c r="N34" s="483"/>
      <c r="O34" s="483"/>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row>
    <row r="35" spans="1:60" ht="57.75" customHeight="1">
      <c r="A35" s="14"/>
      <c r="B35" s="488"/>
      <c r="C35" s="488"/>
      <c r="D35" s="488"/>
      <c r="E35" s="483"/>
      <c r="F35" s="483"/>
      <c r="G35" s="483"/>
      <c r="H35" s="483"/>
      <c r="I35" s="483"/>
      <c r="J35" s="483"/>
      <c r="K35" s="483"/>
      <c r="L35" s="483"/>
      <c r="M35" s="483"/>
      <c r="N35" s="483"/>
      <c r="O35" s="483"/>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row>
    <row r="36" spans="1:60" ht="9.75" customHeight="1">
      <c r="A36" s="14"/>
      <c r="B36" s="487"/>
      <c r="C36" s="487"/>
      <c r="D36" s="487"/>
      <c r="E36" s="15"/>
      <c r="F36" s="16"/>
      <c r="G36" s="16"/>
      <c r="H36" s="16"/>
      <c r="I36" s="17"/>
      <c r="J36" s="18"/>
      <c r="K36" s="19"/>
      <c r="L36" s="20"/>
      <c r="M36" s="18"/>
      <c r="N36" s="19"/>
      <c r="O36" s="20"/>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row>
    <row r="37" spans="1:60" ht="46.5" customHeight="1">
      <c r="A37" s="14"/>
      <c r="B37" s="488"/>
      <c r="C37" s="488"/>
      <c r="D37" s="488"/>
      <c r="E37" s="483"/>
      <c r="F37" s="483"/>
      <c r="G37" s="483"/>
      <c r="H37" s="483"/>
      <c r="I37" s="483"/>
      <c r="J37" s="21"/>
      <c r="K37" s="22"/>
      <c r="L37" s="23"/>
      <c r="M37" s="21"/>
      <c r="N37" s="22"/>
      <c r="O37" s="23"/>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row>
    <row r="38" spans="1:60" ht="69" customHeight="1">
      <c r="A38" s="14"/>
      <c r="B38" s="488"/>
      <c r="C38" s="488"/>
      <c r="D38" s="488"/>
      <c r="E38" s="482"/>
      <c r="F38" s="482"/>
      <c r="G38" s="482"/>
      <c r="H38" s="482"/>
      <c r="I38" s="482"/>
      <c r="J38" s="483"/>
      <c r="K38" s="483"/>
      <c r="L38" s="483"/>
      <c r="M38" s="483"/>
      <c r="N38" s="483"/>
      <c r="O38" s="483"/>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row>
    <row r="39" spans="1:60" ht="64.5" customHeight="1">
      <c r="A39" s="14"/>
      <c r="B39" s="485"/>
      <c r="C39" s="485"/>
      <c r="D39" s="485"/>
      <c r="E39" s="483"/>
      <c r="F39" s="483"/>
      <c r="G39" s="483"/>
      <c r="H39" s="483"/>
      <c r="I39" s="483"/>
      <c r="J39" s="21"/>
      <c r="K39" s="22"/>
      <c r="L39" s="23"/>
      <c r="M39" s="21"/>
      <c r="N39" s="22"/>
      <c r="O39" s="23"/>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row>
    <row r="40" spans="1:60" ht="45" customHeight="1">
      <c r="A40" s="14"/>
      <c r="B40" s="481"/>
      <c r="C40" s="481"/>
      <c r="D40" s="481"/>
      <c r="E40" s="486"/>
      <c r="F40" s="486"/>
      <c r="G40" s="486"/>
      <c r="H40" s="486"/>
      <c r="I40" s="486"/>
      <c r="J40" s="483"/>
      <c r="K40" s="483"/>
      <c r="L40" s="483"/>
      <c r="M40" s="483"/>
      <c r="N40" s="483"/>
      <c r="O40" s="483"/>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row>
    <row r="41" spans="1:60" ht="62.25" customHeight="1">
      <c r="A41" s="14"/>
      <c r="B41" s="485"/>
      <c r="C41" s="485"/>
      <c r="D41" s="485"/>
      <c r="E41" s="482"/>
      <c r="F41" s="482"/>
      <c r="G41" s="482"/>
      <c r="H41" s="482"/>
      <c r="I41" s="482"/>
      <c r="J41" s="483"/>
      <c r="K41" s="483"/>
      <c r="L41" s="483"/>
      <c r="M41" s="483"/>
      <c r="N41" s="483"/>
      <c r="O41" s="483"/>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row>
    <row r="42" spans="1:60" ht="84" customHeight="1">
      <c r="A42" s="14"/>
      <c r="B42" s="485"/>
      <c r="C42" s="485"/>
      <c r="D42" s="485"/>
      <c r="E42" s="483"/>
      <c r="F42" s="483"/>
      <c r="G42" s="483"/>
      <c r="H42" s="483"/>
      <c r="I42" s="483"/>
      <c r="J42" s="21"/>
      <c r="K42" s="22"/>
      <c r="L42" s="23"/>
      <c r="M42" s="21"/>
      <c r="N42" s="22"/>
      <c r="O42" s="23"/>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row>
    <row r="43" spans="1:60" ht="45" customHeight="1">
      <c r="A43" s="14"/>
      <c r="B43" s="485"/>
      <c r="C43" s="485"/>
      <c r="D43" s="485"/>
      <c r="E43" s="482"/>
      <c r="F43" s="482"/>
      <c r="G43" s="482"/>
      <c r="H43" s="482"/>
      <c r="I43" s="482"/>
      <c r="J43" s="483"/>
      <c r="K43" s="483"/>
      <c r="L43" s="483"/>
      <c r="M43" s="21"/>
      <c r="N43" s="22"/>
      <c r="O43" s="23"/>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row>
    <row r="44" spans="1:60" ht="64.5" customHeight="1">
      <c r="A44" s="14"/>
      <c r="B44" s="481"/>
      <c r="C44" s="481"/>
      <c r="D44" s="481"/>
      <c r="E44" s="482"/>
      <c r="F44" s="482"/>
      <c r="G44" s="482"/>
      <c r="H44" s="482"/>
      <c r="I44" s="482"/>
      <c r="J44" s="483"/>
      <c r="K44" s="483"/>
      <c r="L44" s="483"/>
      <c r="M44" s="21"/>
      <c r="N44" s="22"/>
      <c r="O44" s="23"/>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row>
    <row r="45" spans="2:60" ht="49.5" customHeight="1">
      <c r="B45" s="481"/>
      <c r="C45" s="481"/>
      <c r="D45" s="481"/>
      <c r="E45" s="482"/>
      <c r="F45" s="482"/>
      <c r="G45" s="482"/>
      <c r="H45" s="482"/>
      <c r="I45" s="482"/>
      <c r="J45" s="483"/>
      <c r="K45" s="483"/>
      <c r="L45" s="483"/>
      <c r="M45" s="21"/>
      <c r="N45" s="22"/>
      <c r="O45" s="23"/>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row>
    <row r="46" spans="2:60" ht="30" customHeight="1">
      <c r="B46" s="484"/>
      <c r="C46" s="484"/>
      <c r="D46" s="484"/>
      <c r="E46" s="24"/>
      <c r="F46" s="25"/>
      <c r="G46" s="25"/>
      <c r="H46" s="25"/>
      <c r="I46" s="26"/>
      <c r="J46" s="21"/>
      <c r="K46" s="22"/>
      <c r="L46" s="23"/>
      <c r="M46" s="21"/>
      <c r="N46" s="22"/>
      <c r="O46" s="23"/>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row>
    <row r="47" spans="2:60" ht="33.75" customHeight="1">
      <c r="B47" s="27"/>
      <c r="C47" s="28"/>
      <c r="D47" s="28"/>
      <c r="E47" s="29"/>
      <c r="F47" s="30"/>
      <c r="G47" s="30"/>
      <c r="H47" s="30"/>
      <c r="I47" s="30"/>
      <c r="J47" s="29"/>
      <c r="K47" s="29"/>
      <c r="L47" s="31"/>
      <c r="M47" s="32"/>
      <c r="N47" s="29"/>
      <c r="O47" s="31"/>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row>
    <row r="48" spans="2:60" ht="15.75" customHeight="1">
      <c r="B48" s="479" t="s">
        <v>186</v>
      </c>
      <c r="C48" s="479"/>
      <c r="D48" s="479"/>
      <c r="E48" s="479"/>
      <c r="F48" s="479"/>
      <c r="G48" s="479"/>
      <c r="H48" s="479"/>
      <c r="I48" s="479"/>
      <c r="J48" s="479"/>
      <c r="K48" s="479"/>
      <c r="L48" s="479"/>
      <c r="M48" s="480" t="s">
        <v>187</v>
      </c>
      <c r="N48" s="480"/>
      <c r="O48" s="480"/>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row>
  </sheetData>
  <sheetProtection password="CFC9" sheet="1"/>
  <mergeCells count="116">
    <mergeCell ref="B8:D8"/>
    <mergeCell ref="E8:I8"/>
    <mergeCell ref="J8:L8"/>
    <mergeCell ref="M8:O8"/>
    <mergeCell ref="B2:M2"/>
    <mergeCell ref="B5:O5"/>
    <mergeCell ref="B7:D7"/>
    <mergeCell ref="E7:I7"/>
    <mergeCell ref="J7:L7"/>
    <mergeCell ref="M7:O7"/>
    <mergeCell ref="B10:D10"/>
    <mergeCell ref="E10:I10"/>
    <mergeCell ref="J10:L10"/>
    <mergeCell ref="M10:O10"/>
    <mergeCell ref="B9:D9"/>
    <mergeCell ref="E9:I9"/>
    <mergeCell ref="J9:L9"/>
    <mergeCell ref="M9:O9"/>
    <mergeCell ref="B12:D12"/>
    <mergeCell ref="E12:I12"/>
    <mergeCell ref="J12:L12"/>
    <mergeCell ref="M12:O12"/>
    <mergeCell ref="B11:D11"/>
    <mergeCell ref="E11:I11"/>
    <mergeCell ref="J11:L11"/>
    <mergeCell ref="M11:O11"/>
    <mergeCell ref="B14:D14"/>
    <mergeCell ref="E14:I14"/>
    <mergeCell ref="J14:L14"/>
    <mergeCell ref="M14:O14"/>
    <mergeCell ref="B13:D13"/>
    <mergeCell ref="E13:I13"/>
    <mergeCell ref="J13:L13"/>
    <mergeCell ref="M13:O13"/>
    <mergeCell ref="B16:O16"/>
    <mergeCell ref="B18:D18"/>
    <mergeCell ref="E18:I18"/>
    <mergeCell ref="J18:L18"/>
    <mergeCell ref="M18:O18"/>
    <mergeCell ref="B15:D15"/>
    <mergeCell ref="E15:I15"/>
    <mergeCell ref="J15:L15"/>
    <mergeCell ref="M15:O15"/>
    <mergeCell ref="B20:D20"/>
    <mergeCell ref="E20:I20"/>
    <mergeCell ref="J20:L20"/>
    <mergeCell ref="M20:O20"/>
    <mergeCell ref="B19:D19"/>
    <mergeCell ref="E19:I19"/>
    <mergeCell ref="J19:L19"/>
    <mergeCell ref="M19:O19"/>
    <mergeCell ref="B22:D22"/>
    <mergeCell ref="E22:I22"/>
    <mergeCell ref="J22:L22"/>
    <mergeCell ref="M22:O22"/>
    <mergeCell ref="B21:D21"/>
    <mergeCell ref="E21:I21"/>
    <mergeCell ref="J21:L21"/>
    <mergeCell ref="M21:O21"/>
    <mergeCell ref="B25:D25"/>
    <mergeCell ref="E25:I25"/>
    <mergeCell ref="J25:L25"/>
    <mergeCell ref="M25:O25"/>
    <mergeCell ref="B23:D24"/>
    <mergeCell ref="E23:I23"/>
    <mergeCell ref="J23:L24"/>
    <mergeCell ref="M23:O24"/>
    <mergeCell ref="E24:I24"/>
    <mergeCell ref="B33:D33"/>
    <mergeCell ref="E33:I33"/>
    <mergeCell ref="J33:L33"/>
    <mergeCell ref="M33:O33"/>
    <mergeCell ref="B30:O30"/>
    <mergeCell ref="B32:D32"/>
    <mergeCell ref="E32:I32"/>
    <mergeCell ref="J32:L32"/>
    <mergeCell ref="M32:O32"/>
    <mergeCell ref="B35:D35"/>
    <mergeCell ref="E35:I35"/>
    <mergeCell ref="J35:L35"/>
    <mergeCell ref="M35:O35"/>
    <mergeCell ref="B34:D34"/>
    <mergeCell ref="E34:I34"/>
    <mergeCell ref="J34:L34"/>
    <mergeCell ref="M34:O34"/>
    <mergeCell ref="J38:L38"/>
    <mergeCell ref="M38:O38"/>
    <mergeCell ref="B39:D39"/>
    <mergeCell ref="E39:I39"/>
    <mergeCell ref="B36:D36"/>
    <mergeCell ref="B37:D37"/>
    <mergeCell ref="E37:I37"/>
    <mergeCell ref="B38:D38"/>
    <mergeCell ref="E38:I38"/>
    <mergeCell ref="B41:D41"/>
    <mergeCell ref="E41:I41"/>
    <mergeCell ref="J41:L41"/>
    <mergeCell ref="M41:O41"/>
    <mergeCell ref="B40:D40"/>
    <mergeCell ref="E40:I40"/>
    <mergeCell ref="J40:L40"/>
    <mergeCell ref="M40:O40"/>
    <mergeCell ref="J43:L43"/>
    <mergeCell ref="B44:D44"/>
    <mergeCell ref="E44:I44"/>
    <mergeCell ref="J44:L44"/>
    <mergeCell ref="B42:D42"/>
    <mergeCell ref="E42:I42"/>
    <mergeCell ref="B43:D43"/>
    <mergeCell ref="E43:I43"/>
    <mergeCell ref="B48:L48"/>
    <mergeCell ref="M48:O48"/>
    <mergeCell ref="B45:D45"/>
    <mergeCell ref="E45:I45"/>
    <mergeCell ref="J45:L45"/>
    <mergeCell ref="B46:D46"/>
  </mergeCells>
  <printOptions/>
  <pageMargins left="0.7083333333333334" right="0.7083333333333334" top="0.7479166666666667" bottom="0.7486111111111111" header="0.5118055555555555" footer="0.31527777777777777"/>
  <pageSetup horizontalDpi="300" verticalDpi="300" orientation="landscape" paperSize="9"/>
  <headerFooter alignWithMargins="0">
    <oddFooter>&amp;L&amp;F&amp;C&amp;A&amp;R&amp;D</oddFooter>
  </headerFooter>
  <drawing r:id="rId1"/>
</worksheet>
</file>

<file path=xl/worksheets/sheet3.xml><?xml version="1.0" encoding="utf-8"?>
<worksheet xmlns="http://schemas.openxmlformats.org/spreadsheetml/2006/main" xmlns:r="http://schemas.openxmlformats.org/officeDocument/2006/relationships">
  <sheetPr>
    <tabColor indexed="51"/>
    <pageSetUpPr fitToPage="1"/>
  </sheetPr>
  <dimension ref="A1:AD178"/>
  <sheetViews>
    <sheetView showGridLines="0" tabSelected="1" zoomScale="80" zoomScaleNormal="80" zoomScalePageLayoutView="0" workbookViewId="0" topLeftCell="A16">
      <selection activeCell="B43" sqref="B43:B44"/>
    </sheetView>
  </sheetViews>
  <sheetFormatPr defaultColWidth="9.140625" defaultRowHeight="15"/>
  <cols>
    <col min="1" max="1" width="2.7109375" style="0" customWidth="1"/>
    <col min="2" max="2" width="98.421875" style="0" customWidth="1"/>
    <col min="3" max="3" width="23.00390625" style="0" customWidth="1"/>
    <col min="4" max="4" width="19.140625" style="0" customWidth="1"/>
    <col min="5" max="5" width="16.421875" style="0" customWidth="1"/>
    <col min="6" max="6" width="17.421875" style="0" customWidth="1"/>
    <col min="7" max="7" width="16.421875" style="0" customWidth="1"/>
    <col min="8" max="8" width="17.57421875" style="0" customWidth="1"/>
    <col min="9" max="9" width="16.28125" style="0" customWidth="1"/>
    <col min="10" max="10" width="16.8515625" style="0" customWidth="1"/>
    <col min="11" max="11" width="18.57421875" style="0" customWidth="1"/>
    <col min="12" max="12" width="15.28125" style="0" customWidth="1"/>
    <col min="13" max="13" width="20.57421875" style="0" customWidth="1"/>
    <col min="14" max="14" width="14.28125" style="5" customWidth="1"/>
    <col min="15" max="15" width="16.140625" style="0" customWidth="1"/>
    <col min="16" max="16" width="13.7109375" style="0" customWidth="1"/>
    <col min="17" max="17" width="13.421875" style="0" customWidth="1"/>
    <col min="18" max="18" width="11.421875" style="0" customWidth="1"/>
    <col min="19" max="19" width="2.28125" style="0" customWidth="1"/>
    <col min="20" max="20" width="1.1484375" style="0" customWidth="1"/>
    <col min="21" max="21" width="3.28125" style="0" customWidth="1"/>
    <col min="22" max="22" width="17.00390625" style="0" customWidth="1"/>
    <col min="23" max="23" width="15.00390625" style="0" customWidth="1"/>
    <col min="24" max="24" width="11.421875" style="0" customWidth="1"/>
    <col min="25" max="25" width="13.57421875" style="0" customWidth="1"/>
    <col min="26" max="26" width="16.8515625" style="0" customWidth="1"/>
    <col min="27" max="27" width="11.421875" style="0" customWidth="1"/>
    <col min="28" max="28" width="2.00390625" style="5" customWidth="1"/>
    <col min="29" max="29" width="3.28125" style="5" customWidth="1"/>
    <col min="30" max="30" width="2.28125" style="5" customWidth="1"/>
    <col min="31" max="31" width="40.7109375" style="0" customWidth="1"/>
    <col min="32" max="32" width="15.421875" style="0" customWidth="1"/>
  </cols>
  <sheetData>
    <row r="1" spans="1:13" ht="29.25" customHeight="1">
      <c r="A1" s="6"/>
      <c r="B1" s="6"/>
      <c r="C1" s="6"/>
      <c r="D1" s="6"/>
      <c r="E1" s="6"/>
      <c r="F1" s="6"/>
      <c r="G1" s="6"/>
      <c r="H1" s="6"/>
      <c r="I1" s="6"/>
      <c r="J1" s="6"/>
      <c r="K1" s="6"/>
      <c r="L1" s="6"/>
      <c r="M1" s="6"/>
    </row>
    <row r="2" spans="1:13" ht="15.75" customHeight="1">
      <c r="A2" s="6"/>
      <c r="B2" s="541" t="s">
        <v>188</v>
      </c>
      <c r="C2" s="541"/>
      <c r="D2" s="541"/>
      <c r="E2" s="541"/>
      <c r="F2" s="541"/>
      <c r="G2" s="541"/>
      <c r="H2" s="541"/>
      <c r="I2" s="541"/>
      <c r="J2" s="541"/>
      <c r="K2" s="33"/>
      <c r="L2" s="33"/>
      <c r="M2" s="33"/>
    </row>
    <row r="3" spans="1:13" ht="4.5" customHeight="1">
      <c r="A3" s="6"/>
      <c r="B3" s="6"/>
      <c r="C3" s="6"/>
      <c r="D3" s="6"/>
      <c r="E3" s="6"/>
      <c r="F3" s="6"/>
      <c r="G3" s="6"/>
      <c r="H3" s="6"/>
      <c r="I3" s="6"/>
      <c r="J3" s="6"/>
      <c r="K3" s="6"/>
      <c r="L3" s="6"/>
      <c r="M3" s="6"/>
    </row>
    <row r="4" spans="1:13" ht="14.25" customHeight="1">
      <c r="A4" s="6"/>
      <c r="B4" s="34" t="s">
        <v>189</v>
      </c>
      <c r="C4" s="549" t="s">
        <v>190</v>
      </c>
      <c r="D4" s="549"/>
      <c r="E4" s="542" t="s">
        <v>191</v>
      </c>
      <c r="F4" s="542"/>
      <c r="G4" s="555" t="s">
        <v>192</v>
      </c>
      <c r="H4" s="555"/>
      <c r="I4" s="555"/>
      <c r="J4" s="555"/>
      <c r="K4" s="6"/>
      <c r="L4" s="6"/>
      <c r="M4" s="6"/>
    </row>
    <row r="5" spans="1:13" ht="3" customHeight="1">
      <c r="A5" s="6"/>
      <c r="B5" s="37"/>
      <c r="C5" s="6"/>
      <c r="D5" s="6"/>
      <c r="E5" s="38"/>
      <c r="F5" s="38"/>
      <c r="G5" s="6"/>
      <c r="H5" s="6"/>
      <c r="I5" s="6"/>
      <c r="J5" s="6"/>
      <c r="K5" s="6"/>
      <c r="L5" s="6"/>
      <c r="M5" s="6"/>
    </row>
    <row r="6" spans="1:13" ht="15">
      <c r="A6" s="6"/>
      <c r="B6" s="34" t="s">
        <v>193</v>
      </c>
      <c r="C6" s="553" t="s">
        <v>194</v>
      </c>
      <c r="D6" s="553"/>
      <c r="E6" s="542" t="s">
        <v>195</v>
      </c>
      <c r="F6" s="542"/>
      <c r="G6" s="35" t="s">
        <v>196</v>
      </c>
      <c r="H6" s="39" t="s">
        <v>197</v>
      </c>
      <c r="I6" s="554">
        <v>4607119</v>
      </c>
      <c r="J6" s="554"/>
      <c r="K6" s="6"/>
      <c r="L6" s="6"/>
      <c r="M6" s="6"/>
    </row>
    <row r="7" spans="1:13" ht="3" customHeight="1">
      <c r="A7" s="6"/>
      <c r="B7" s="37"/>
      <c r="C7" s="6"/>
      <c r="D7" s="6"/>
      <c r="E7" s="38"/>
      <c r="F7" s="38"/>
      <c r="G7" s="6"/>
      <c r="H7" s="37"/>
      <c r="I7" s="6"/>
      <c r="J7" s="6"/>
      <c r="K7" s="6"/>
      <c r="L7" s="6"/>
      <c r="M7" s="6"/>
    </row>
    <row r="8" spans="1:13" ht="15">
      <c r="A8" s="6"/>
      <c r="B8" s="34" t="s">
        <v>198</v>
      </c>
      <c r="C8" s="553" t="s">
        <v>199</v>
      </c>
      <c r="D8" s="553"/>
      <c r="E8" s="40"/>
      <c r="F8" s="36" t="s">
        <v>200</v>
      </c>
      <c r="G8" s="35" t="s">
        <v>201</v>
      </c>
      <c r="H8" s="36" t="s">
        <v>202</v>
      </c>
      <c r="I8" s="549" t="s">
        <v>203</v>
      </c>
      <c r="J8" s="549"/>
      <c r="K8" s="6"/>
      <c r="L8" s="6"/>
      <c r="M8" s="6"/>
    </row>
    <row r="9" spans="1:13" ht="3" customHeight="1">
      <c r="A9" s="6"/>
      <c r="B9" s="38"/>
      <c r="C9" s="41">
        <v>39825</v>
      </c>
      <c r="D9" s="6"/>
      <c r="E9" s="38"/>
      <c r="F9" s="38"/>
      <c r="G9" s="6"/>
      <c r="H9" s="6"/>
      <c r="I9" s="6"/>
      <c r="J9" s="6"/>
      <c r="K9" s="6"/>
      <c r="L9" s="6"/>
      <c r="M9" s="6"/>
    </row>
    <row r="10" spans="1:13" ht="15">
      <c r="A10" s="6"/>
      <c r="B10" s="34" t="s">
        <v>204</v>
      </c>
      <c r="C10" s="547">
        <v>40360</v>
      </c>
      <c r="D10" s="547"/>
      <c r="E10" s="548" t="s">
        <v>205</v>
      </c>
      <c r="F10" s="548"/>
      <c r="G10" s="549" t="s">
        <v>206</v>
      </c>
      <c r="H10" s="549"/>
      <c r="I10" s="549"/>
      <c r="J10" s="549"/>
      <c r="K10" s="6"/>
      <c r="L10" s="6"/>
      <c r="M10" s="6"/>
    </row>
    <row r="11" spans="1:13" ht="5.25" customHeight="1">
      <c r="A11" s="6"/>
      <c r="B11" s="6"/>
      <c r="C11" s="6"/>
      <c r="D11" s="6"/>
      <c r="E11" s="6"/>
      <c r="F11" s="6"/>
      <c r="G11" s="6"/>
      <c r="H11" s="6"/>
      <c r="I11" s="6"/>
      <c r="J11" s="6"/>
      <c r="K11" s="6"/>
      <c r="L11" s="6"/>
      <c r="M11" s="6"/>
    </row>
    <row r="12" spans="1:13" ht="15" customHeight="1">
      <c r="A12" s="6"/>
      <c r="B12" s="34" t="s">
        <v>207</v>
      </c>
      <c r="C12" s="550" t="s">
        <v>208</v>
      </c>
      <c r="D12" s="550"/>
      <c r="E12" s="551" t="s">
        <v>209</v>
      </c>
      <c r="F12" s="551"/>
      <c r="G12" s="552" t="s">
        <v>210</v>
      </c>
      <c r="H12" s="552"/>
      <c r="I12" s="552"/>
      <c r="J12" s="552"/>
      <c r="K12" s="6"/>
      <c r="L12" s="6"/>
      <c r="M12" s="6"/>
    </row>
    <row r="13" spans="1:13" ht="5.25" customHeight="1">
      <c r="A13" s="6"/>
      <c r="B13" s="6"/>
      <c r="C13" s="6"/>
      <c r="D13" s="6"/>
      <c r="E13" s="6"/>
      <c r="F13" s="6"/>
      <c r="G13" s="6"/>
      <c r="H13" s="6"/>
      <c r="I13" s="6"/>
      <c r="J13" s="6"/>
      <c r="K13" s="6"/>
      <c r="L13" s="6"/>
      <c r="M13" s="6"/>
    </row>
    <row r="14" spans="1:13" ht="15.75" customHeight="1">
      <c r="A14" s="6"/>
      <c r="B14" s="541" t="s">
        <v>211</v>
      </c>
      <c r="C14" s="541"/>
      <c r="D14" s="541"/>
      <c r="E14" s="541"/>
      <c r="F14" s="541"/>
      <c r="G14" s="541"/>
      <c r="H14" s="541"/>
      <c r="I14" s="541"/>
      <c r="J14" s="541"/>
      <c r="K14" s="6"/>
      <c r="L14" s="6"/>
      <c r="M14" s="6"/>
    </row>
    <row r="15" spans="1:13" ht="3" customHeight="1">
      <c r="A15" s="6"/>
      <c r="B15" s="6"/>
      <c r="C15" s="6"/>
      <c r="D15" s="6"/>
      <c r="E15" s="6"/>
      <c r="F15" s="6"/>
      <c r="G15" s="6"/>
      <c r="H15" s="6"/>
      <c r="I15" s="6"/>
      <c r="J15" s="6"/>
      <c r="K15" s="6"/>
      <c r="L15" s="6"/>
      <c r="M15" s="6"/>
    </row>
    <row r="16" spans="1:13" ht="15">
      <c r="A16" s="6"/>
      <c r="B16" s="34" t="s">
        <v>212</v>
      </c>
      <c r="C16" s="35" t="s">
        <v>213</v>
      </c>
      <c r="D16" s="36" t="s">
        <v>214</v>
      </c>
      <c r="E16" s="42">
        <v>41821</v>
      </c>
      <c r="F16" s="43" t="s">
        <v>215</v>
      </c>
      <c r="G16" s="42">
        <v>42004</v>
      </c>
      <c r="H16" s="544" t="s">
        <v>216</v>
      </c>
      <c r="I16" s="544"/>
      <c r="J16" s="42">
        <v>42101</v>
      </c>
      <c r="K16" s="6"/>
      <c r="L16" s="6"/>
      <c r="M16" s="6"/>
    </row>
    <row r="17" spans="1:13" ht="3" customHeight="1">
      <c r="A17" s="6"/>
      <c r="B17" s="6"/>
      <c r="C17" s="6"/>
      <c r="D17" s="6"/>
      <c r="E17" s="6"/>
      <c r="F17" s="6"/>
      <c r="G17" s="6"/>
      <c r="H17" s="6"/>
      <c r="I17" s="6"/>
      <c r="J17" s="6"/>
      <c r="K17" s="6"/>
      <c r="L17" s="6"/>
      <c r="M17" s="6"/>
    </row>
    <row r="18" spans="1:13" ht="15">
      <c r="A18" s="6"/>
      <c r="B18" s="545" t="s">
        <v>217</v>
      </c>
      <c r="C18" s="545"/>
      <c r="D18" s="546" t="s">
        <v>218</v>
      </c>
      <c r="E18" s="546"/>
      <c r="F18" s="546"/>
      <c r="G18" s="44"/>
      <c r="H18" s="44"/>
      <c r="I18" s="44"/>
      <c r="J18" s="44"/>
      <c r="K18" s="6"/>
      <c r="L18" s="6"/>
      <c r="M18" s="6"/>
    </row>
    <row r="19" spans="1:13" ht="3" customHeight="1">
      <c r="A19" s="6"/>
      <c r="B19" s="6"/>
      <c r="C19" s="6"/>
      <c r="D19" s="6"/>
      <c r="E19" s="6"/>
      <c r="F19" s="6"/>
      <c r="G19" s="6"/>
      <c r="H19" s="6"/>
      <c r="I19" s="6"/>
      <c r="J19" s="6"/>
      <c r="K19" s="6"/>
      <c r="L19" s="6"/>
      <c r="M19" s="6"/>
    </row>
    <row r="20" spans="1:13" ht="5.25" customHeight="1">
      <c r="A20" s="6"/>
      <c r="B20" s="6"/>
      <c r="C20" s="6"/>
      <c r="D20" s="6"/>
      <c r="E20" s="6"/>
      <c r="F20" s="6"/>
      <c r="G20" s="6"/>
      <c r="H20" s="6"/>
      <c r="I20" s="6"/>
      <c r="J20" s="6"/>
      <c r="K20" s="6"/>
      <c r="L20" s="6"/>
      <c r="M20" s="6"/>
    </row>
    <row r="21" spans="1:13" ht="15.75" customHeight="1">
      <c r="A21" s="6"/>
      <c r="B21" s="541" t="s">
        <v>219</v>
      </c>
      <c r="C21" s="541"/>
      <c r="D21" s="541"/>
      <c r="E21" s="541"/>
      <c r="F21" s="541"/>
      <c r="G21" s="541"/>
      <c r="H21" s="541"/>
      <c r="I21" s="541"/>
      <c r="J21" s="541"/>
      <c r="K21" s="6"/>
      <c r="L21" s="6"/>
      <c r="M21" s="6"/>
    </row>
    <row r="22" spans="1:13" ht="15">
      <c r="A22" s="6"/>
      <c r="B22" s="45" t="s">
        <v>220</v>
      </c>
      <c r="C22" s="6"/>
      <c r="D22" s="6"/>
      <c r="E22" s="46"/>
      <c r="F22" s="46"/>
      <c r="G22" s="6"/>
      <c r="H22" s="6"/>
      <c r="I22" s="46"/>
      <c r="J22" s="46"/>
      <c r="K22" s="6"/>
      <c r="L22" s="6"/>
      <c r="M22" s="6"/>
    </row>
    <row r="23" spans="1:13" ht="3" customHeight="1">
      <c r="A23" s="6"/>
      <c r="B23" s="6"/>
      <c r="C23" s="6"/>
      <c r="D23" s="6"/>
      <c r="E23" s="6"/>
      <c r="F23" s="6"/>
      <c r="G23" s="6"/>
      <c r="H23" s="6"/>
      <c r="I23" s="6"/>
      <c r="J23" s="6"/>
      <c r="K23" s="6"/>
      <c r="L23" s="6"/>
      <c r="M23" s="6"/>
    </row>
    <row r="24" spans="1:14" ht="15">
      <c r="A24" s="6"/>
      <c r="B24" s="34" t="s">
        <v>221</v>
      </c>
      <c r="C24" s="47"/>
      <c r="D24" s="542" t="s">
        <v>222</v>
      </c>
      <c r="E24" s="542"/>
      <c r="F24" s="48"/>
      <c r="G24" s="542" t="s">
        <v>223</v>
      </c>
      <c r="H24" s="542"/>
      <c r="I24" s="543"/>
      <c r="J24" s="543"/>
      <c r="K24" s="6"/>
      <c r="L24" s="6"/>
      <c r="M24" s="6"/>
      <c r="N24" s="49"/>
    </row>
    <row r="25" spans="1:29" ht="18.75">
      <c r="A25" s="6"/>
      <c r="B25" s="50" t="s">
        <v>221</v>
      </c>
      <c r="C25" s="51"/>
      <c r="D25" s="51"/>
      <c r="E25" s="51"/>
      <c r="F25" s="51"/>
      <c r="G25" s="51"/>
      <c r="H25" s="52"/>
      <c r="I25" s="52"/>
      <c r="J25" s="52" t="s">
        <v>224</v>
      </c>
      <c r="K25" s="52"/>
      <c r="L25" s="51"/>
      <c r="M25" s="51"/>
      <c r="N25" s="53"/>
      <c r="AC25" s="54"/>
    </row>
    <row r="26" spans="1:29" ht="15">
      <c r="A26" s="6"/>
      <c r="B26" s="537" t="s">
        <v>225</v>
      </c>
      <c r="C26" s="537"/>
      <c r="D26" s="55" t="s">
        <v>226</v>
      </c>
      <c r="E26" s="56"/>
      <c r="F26" s="56"/>
      <c r="G26" s="56"/>
      <c r="H26" s="56"/>
      <c r="I26" s="56"/>
      <c r="J26" s="57"/>
      <c r="K26" s="56"/>
      <c r="L26" s="56"/>
      <c r="M26" s="56"/>
      <c r="N26" s="58"/>
      <c r="AC26" s="54"/>
    </row>
    <row r="27" spans="1:29" ht="18.75">
      <c r="A27" s="6"/>
      <c r="B27" s="59" t="s">
        <v>227</v>
      </c>
      <c r="C27" s="56"/>
      <c r="D27" s="56"/>
      <c r="E27" s="56"/>
      <c r="F27" s="56"/>
      <c r="G27" s="56"/>
      <c r="H27" s="56"/>
      <c r="I27" s="56"/>
      <c r="J27" s="57"/>
      <c r="K27" s="56"/>
      <c r="L27" s="56"/>
      <c r="M27" s="56"/>
      <c r="N27" s="58"/>
      <c r="AC27" s="54"/>
    </row>
    <row r="28" spans="1:13" ht="15">
      <c r="A28" s="6"/>
      <c r="B28" s="6"/>
      <c r="C28" s="6"/>
      <c r="D28" s="6"/>
      <c r="E28" s="6"/>
      <c r="F28" s="6"/>
      <c r="G28" s="6"/>
      <c r="H28" s="6"/>
      <c r="I28" s="6"/>
      <c r="J28" s="6"/>
      <c r="K28" s="6"/>
      <c r="L28" s="6"/>
      <c r="M28" s="6"/>
    </row>
    <row r="29" spans="1:17" ht="15">
      <c r="A29" s="6"/>
      <c r="B29" s="538" t="s">
        <v>228</v>
      </c>
      <c r="C29" s="538"/>
      <c r="D29" s="538"/>
      <c r="E29" s="538"/>
      <c r="F29" s="538"/>
      <c r="G29" s="538"/>
      <c r="H29" s="538"/>
      <c r="I29" s="538"/>
      <c r="J29" s="538"/>
      <c r="K29" s="538"/>
      <c r="L29" s="538"/>
      <c r="M29" s="538"/>
      <c r="N29" s="538"/>
      <c r="O29" s="60"/>
      <c r="P29" s="61">
        <f>+C33</f>
        <v>1525028.4</v>
      </c>
      <c r="Q29" s="62"/>
    </row>
    <row r="30" spans="1:17" ht="45" customHeight="1">
      <c r="A30" s="6"/>
      <c r="B30" s="63" t="s">
        <v>229</v>
      </c>
      <c r="C30" s="64" t="s">
        <v>230</v>
      </c>
      <c r="D30" s="64" t="s">
        <v>231</v>
      </c>
      <c r="E30" s="64" t="s">
        <v>232</v>
      </c>
      <c r="F30" s="64" t="s">
        <v>233</v>
      </c>
      <c r="G30" s="64" t="s">
        <v>234</v>
      </c>
      <c r="H30" s="64" t="s">
        <v>235</v>
      </c>
      <c r="I30" s="64" t="s">
        <v>236</v>
      </c>
      <c r="J30" s="64" t="s">
        <v>237</v>
      </c>
      <c r="K30" s="64" t="s">
        <v>213</v>
      </c>
      <c r="L30" s="64" t="s">
        <v>238</v>
      </c>
      <c r="M30" s="64" t="s">
        <v>239</v>
      </c>
      <c r="N30" s="64" t="s">
        <v>240</v>
      </c>
      <c r="O30" s="60"/>
      <c r="P30" s="61">
        <f>+D33</f>
        <v>2212401.4</v>
      </c>
      <c r="Q30" s="62"/>
    </row>
    <row r="31" spans="1:17" ht="14.25" customHeight="1">
      <c r="A31" s="6"/>
      <c r="B31" s="65" t="str">
        <f>CONCATENATE("Presupuesto (en ",'Introducción de datos'!$D$26,")")</f>
        <v>Presupuesto (en $)</v>
      </c>
      <c r="C31" s="469">
        <v>1525028.4</v>
      </c>
      <c r="D31" s="470">
        <v>687373</v>
      </c>
      <c r="E31" s="470">
        <v>375074.5</v>
      </c>
      <c r="F31" s="470">
        <v>227299</v>
      </c>
      <c r="G31" s="470">
        <v>429663</v>
      </c>
      <c r="H31" s="470">
        <v>340413</v>
      </c>
      <c r="I31" s="471">
        <v>119804</v>
      </c>
      <c r="J31" s="471">
        <v>103698</v>
      </c>
      <c r="K31" s="471">
        <v>377413</v>
      </c>
      <c r="L31" s="471">
        <v>276472</v>
      </c>
      <c r="M31" s="66"/>
      <c r="N31" s="66"/>
      <c r="O31" s="60"/>
      <c r="P31" s="61">
        <f>+E33</f>
        <v>2587475.9</v>
      </c>
      <c r="Q31" s="62"/>
    </row>
    <row r="32" spans="1:17" ht="14.25" customHeight="1">
      <c r="A32" s="6"/>
      <c r="B32" s="67" t="str">
        <f>CONCATENATE("Desembolsos por el Fondo Mundial (en ",$D$26,")")</f>
        <v>Desembolsos por el Fondo Mundial (en $)</v>
      </c>
      <c r="C32" s="472">
        <v>983264</v>
      </c>
      <c r="D32" s="469">
        <v>1793297</v>
      </c>
      <c r="E32" s="469"/>
      <c r="F32" s="469">
        <v>440874</v>
      </c>
      <c r="G32" s="469"/>
      <c r="H32" s="469">
        <v>917594</v>
      </c>
      <c r="I32" s="471"/>
      <c r="J32" s="471"/>
      <c r="K32" s="471">
        <f>414339+25000</f>
        <v>439339</v>
      </c>
      <c r="L32" s="471"/>
      <c r="M32" s="66"/>
      <c r="N32" s="66"/>
      <c r="O32" s="60"/>
      <c r="P32" s="61">
        <f>+F33</f>
        <v>2814774.9</v>
      </c>
      <c r="Q32" s="62"/>
    </row>
    <row r="33" spans="1:17" ht="14.25" customHeight="1">
      <c r="A33" s="6"/>
      <c r="B33" s="68" t="s">
        <v>241</v>
      </c>
      <c r="C33" s="69">
        <f>+C31</f>
        <v>1525028.4</v>
      </c>
      <c r="D33" s="69">
        <f>IF(AND(D31=0,D32=0),0,+C33+D31)</f>
        <v>2212401.4</v>
      </c>
      <c r="E33" s="69">
        <f aca="true" t="shared" si="0" ref="E33:L33">IF(AND(E31=0,E32=0),0,+D33+E31)</f>
        <v>2587475.9</v>
      </c>
      <c r="F33" s="69">
        <f t="shared" si="0"/>
        <v>2814774.9</v>
      </c>
      <c r="G33" s="69">
        <f t="shared" si="0"/>
        <v>3244437.9</v>
      </c>
      <c r="H33" s="69">
        <f t="shared" si="0"/>
        <v>3584850.9</v>
      </c>
      <c r="I33" s="69">
        <f t="shared" si="0"/>
        <v>3704654.9</v>
      </c>
      <c r="J33" s="69">
        <f t="shared" si="0"/>
        <v>3808352.9</v>
      </c>
      <c r="K33" s="69">
        <f t="shared" si="0"/>
        <v>4185765.9</v>
      </c>
      <c r="L33" s="69">
        <f t="shared" si="0"/>
        <v>4462237.9</v>
      </c>
      <c r="M33" s="69">
        <f>IF(AND(M31=0,M32=0),0,+L33+M31)</f>
        <v>0</v>
      </c>
      <c r="N33" s="69">
        <f>IF(AND(N31=0,N32=0),0,+M33+N31)</f>
        <v>0</v>
      </c>
      <c r="O33" s="60"/>
      <c r="P33" s="61">
        <f>+G33</f>
        <v>3244437.9</v>
      </c>
      <c r="Q33" s="62"/>
    </row>
    <row r="34" spans="1:17" ht="15" customHeight="1" thickBot="1">
      <c r="A34" s="6"/>
      <c r="B34" s="70" t="s">
        <v>242</v>
      </c>
      <c r="C34" s="71">
        <v>983264</v>
      </c>
      <c r="D34" s="71">
        <f>IF(AND(D31=0,D32=0),0,+C34+D32)</f>
        <v>2776561</v>
      </c>
      <c r="E34" s="71">
        <f aca="true" t="shared" si="1" ref="E34:L34">IF(AND(E31=0,E32=0),0,+D34+E32)</f>
        <v>2776561</v>
      </c>
      <c r="F34" s="71">
        <f t="shared" si="1"/>
        <v>3217435</v>
      </c>
      <c r="G34" s="71">
        <f t="shared" si="1"/>
        <v>3217435</v>
      </c>
      <c r="H34" s="71">
        <f t="shared" si="1"/>
        <v>4135029</v>
      </c>
      <c r="I34" s="71">
        <f t="shared" si="1"/>
        <v>4135029</v>
      </c>
      <c r="J34" s="71">
        <f t="shared" si="1"/>
        <v>4135029</v>
      </c>
      <c r="K34" s="71">
        <f t="shared" si="1"/>
        <v>4574368</v>
      </c>
      <c r="L34" s="71">
        <f t="shared" si="1"/>
        <v>4574368</v>
      </c>
      <c r="M34" s="71">
        <f>IF(AND(M31=0,M32=0),0,+L34+M32)</f>
        <v>0</v>
      </c>
      <c r="N34" s="71">
        <f>IF(AND(N31=0,N32=0),0,+M34+N32)</f>
        <v>0</v>
      </c>
      <c r="O34" s="60"/>
      <c r="P34" s="61">
        <f>+H33</f>
        <v>3584850.9</v>
      </c>
      <c r="Q34" s="62"/>
    </row>
    <row r="35" spans="1:17" ht="15">
      <c r="A35" s="6"/>
      <c r="B35" s="6"/>
      <c r="C35" s="72">
        <f>+IF(AND(C30=$C$16,C33&lt;&gt;0),C34/C33,0)</f>
        <v>0</v>
      </c>
      <c r="D35" s="72">
        <f aca="true" t="shared" si="2" ref="D35:N35">+IF(AND(D30=$C$16,D33&lt;&gt;0),D34/D33,0)</f>
        <v>0</v>
      </c>
      <c r="E35" s="72">
        <f t="shared" si="2"/>
        <v>0</v>
      </c>
      <c r="F35" s="72">
        <f t="shared" si="2"/>
        <v>0</v>
      </c>
      <c r="G35" s="72">
        <f t="shared" si="2"/>
        <v>0</v>
      </c>
      <c r="H35" s="72">
        <f t="shared" si="2"/>
        <v>0</v>
      </c>
      <c r="I35" s="72">
        <f t="shared" si="2"/>
        <v>0</v>
      </c>
      <c r="J35" s="72">
        <f t="shared" si="2"/>
        <v>0</v>
      </c>
      <c r="K35" s="72">
        <f t="shared" si="2"/>
        <v>1.0928389473477245</v>
      </c>
      <c r="L35" s="72">
        <f t="shared" si="2"/>
        <v>0</v>
      </c>
      <c r="M35" s="72">
        <f t="shared" si="2"/>
        <v>0</v>
      </c>
      <c r="N35" s="72">
        <f t="shared" si="2"/>
        <v>0</v>
      </c>
      <c r="O35" s="73"/>
      <c r="P35" s="61">
        <f>+I33</f>
        <v>3704654.9</v>
      </c>
      <c r="Q35" s="62"/>
    </row>
    <row r="36" spans="1:29" ht="18.75">
      <c r="A36" s="6"/>
      <c r="B36" s="59" t="s">
        <v>243</v>
      </c>
      <c r="C36" s="6"/>
      <c r="D36" s="6"/>
      <c r="E36" s="74"/>
      <c r="F36" s="6"/>
      <c r="G36" s="75"/>
      <c r="H36" s="6"/>
      <c r="I36" s="6"/>
      <c r="J36" s="6"/>
      <c r="K36" s="6"/>
      <c r="L36" s="6"/>
      <c r="M36" s="6"/>
      <c r="N36" s="76"/>
      <c r="AC36" s="49"/>
    </row>
    <row r="37" spans="1:14" ht="15">
      <c r="A37" s="6"/>
      <c r="B37" s="6"/>
      <c r="C37" s="6"/>
      <c r="D37" s="6"/>
      <c r="E37" s="6"/>
      <c r="F37" s="6"/>
      <c r="G37" s="6"/>
      <c r="H37" s="6"/>
      <c r="I37" s="6"/>
      <c r="J37" s="6"/>
      <c r="K37" s="6"/>
      <c r="L37" s="6"/>
      <c r="M37" s="6"/>
      <c r="N37" s="77"/>
    </row>
    <row r="38" spans="1:26" ht="30" customHeight="1">
      <c r="A38" s="6"/>
      <c r="B38" s="78" t="s">
        <v>244</v>
      </c>
      <c r="C38" s="79" t="str">
        <f>CONCATENATE("Presupuesto acumulado (en ",'Introducción de datos'!$D$26,")")</f>
        <v>Presupuesto acumulado (en $)</v>
      </c>
      <c r="D38" s="80" t="str">
        <f>CONCATENATE("Gastos acumulados (en ",'Introducción de datos'!$D$26,")")</f>
        <v>Gastos acumulados (en $)</v>
      </c>
      <c r="E38" s="81"/>
      <c r="F38" s="82"/>
      <c r="G38" s="6"/>
      <c r="H38" s="6"/>
      <c r="I38" s="6"/>
      <c r="J38" s="83"/>
      <c r="K38" s="84"/>
      <c r="N38"/>
      <c r="Y38" s="49"/>
      <c r="Z38" s="5"/>
    </row>
    <row r="39" spans="1:26" ht="14.25" customHeight="1">
      <c r="A39" s="6"/>
      <c r="B39" s="85" t="s">
        <v>245</v>
      </c>
      <c r="C39" s="473">
        <f>214031.24+72341.37+372189.72+257596.79+350336.9+141691.39+250645.56</f>
        <v>1658832.9700000002</v>
      </c>
      <c r="D39" s="474">
        <f>170558.82+72212.79+362636.43+258569.56+331869.25+181970.4+151678.48</f>
        <v>1529495.73</v>
      </c>
      <c r="E39" s="86"/>
      <c r="F39" s="87"/>
      <c r="G39" s="88"/>
      <c r="H39" s="6"/>
      <c r="I39" s="6"/>
      <c r="J39" s="89"/>
      <c r="K39" s="90"/>
      <c r="N39"/>
      <c r="Y39" s="49"/>
      <c r="Z39" s="5"/>
    </row>
    <row r="40" spans="1:26" ht="14.25" customHeight="1">
      <c r="A40" s="6"/>
      <c r="B40" s="85" t="s">
        <v>246</v>
      </c>
      <c r="C40" s="473">
        <f>80479.04+30708.17+101773.02+62358.6+42676.3+24139.2+42794.84</f>
        <v>384929.1699999999</v>
      </c>
      <c r="D40" s="474">
        <f>65283.44+30115.76+87420.25+45417.59+50188.6+32811.93+33856.98</f>
        <v>345094.55</v>
      </c>
      <c r="E40" s="91"/>
      <c r="F40" s="87"/>
      <c r="G40" s="88"/>
      <c r="H40" s="6"/>
      <c r="I40" s="6"/>
      <c r="J40" s="6"/>
      <c r="K40" s="90"/>
      <c r="N40"/>
      <c r="Y40" s="49"/>
      <c r="Z40" s="5"/>
    </row>
    <row r="41" spans="1:26" ht="15">
      <c r="A41" s="6"/>
      <c r="B41" s="92" t="s">
        <v>247</v>
      </c>
      <c r="C41" s="473">
        <f>287474.56+0.44+101919.69+502265.92+172301.77+203951.75+24062.5+190468.16+1.73</f>
        <v>1482446.5199999998</v>
      </c>
      <c r="D41" s="474">
        <f>256366.85+95389+496355.28+144494.28+218561.64+95229.12+139591.88</f>
        <v>1445988.0499999998</v>
      </c>
      <c r="E41" s="91"/>
      <c r="F41" s="93"/>
      <c r="G41" s="6"/>
      <c r="H41" s="6"/>
      <c r="I41" s="6"/>
      <c r="J41" s="6"/>
      <c r="K41" s="90"/>
      <c r="N41"/>
      <c r="Y41" s="49"/>
      <c r="Z41" s="5"/>
    </row>
    <row r="42" spans="1:26" ht="15" customHeight="1">
      <c r="A42" s="6"/>
      <c r="B42" s="85" t="s">
        <v>248</v>
      </c>
      <c r="C42" s="473">
        <f>34056.24+9291.37+88136.22+17243.2+59744.6+18483.4+58178.66</f>
        <v>285133.69000000006</v>
      </c>
      <c r="D42" s="474">
        <f>31080.14+6238.96+82718.2+14094.29+75202.7+35156.37+23463.76</f>
        <v>267954.42</v>
      </c>
      <c r="E42" s="91"/>
      <c r="F42" s="94"/>
      <c r="G42" s="6"/>
      <c r="H42" s="6"/>
      <c r="I42" s="6"/>
      <c r="J42" s="6"/>
      <c r="K42" s="49"/>
      <c r="N42"/>
      <c r="Y42" s="49"/>
      <c r="Z42" s="5"/>
    </row>
    <row r="43" spans="1:26" ht="15">
      <c r="A43" s="6"/>
      <c r="B43" s="85" t="s">
        <v>249</v>
      </c>
      <c r="C43" s="473">
        <f>169461.24+0.76+6516.37+141756-1+92873.19+1+113364.6+1.93+15123+111798.46</f>
        <v>650895.55</v>
      </c>
      <c r="D43" s="474">
        <f>78498.7+82478.37+114720.05+25305.32+25000-0.04+210266.03+0.02+79523.68+43923.24</f>
        <v>659715.3700000001</v>
      </c>
      <c r="E43" s="91"/>
      <c r="F43" s="95"/>
      <c r="G43" s="6"/>
      <c r="H43" s="6"/>
      <c r="I43" s="6"/>
      <c r="J43" s="6"/>
      <c r="K43" s="49"/>
      <c r="N43"/>
      <c r="Y43" s="49"/>
      <c r="Z43" s="5"/>
    </row>
    <row r="44" spans="1:26" ht="15">
      <c r="A44" s="6"/>
      <c r="B44" s="85" t="s">
        <v>250</v>
      </c>
      <c r="C44" s="96"/>
      <c r="D44" s="97"/>
      <c r="E44" s="91"/>
      <c r="F44" s="98"/>
      <c r="G44" s="6"/>
      <c r="H44" s="6"/>
      <c r="I44" s="6"/>
      <c r="J44" s="6"/>
      <c r="K44" s="49"/>
      <c r="N44"/>
      <c r="Y44" s="49"/>
      <c r="Z44" s="5"/>
    </row>
    <row r="45" spans="1:26" ht="15">
      <c r="A45" s="6"/>
      <c r="B45" s="99"/>
      <c r="C45" s="96"/>
      <c r="D45" s="97"/>
      <c r="E45" s="91"/>
      <c r="F45" s="95"/>
      <c r="G45" s="91"/>
      <c r="H45" s="91"/>
      <c r="I45" s="91"/>
      <c r="J45" s="91"/>
      <c r="K45" s="49"/>
      <c r="N45"/>
      <c r="Y45" s="5"/>
      <c r="Z45" s="5"/>
    </row>
    <row r="46" spans="1:26" ht="15">
      <c r="A46" s="6"/>
      <c r="B46" s="100"/>
      <c r="C46" s="96"/>
      <c r="D46" s="97"/>
      <c r="E46" s="91"/>
      <c r="F46" s="91"/>
      <c r="G46" s="91"/>
      <c r="H46" s="91"/>
      <c r="I46" s="91"/>
      <c r="J46" s="91"/>
      <c r="K46" s="49"/>
      <c r="N46"/>
      <c r="Y46" s="5"/>
      <c r="Z46" s="5"/>
    </row>
    <row r="47" spans="1:26" ht="15">
      <c r="A47" s="6"/>
      <c r="B47" s="101" t="s">
        <v>251</v>
      </c>
      <c r="C47" s="102">
        <f>SUM(C39:C43)</f>
        <v>4462237.9</v>
      </c>
      <c r="D47" s="103">
        <f>SUM(D39:D43)</f>
        <v>4248248.12</v>
      </c>
      <c r="E47" s="104"/>
      <c r="F47" s="539" t="str">
        <f ca="1">+IF((ROUND(C47,0)=ROUND(OFFSET(B33,0,RIGHT('Introducción de datos'!$C$16,LEN('Introducción de datos'!$C$16)-1),1,1),0)),"OK: Datos corresponden","Atención: Datos no corresponden")</f>
        <v>Atención: Datos no corresponden</v>
      </c>
      <c r="G47" s="539"/>
      <c r="H47" s="539"/>
      <c r="I47" s="539"/>
      <c r="J47" s="105"/>
      <c r="K47" s="105"/>
      <c r="L47" s="105"/>
      <c r="M47" s="106"/>
      <c r="N47" s="73"/>
      <c r="Y47" s="5"/>
      <c r="Z47" s="5"/>
    </row>
    <row r="48" spans="1:17" ht="15">
      <c r="A48" s="6"/>
      <c r="B48" s="6"/>
      <c r="C48" s="105"/>
      <c r="D48" s="105"/>
      <c r="E48" s="107"/>
      <c r="F48" s="105"/>
      <c r="G48" s="105"/>
      <c r="H48" s="105"/>
      <c r="I48" s="105"/>
      <c r="J48" s="105"/>
      <c r="K48" s="105"/>
      <c r="L48" s="105"/>
      <c r="M48" s="105"/>
      <c r="N48" s="105"/>
      <c r="O48" s="73"/>
      <c r="P48" s="61"/>
      <c r="Q48" s="62"/>
    </row>
    <row r="49" spans="1:17" ht="18.75">
      <c r="A49" s="6"/>
      <c r="B49" s="59" t="s">
        <v>252</v>
      </c>
      <c r="C49" s="6"/>
      <c r="D49" s="6"/>
      <c r="E49" s="6"/>
      <c r="F49" s="6"/>
      <c r="G49" s="6"/>
      <c r="H49" s="6"/>
      <c r="I49" s="6"/>
      <c r="J49" s="6"/>
      <c r="K49" s="6"/>
      <c r="L49" s="6"/>
      <c r="M49" s="6"/>
      <c r="O49" s="60"/>
      <c r="P49" s="61">
        <f>+J33</f>
        <v>3808352.9</v>
      </c>
      <c r="Q49" s="62"/>
    </row>
    <row r="50" spans="1:17" ht="15">
      <c r="A50" s="6"/>
      <c r="B50" s="6"/>
      <c r="C50" s="6"/>
      <c r="D50" s="6"/>
      <c r="E50" s="6"/>
      <c r="F50" s="6"/>
      <c r="G50" s="6"/>
      <c r="H50" s="6"/>
      <c r="I50" s="6"/>
      <c r="J50" s="6"/>
      <c r="K50" s="6"/>
      <c r="L50" s="6"/>
      <c r="M50" s="6"/>
      <c r="O50" s="60"/>
      <c r="P50" s="61">
        <f>+K33</f>
        <v>4185765.9</v>
      </c>
      <c r="Q50" s="62"/>
    </row>
    <row r="51" spans="1:28" ht="35.25" customHeight="1">
      <c r="A51" s="6"/>
      <c r="B51" s="108"/>
      <c r="C51" s="109" t="s">
        <v>253</v>
      </c>
      <c r="D51" s="109" t="s">
        <v>254</v>
      </c>
      <c r="E51" s="110" t="str">
        <f>CONCATENATE("Total gastado y desembolso (en ",D26,")")</f>
        <v>Total gastado y desembolso (en $)</v>
      </c>
      <c r="F51" s="6"/>
      <c r="G51" s="111"/>
      <c r="H51" s="82"/>
      <c r="I51" s="112"/>
      <c r="J51" s="112"/>
      <c r="K51" s="112"/>
      <c r="L51" s="112"/>
      <c r="M51" s="113"/>
      <c r="N51" s="113"/>
      <c r="O51" s="61">
        <f>+M33</f>
        <v>0</v>
      </c>
      <c r="P51" s="62"/>
      <c r="AB51" s="49"/>
    </row>
    <row r="52" spans="1:28" ht="15">
      <c r="A52" s="6"/>
      <c r="B52" s="114" t="s">
        <v>255</v>
      </c>
      <c r="C52" s="475">
        <f>983264+1768297+25000+440874+917594</f>
        <v>4135029</v>
      </c>
      <c r="D52" s="475">
        <v>439339</v>
      </c>
      <c r="E52" s="115">
        <f>+D52+C52</f>
        <v>4574368</v>
      </c>
      <c r="F52" s="6"/>
      <c r="G52" s="116"/>
      <c r="H52" s="117"/>
      <c r="I52" s="118"/>
      <c r="J52" s="119"/>
      <c r="K52" s="119"/>
      <c r="L52" s="120"/>
      <c r="M52" s="120"/>
      <c r="N52" s="120"/>
      <c r="O52" s="62"/>
      <c r="P52" s="62"/>
      <c r="AB52" s="49"/>
    </row>
    <row r="53" spans="1:28" ht="15">
      <c r="A53" s="6"/>
      <c r="B53" s="114" t="s">
        <v>256</v>
      </c>
      <c r="C53" s="475">
        <v>3855733.8</v>
      </c>
      <c r="D53" s="475">
        <v>392514.32</v>
      </c>
      <c r="E53" s="115">
        <f>+D53+C53</f>
        <v>4248248.12</v>
      </c>
      <c r="F53" s="6"/>
      <c r="G53" s="121"/>
      <c r="H53" s="117"/>
      <c r="I53" s="118"/>
      <c r="J53" s="119"/>
      <c r="K53" s="119"/>
      <c r="L53" s="120"/>
      <c r="M53" s="122"/>
      <c r="N53" s="122"/>
      <c r="O53" s="62"/>
      <c r="P53" s="62"/>
      <c r="AB53" s="49"/>
    </row>
    <row r="54" spans="1:28" ht="15">
      <c r="A54" s="6"/>
      <c r="B54" s="114" t="s">
        <v>257</v>
      </c>
      <c r="C54" s="123"/>
      <c r="D54" s="123"/>
      <c r="E54" s="115">
        <f>+D54+C54</f>
        <v>0</v>
      </c>
      <c r="F54" s="6"/>
      <c r="G54" s="116"/>
      <c r="H54" s="117"/>
      <c r="I54" s="118"/>
      <c r="J54" s="119"/>
      <c r="K54" s="119"/>
      <c r="L54" s="120"/>
      <c r="M54" s="120"/>
      <c r="N54" s="120"/>
      <c r="AB54" s="49"/>
    </row>
    <row r="55" spans="1:28" ht="15">
      <c r="A55" s="6"/>
      <c r="B55" s="124" t="s">
        <v>258</v>
      </c>
      <c r="C55" s="125"/>
      <c r="D55" s="125"/>
      <c r="E55" s="126">
        <f>+D55+C55</f>
        <v>0</v>
      </c>
      <c r="F55" s="6"/>
      <c r="G55" s="121"/>
      <c r="H55" s="127"/>
      <c r="I55" s="128"/>
      <c r="J55" s="128"/>
      <c r="K55" s="128"/>
      <c r="L55" s="120"/>
      <c r="M55" s="122"/>
      <c r="N55" s="122"/>
      <c r="AB55" s="49"/>
    </row>
    <row r="56" spans="1:29" ht="15.75" customHeight="1">
      <c r="A56" s="6"/>
      <c r="B56" s="6"/>
      <c r="C56" s="6"/>
      <c r="D56" s="6"/>
      <c r="E56" s="6"/>
      <c r="F56" s="6"/>
      <c r="G56" s="6"/>
      <c r="H56" s="6"/>
      <c r="I56" s="6"/>
      <c r="J56" s="6"/>
      <c r="K56" s="6"/>
      <c r="L56" s="6"/>
      <c r="M56" s="6"/>
      <c r="AC56" s="49"/>
    </row>
    <row r="57" spans="1:13" ht="15">
      <c r="A57" s="6"/>
      <c r="B57" s="6"/>
      <c r="C57" s="6"/>
      <c r="D57" s="6"/>
      <c r="E57" s="6"/>
      <c r="F57" s="6"/>
      <c r="G57" s="6"/>
      <c r="H57" s="6"/>
      <c r="I57" s="6"/>
      <c r="J57" s="6"/>
      <c r="K57" s="6"/>
      <c r="L57" s="6"/>
      <c r="M57" s="6"/>
    </row>
    <row r="58" spans="1:13" ht="18.75">
      <c r="A58" s="6"/>
      <c r="B58" s="59" t="s">
        <v>259</v>
      </c>
      <c r="C58" s="6"/>
      <c r="D58" s="6"/>
      <c r="E58" s="6"/>
      <c r="F58" s="6"/>
      <c r="G58" s="6"/>
      <c r="H58" s="6"/>
      <c r="I58" s="6"/>
      <c r="J58" s="6"/>
      <c r="K58" s="6"/>
      <c r="L58" s="6"/>
      <c r="M58" s="6"/>
    </row>
    <row r="59" spans="1:13" ht="15">
      <c r="A59" s="6"/>
      <c r="B59" s="6"/>
      <c r="C59" s="6"/>
      <c r="D59" s="6"/>
      <c r="E59" s="6"/>
      <c r="F59" s="6"/>
      <c r="G59" s="6"/>
      <c r="H59" s="6"/>
      <c r="I59" s="6"/>
      <c r="J59" s="6"/>
      <c r="K59" s="6"/>
      <c r="L59" s="6"/>
      <c r="M59" s="6"/>
    </row>
    <row r="60" spans="1:13" ht="14.25" customHeight="1">
      <c r="A60" s="6"/>
      <c r="B60" s="540" t="s">
        <v>260</v>
      </c>
      <c r="C60" s="540"/>
      <c r="D60" s="540"/>
      <c r="E60" s="6"/>
      <c r="F60" s="6"/>
      <c r="G60" s="6"/>
      <c r="H60" s="6"/>
      <c r="I60" s="6"/>
      <c r="J60" s="6"/>
      <c r="K60" s="6"/>
      <c r="L60" s="6"/>
      <c r="M60" s="5"/>
    </row>
    <row r="61" spans="1:13" ht="15">
      <c r="A61" s="6"/>
      <c r="B61" s="129"/>
      <c r="C61" s="130" t="s">
        <v>261</v>
      </c>
      <c r="D61" s="131" t="s">
        <v>262</v>
      </c>
      <c r="E61" s="6"/>
      <c r="F61" s="6"/>
      <c r="G61" s="6"/>
      <c r="H61" s="6"/>
      <c r="I61" s="6"/>
      <c r="J61" s="6"/>
      <c r="K61" s="6"/>
      <c r="L61" s="6"/>
      <c r="M61" s="5"/>
    </row>
    <row r="62" spans="1:13" ht="15">
      <c r="A62" s="6"/>
      <c r="B62" s="132" t="s">
        <v>263</v>
      </c>
      <c r="C62" s="133">
        <v>45</v>
      </c>
      <c r="D62" s="134">
        <v>45</v>
      </c>
      <c r="E62" s="6"/>
      <c r="F62" s="6"/>
      <c r="G62" s="6"/>
      <c r="H62" s="6"/>
      <c r="I62" s="6"/>
      <c r="J62" s="6"/>
      <c r="K62" s="6"/>
      <c r="L62" s="6"/>
      <c r="M62" s="5"/>
    </row>
    <row r="63" spans="1:13" ht="15">
      <c r="A63" s="6"/>
      <c r="B63" s="135" t="s">
        <v>264</v>
      </c>
      <c r="C63" s="133">
        <v>45</v>
      </c>
      <c r="D63" s="134">
        <v>27</v>
      </c>
      <c r="E63" s="6"/>
      <c r="F63" s="6"/>
      <c r="G63" s="6"/>
      <c r="H63" s="117"/>
      <c r="I63" s="117"/>
      <c r="J63" s="6"/>
      <c r="K63" s="6"/>
      <c r="L63" s="6"/>
      <c r="M63" s="5"/>
    </row>
    <row r="64" spans="1:13" ht="15">
      <c r="A64" s="6"/>
      <c r="B64" s="136" t="s">
        <v>265</v>
      </c>
      <c r="C64" s="137"/>
      <c r="D64" s="138"/>
      <c r="E64" s="6"/>
      <c r="F64" s="6"/>
      <c r="G64" s="6"/>
      <c r="H64" s="117"/>
      <c r="I64" s="117"/>
      <c r="J64" s="6"/>
      <c r="K64" s="6"/>
      <c r="L64" s="6"/>
      <c r="M64" s="5"/>
    </row>
    <row r="65" spans="1:13" ht="15">
      <c r="A65" s="6"/>
      <c r="B65" s="6"/>
      <c r="C65" s="6"/>
      <c r="D65" s="6"/>
      <c r="E65" s="6"/>
      <c r="F65" s="6"/>
      <c r="G65" s="6"/>
      <c r="H65" s="6"/>
      <c r="I65" s="6"/>
      <c r="J65" s="6"/>
      <c r="K65" s="6"/>
      <c r="L65" s="6"/>
      <c r="M65" s="6"/>
    </row>
    <row r="66" spans="1:24" ht="15">
      <c r="A66" s="6"/>
      <c r="B66" s="6"/>
      <c r="C66" s="6"/>
      <c r="D66" s="6"/>
      <c r="E66" s="6"/>
      <c r="F66" s="6"/>
      <c r="G66" s="6"/>
      <c r="H66" s="6"/>
      <c r="I66" s="6"/>
      <c r="J66" s="6"/>
      <c r="K66" s="6"/>
      <c r="L66" s="139"/>
      <c r="M66" s="6"/>
      <c r="W66" s="10"/>
      <c r="X66" s="10"/>
    </row>
    <row r="67" spans="1:24" ht="18.75">
      <c r="A67" s="6"/>
      <c r="B67" s="140" t="s">
        <v>266</v>
      </c>
      <c r="C67" s="141"/>
      <c r="D67" s="141"/>
      <c r="E67" s="141"/>
      <c r="F67" s="141"/>
      <c r="G67" s="141"/>
      <c r="H67" s="142" t="s">
        <v>267</v>
      </c>
      <c r="I67" s="141"/>
      <c r="J67" s="143"/>
      <c r="K67" s="143"/>
      <c r="L67" s="144"/>
      <c r="M67" s="145"/>
      <c r="N67" s="146"/>
      <c r="Q67" s="54"/>
      <c r="W67" s="10"/>
      <c r="X67" s="10"/>
    </row>
    <row r="68" spans="1:24" ht="18.75">
      <c r="A68" s="6"/>
      <c r="B68" s="147"/>
      <c r="C68" s="148"/>
      <c r="D68" s="148"/>
      <c r="E68" s="148"/>
      <c r="F68" s="148"/>
      <c r="G68" s="148"/>
      <c r="H68" s="148"/>
      <c r="I68" s="148"/>
      <c r="J68" s="148"/>
      <c r="K68" s="149"/>
      <c r="L68" s="149"/>
      <c r="M68" s="148"/>
      <c r="N68" s="146"/>
      <c r="Q68" s="54"/>
      <c r="W68" s="10"/>
      <c r="X68" s="10"/>
    </row>
    <row r="69" spans="1:24" ht="18.75">
      <c r="A69" s="6"/>
      <c r="B69" s="147" t="s">
        <v>268</v>
      </c>
      <c r="C69" s="148"/>
      <c r="D69" s="148"/>
      <c r="E69" s="148"/>
      <c r="F69" s="148"/>
      <c r="G69" s="148"/>
      <c r="H69" s="148"/>
      <c r="I69" s="148"/>
      <c r="J69" s="148"/>
      <c r="K69" s="149"/>
      <c r="L69" s="149"/>
      <c r="M69" s="148"/>
      <c r="N69" s="146"/>
      <c r="Q69" s="54"/>
      <c r="W69" s="10"/>
      <c r="X69" s="10"/>
    </row>
    <row r="70" spans="1:24" ht="15">
      <c r="A70" s="6"/>
      <c r="B70" s="150"/>
      <c r="C70" s="151"/>
      <c r="D70" s="151"/>
      <c r="E70" s="151"/>
      <c r="F70" s="151"/>
      <c r="G70" s="151"/>
      <c r="H70" s="150"/>
      <c r="I70" s="151"/>
      <c r="J70" s="150"/>
      <c r="K70" s="150"/>
      <c r="L70" s="150"/>
      <c r="M70" s="150"/>
      <c r="N70" s="49"/>
      <c r="O70" s="10"/>
      <c r="P70" s="10"/>
      <c r="Q70" s="10"/>
      <c r="X70" s="10"/>
    </row>
    <row r="71" spans="1:17" ht="75">
      <c r="A71" s="6"/>
      <c r="B71" s="533"/>
      <c r="C71" s="533"/>
      <c r="D71" s="152" t="s">
        <v>269</v>
      </c>
      <c r="E71" s="153" t="s">
        <v>270</v>
      </c>
      <c r="F71" s="153" t="s">
        <v>271</v>
      </c>
      <c r="G71" s="154" t="s">
        <v>251</v>
      </c>
      <c r="H71" s="155"/>
      <c r="I71" s="156"/>
      <c r="J71" s="91"/>
      <c r="K71" s="150"/>
      <c r="L71" s="150"/>
      <c r="M71" s="150"/>
      <c r="N71" s="49"/>
      <c r="O71" s="10"/>
      <c r="P71" s="10"/>
      <c r="Q71" s="10"/>
    </row>
    <row r="72" spans="1:17" ht="15">
      <c r="A72" s="6"/>
      <c r="B72" s="534" t="s">
        <v>272</v>
      </c>
      <c r="C72" s="534"/>
      <c r="D72" s="158">
        <v>17</v>
      </c>
      <c r="E72" s="158"/>
      <c r="F72" s="158"/>
      <c r="G72" s="159">
        <f>SUM(D72:F72)</f>
        <v>17</v>
      </c>
      <c r="H72" s="95"/>
      <c r="I72" s="160"/>
      <c r="J72" s="160"/>
      <c r="K72" s="150"/>
      <c r="L72" s="150"/>
      <c r="M72" s="150"/>
      <c r="N72" s="49"/>
      <c r="O72" s="10"/>
      <c r="P72" s="10"/>
      <c r="Q72" s="10"/>
    </row>
    <row r="73" spans="1:17" ht="15">
      <c r="A73" s="6"/>
      <c r="B73" s="535" t="s">
        <v>273</v>
      </c>
      <c r="C73" s="535"/>
      <c r="D73" s="162">
        <v>0</v>
      </c>
      <c r="E73" s="162"/>
      <c r="F73" s="162"/>
      <c r="G73" s="163">
        <f>SUM(D73:F73)</f>
        <v>0</v>
      </c>
      <c r="H73" s="95"/>
      <c r="I73" s="91"/>
      <c r="J73" s="91"/>
      <c r="K73" s="150"/>
      <c r="L73" s="150"/>
      <c r="M73" s="150"/>
      <c r="N73" s="10"/>
      <c r="O73" s="10"/>
      <c r="P73" s="10"/>
      <c r="Q73" s="10"/>
    </row>
    <row r="74" spans="1:17" ht="15">
      <c r="A74" s="6"/>
      <c r="B74" s="150"/>
      <c r="C74" s="150"/>
      <c r="D74" s="150"/>
      <c r="E74" s="150"/>
      <c r="F74" s="150"/>
      <c r="G74" s="150"/>
      <c r="H74" s="150"/>
      <c r="I74" s="150"/>
      <c r="J74" s="150"/>
      <c r="K74" s="150"/>
      <c r="L74" s="150"/>
      <c r="M74" s="150"/>
      <c r="N74" s="10"/>
      <c r="O74" s="10"/>
      <c r="P74" s="10"/>
      <c r="Q74" s="10"/>
    </row>
    <row r="75" spans="1:17" ht="15">
      <c r="A75" s="6"/>
      <c r="B75" s="150"/>
      <c r="C75" s="150"/>
      <c r="D75" s="150"/>
      <c r="E75" s="150"/>
      <c r="F75" s="150"/>
      <c r="G75" s="150"/>
      <c r="H75" s="150"/>
      <c r="I75" s="150"/>
      <c r="J75" s="150"/>
      <c r="K75" s="150"/>
      <c r="L75" s="150"/>
      <c r="M75" s="150"/>
      <c r="N75" s="10"/>
      <c r="Q75" s="10"/>
    </row>
    <row r="76" spans="1:17" ht="18.75">
      <c r="A76" s="6"/>
      <c r="B76" s="147" t="s">
        <v>274</v>
      </c>
      <c r="C76" s="150"/>
      <c r="D76" s="150"/>
      <c r="E76" s="150"/>
      <c r="F76" s="150"/>
      <c r="G76" s="150"/>
      <c r="H76" s="150"/>
      <c r="I76" s="150"/>
      <c r="J76" s="150"/>
      <c r="K76" s="150"/>
      <c r="L76" s="150"/>
      <c r="M76" s="150"/>
      <c r="N76" s="10"/>
      <c r="Q76" s="10"/>
    </row>
    <row r="77" spans="1:17" ht="15">
      <c r="A77" s="6"/>
      <c r="B77" s="150"/>
      <c r="C77" s="150"/>
      <c r="D77" s="150"/>
      <c r="E77" s="150"/>
      <c r="F77" s="150"/>
      <c r="G77" s="150"/>
      <c r="H77" s="150"/>
      <c r="I77" s="150"/>
      <c r="J77" s="150"/>
      <c r="K77" s="150"/>
      <c r="L77" s="150"/>
      <c r="M77" s="150"/>
      <c r="N77" s="10"/>
      <c r="Q77" s="10"/>
    </row>
    <row r="78" spans="1:17" ht="15">
      <c r="A78" s="6"/>
      <c r="B78" s="164"/>
      <c r="C78" s="165" t="s">
        <v>275</v>
      </c>
      <c r="D78" s="165" t="s">
        <v>276</v>
      </c>
      <c r="E78" s="166" t="s">
        <v>277</v>
      </c>
      <c r="F78" s="91"/>
      <c r="G78" s="91"/>
      <c r="H78" s="91"/>
      <c r="I78" s="156"/>
      <c r="J78" s="150"/>
      <c r="K78" s="150"/>
      <c r="L78" s="150"/>
      <c r="M78" s="150"/>
      <c r="N78" s="10"/>
      <c r="Q78" s="10"/>
    </row>
    <row r="79" spans="1:17" ht="15">
      <c r="A79" s="6"/>
      <c r="B79" s="161" t="s">
        <v>278</v>
      </c>
      <c r="C79" s="167">
        <v>2</v>
      </c>
      <c r="D79" s="167">
        <v>2</v>
      </c>
      <c r="E79" s="168">
        <f>+C79-D79</f>
        <v>0</v>
      </c>
      <c r="F79" s="169"/>
      <c r="G79" s="170"/>
      <c r="H79" s="91"/>
      <c r="I79" s="160"/>
      <c r="J79" s="150"/>
      <c r="K79" s="150"/>
      <c r="L79" s="150"/>
      <c r="M79" s="150"/>
      <c r="N79" s="10"/>
      <c r="Q79" s="10"/>
    </row>
    <row r="80" spans="1:17" ht="15">
      <c r="A80" s="6"/>
      <c r="B80" s="150"/>
      <c r="C80" s="150"/>
      <c r="D80" s="150"/>
      <c r="E80" s="150"/>
      <c r="F80" s="150"/>
      <c r="G80" s="150"/>
      <c r="H80" s="150"/>
      <c r="I80" s="150"/>
      <c r="J80" s="150"/>
      <c r="K80" s="150"/>
      <c r="L80" s="150"/>
      <c r="M80" s="150"/>
      <c r="N80" s="10"/>
      <c r="Q80" s="10"/>
    </row>
    <row r="81" spans="1:17" ht="18.75">
      <c r="A81" s="6"/>
      <c r="B81" s="147" t="s">
        <v>279</v>
      </c>
      <c r="C81" s="150"/>
      <c r="D81" s="150"/>
      <c r="E81" s="150"/>
      <c r="F81" s="150"/>
      <c r="G81" s="150"/>
      <c r="H81" s="150"/>
      <c r="I81" s="150"/>
      <c r="J81" s="150"/>
      <c r="K81" s="150"/>
      <c r="L81" s="150"/>
      <c r="M81" s="150"/>
      <c r="N81" s="10"/>
      <c r="Q81" s="10"/>
    </row>
    <row r="82" spans="1:17" ht="15">
      <c r="A82" s="6"/>
      <c r="B82" s="150"/>
      <c r="C82" s="150"/>
      <c r="D82" s="150"/>
      <c r="E82" s="150"/>
      <c r="F82" s="150"/>
      <c r="G82" s="150"/>
      <c r="H82" s="150"/>
      <c r="I82" s="150"/>
      <c r="J82" s="150"/>
      <c r="K82" s="150"/>
      <c r="L82" s="150"/>
      <c r="M82" s="150"/>
      <c r="N82" s="10"/>
      <c r="Q82" s="10"/>
    </row>
    <row r="83" spans="1:17" ht="30">
      <c r="A83" s="6"/>
      <c r="B83" s="164"/>
      <c r="C83" s="165" t="s">
        <v>280</v>
      </c>
      <c r="D83" s="165" t="s">
        <v>281</v>
      </c>
      <c r="E83" s="165" t="s">
        <v>282</v>
      </c>
      <c r="F83" s="165" t="s">
        <v>283</v>
      </c>
      <c r="G83" s="171" t="s">
        <v>284</v>
      </c>
      <c r="H83" s="172"/>
      <c r="I83" s="156"/>
      <c r="J83" s="150"/>
      <c r="K83" s="150"/>
      <c r="L83" s="150"/>
      <c r="M83" s="150"/>
      <c r="N83" s="10"/>
      <c r="Q83" s="10"/>
    </row>
    <row r="84" spans="1:17" ht="15">
      <c r="A84" s="6"/>
      <c r="B84" s="161" t="s">
        <v>285</v>
      </c>
      <c r="C84" s="167"/>
      <c r="D84" s="167"/>
      <c r="E84" s="167"/>
      <c r="F84" s="167"/>
      <c r="G84" s="173"/>
      <c r="H84" s="174"/>
      <c r="I84" s="95"/>
      <c r="J84" s="150"/>
      <c r="K84" s="150"/>
      <c r="L84" s="150"/>
      <c r="M84" s="150"/>
      <c r="N84" s="10"/>
      <c r="Q84" s="10"/>
    </row>
    <row r="85" spans="1:17" ht="15">
      <c r="A85" s="6"/>
      <c r="B85" s="150"/>
      <c r="C85" s="150"/>
      <c r="D85" s="150"/>
      <c r="E85" s="150"/>
      <c r="F85" s="150"/>
      <c r="G85" s="150"/>
      <c r="H85" s="150"/>
      <c r="J85" s="150"/>
      <c r="K85" s="150"/>
      <c r="L85" s="150"/>
      <c r="M85" s="150"/>
      <c r="N85" s="10"/>
      <c r="Q85" s="10"/>
    </row>
    <row r="86" spans="1:17" ht="18.75">
      <c r="A86" s="6"/>
      <c r="B86" s="147" t="s">
        <v>286</v>
      </c>
      <c r="C86" s="150"/>
      <c r="D86" s="150"/>
      <c r="E86" s="150"/>
      <c r="F86" s="150"/>
      <c r="G86" s="150"/>
      <c r="H86" s="150"/>
      <c r="I86" s="150"/>
      <c r="J86" s="150"/>
      <c r="K86" s="150"/>
      <c r="L86" s="150"/>
      <c r="M86" s="150"/>
      <c r="N86" s="10"/>
      <c r="Q86" s="10"/>
    </row>
    <row r="87" spans="1:17" ht="15">
      <c r="A87" s="6"/>
      <c r="B87" s="150"/>
      <c r="C87" s="150"/>
      <c r="D87" s="150"/>
      <c r="E87" s="150"/>
      <c r="F87" s="150"/>
      <c r="G87" s="150"/>
      <c r="H87" s="150"/>
      <c r="I87" s="150"/>
      <c r="J87" s="150"/>
      <c r="K87" s="150"/>
      <c r="L87" s="150"/>
      <c r="M87" s="150"/>
      <c r="N87" s="10"/>
      <c r="Q87" s="10"/>
    </row>
    <row r="88" spans="1:30" ht="15">
      <c r="A88" s="6"/>
      <c r="B88" s="164"/>
      <c r="C88" s="175" t="s">
        <v>287</v>
      </c>
      <c r="D88" s="175" t="s">
        <v>288</v>
      </c>
      <c r="E88" s="176" t="s">
        <v>289</v>
      </c>
      <c r="F88" s="150"/>
      <c r="G88" s="150"/>
      <c r="H88" s="150"/>
      <c r="I88" s="150"/>
      <c r="J88" s="10"/>
      <c r="K88" s="10"/>
      <c r="L88" s="10"/>
      <c r="N88"/>
      <c r="AA88" s="5"/>
      <c r="AD88"/>
    </row>
    <row r="89" spans="1:30" ht="15">
      <c r="A89" s="6"/>
      <c r="B89" s="157" t="s">
        <v>290</v>
      </c>
      <c r="C89" s="158"/>
      <c r="D89" s="177"/>
      <c r="E89" s="178">
        <f>C89-D89</f>
        <v>0</v>
      </c>
      <c r="F89" s="150"/>
      <c r="G89" s="150"/>
      <c r="H89" s="150"/>
      <c r="I89" s="150"/>
      <c r="J89" s="10"/>
      <c r="K89" s="10"/>
      <c r="L89" s="10"/>
      <c r="N89"/>
      <c r="AA89" s="5"/>
      <c r="AD89"/>
    </row>
    <row r="90" spans="1:30" ht="15">
      <c r="A90" s="6"/>
      <c r="B90" s="161" t="s">
        <v>291</v>
      </c>
      <c r="C90" s="162"/>
      <c r="D90" s="179"/>
      <c r="E90" s="178">
        <f>C90-D90</f>
        <v>0</v>
      </c>
      <c r="F90" s="150"/>
      <c r="G90" s="150"/>
      <c r="H90" s="150"/>
      <c r="I90" s="150"/>
      <c r="J90" s="10"/>
      <c r="K90" s="10"/>
      <c r="L90" s="10"/>
      <c r="N90"/>
      <c r="AA90" s="5"/>
      <c r="AD90"/>
    </row>
    <row r="91" spans="1:17" ht="15">
      <c r="A91" s="6"/>
      <c r="B91" s="150"/>
      <c r="C91" s="150"/>
      <c r="D91" s="150"/>
      <c r="E91" s="150"/>
      <c r="F91" s="150"/>
      <c r="G91" s="150"/>
      <c r="H91" s="150"/>
      <c r="I91" s="150"/>
      <c r="J91" s="150"/>
      <c r="K91" s="150"/>
      <c r="L91" s="150"/>
      <c r="M91" s="150"/>
      <c r="N91" s="10"/>
      <c r="Q91" s="10"/>
    </row>
    <row r="92" spans="1:17" ht="18.75">
      <c r="A92" s="6"/>
      <c r="B92" s="147" t="s">
        <v>292</v>
      </c>
      <c r="C92" s="150"/>
      <c r="D92" s="150"/>
      <c r="E92" s="150"/>
      <c r="F92" s="150"/>
      <c r="G92" s="150"/>
      <c r="H92" s="150"/>
      <c r="I92" s="150"/>
      <c r="J92" s="150"/>
      <c r="K92" s="150"/>
      <c r="L92" s="150"/>
      <c r="M92" s="150"/>
      <c r="N92" s="10"/>
      <c r="Q92" s="10"/>
    </row>
    <row r="93" spans="1:17" ht="15">
      <c r="A93" s="6"/>
      <c r="B93" s="150"/>
      <c r="C93" s="150"/>
      <c r="D93" s="150"/>
      <c r="E93" s="150"/>
      <c r="F93" s="150"/>
      <c r="G93" s="150"/>
      <c r="H93" s="150"/>
      <c r="I93" s="91"/>
      <c r="J93" s="91"/>
      <c r="K93" s="91"/>
      <c r="L93" s="91"/>
      <c r="M93" s="91"/>
      <c r="N93" s="49"/>
      <c r="Q93" s="10"/>
    </row>
    <row r="94" spans="1:17" ht="15">
      <c r="A94" s="6"/>
      <c r="B94" s="180"/>
      <c r="C94" s="181" t="s">
        <v>230</v>
      </c>
      <c r="D94" s="181" t="s">
        <v>231</v>
      </c>
      <c r="E94" s="181" t="s">
        <v>232</v>
      </c>
      <c r="F94" s="181" t="s">
        <v>233</v>
      </c>
      <c r="G94" s="181" t="s">
        <v>234</v>
      </c>
      <c r="H94" s="181" t="s">
        <v>235</v>
      </c>
      <c r="I94" s="181" t="s">
        <v>236</v>
      </c>
      <c r="J94" s="181" t="s">
        <v>237</v>
      </c>
      <c r="K94" s="181" t="s">
        <v>213</v>
      </c>
      <c r="L94" s="181" t="s">
        <v>238</v>
      </c>
      <c r="M94" s="181" t="s">
        <v>239</v>
      </c>
      <c r="N94" s="182" t="s">
        <v>240</v>
      </c>
      <c r="Q94" s="10"/>
    </row>
    <row r="95" spans="1:17" ht="15" customHeight="1">
      <c r="A95" s="6"/>
      <c r="B95" s="183" t="s">
        <v>293</v>
      </c>
      <c r="C95" s="184">
        <v>164848.8</v>
      </c>
      <c r="D95" s="184">
        <v>268798</v>
      </c>
      <c r="E95" s="184">
        <v>77609</v>
      </c>
      <c r="F95" s="184"/>
      <c r="G95" s="185">
        <f>111034.7+5463.1</f>
        <v>116497.8</v>
      </c>
      <c r="H95" s="185">
        <v>112580</v>
      </c>
      <c r="I95" s="184"/>
      <c r="J95" s="184"/>
      <c r="K95" s="476">
        <v>116498</v>
      </c>
      <c r="L95" s="476">
        <v>112580</v>
      </c>
      <c r="M95" s="185"/>
      <c r="N95" s="185"/>
      <c r="Q95" s="10"/>
    </row>
    <row r="96" spans="1:17" ht="15" customHeight="1">
      <c r="A96" s="6"/>
      <c r="B96" s="183" t="s">
        <v>294</v>
      </c>
      <c r="C96" s="184"/>
      <c r="D96" s="184"/>
      <c r="E96" s="184"/>
      <c r="F96" s="184"/>
      <c r="G96" s="185"/>
      <c r="H96" s="185"/>
      <c r="I96" s="184"/>
      <c r="J96" s="184"/>
      <c r="K96" s="184"/>
      <c r="L96" s="184"/>
      <c r="M96" s="185"/>
      <c r="N96" s="185"/>
      <c r="Q96" s="10"/>
    </row>
    <row r="97" spans="1:17" ht="15" customHeight="1">
      <c r="A97" s="6"/>
      <c r="B97" s="183" t="s">
        <v>295</v>
      </c>
      <c r="C97" s="184"/>
      <c r="D97" s="184">
        <v>428187</v>
      </c>
      <c r="E97" s="184">
        <v>77608.8</v>
      </c>
      <c r="F97" s="184">
        <v>11210.8</v>
      </c>
      <c r="G97" s="185"/>
      <c r="H97" s="185">
        <f>214795.3+13632.16</f>
        <v>228427.46</v>
      </c>
      <c r="I97" s="184"/>
      <c r="J97" s="184">
        <v>91326.7</v>
      </c>
      <c r="K97" s="184"/>
      <c r="L97" s="184">
        <v>114777.32</v>
      </c>
      <c r="M97" s="185"/>
      <c r="N97" s="185"/>
      <c r="Q97" s="10"/>
    </row>
    <row r="98" spans="1:17" ht="15" customHeight="1">
      <c r="A98" s="6"/>
      <c r="B98" s="186" t="s">
        <v>296</v>
      </c>
      <c r="C98" s="187">
        <f>+C95</f>
        <v>164848.8</v>
      </c>
      <c r="D98" s="187">
        <f aca="true" t="shared" si="3" ref="D98:N100">+C98+D95</f>
        <v>433646.8</v>
      </c>
      <c r="E98" s="187">
        <f>+D98+E95</f>
        <v>511255.8</v>
      </c>
      <c r="F98" s="187">
        <f t="shared" si="3"/>
        <v>511255.8</v>
      </c>
      <c r="G98" s="187">
        <f t="shared" si="3"/>
        <v>627753.6</v>
      </c>
      <c r="H98" s="187">
        <f t="shared" si="3"/>
        <v>740333.6</v>
      </c>
      <c r="I98" s="187">
        <f t="shared" si="3"/>
        <v>740333.6</v>
      </c>
      <c r="J98" s="187">
        <f t="shared" si="3"/>
        <v>740333.6</v>
      </c>
      <c r="K98" s="187">
        <f t="shared" si="3"/>
        <v>856831.6</v>
      </c>
      <c r="L98" s="187">
        <f t="shared" si="3"/>
        <v>969411.6</v>
      </c>
      <c r="M98" s="188">
        <f t="shared" si="3"/>
        <v>969411.6</v>
      </c>
      <c r="N98" s="188">
        <f t="shared" si="3"/>
        <v>969411.6</v>
      </c>
      <c r="Q98" s="10"/>
    </row>
    <row r="99" spans="1:17" ht="15" customHeight="1">
      <c r="A99" s="6"/>
      <c r="B99" s="186" t="s">
        <v>297</v>
      </c>
      <c r="C99" s="187">
        <f>+C96</f>
        <v>0</v>
      </c>
      <c r="D99" s="187">
        <f t="shared" si="3"/>
        <v>0</v>
      </c>
      <c r="E99" s="187">
        <f>+D99+E96</f>
        <v>0</v>
      </c>
      <c r="F99" s="187">
        <f t="shared" si="3"/>
        <v>0</v>
      </c>
      <c r="G99" s="187">
        <f t="shared" si="3"/>
        <v>0</v>
      </c>
      <c r="H99" s="187">
        <f t="shared" si="3"/>
        <v>0</v>
      </c>
      <c r="I99" s="187">
        <f t="shared" si="3"/>
        <v>0</v>
      </c>
      <c r="J99" s="187">
        <f t="shared" si="3"/>
        <v>0</v>
      </c>
      <c r="K99" s="187">
        <f t="shared" si="3"/>
        <v>0</v>
      </c>
      <c r="L99" s="187">
        <f t="shared" si="3"/>
        <v>0</v>
      </c>
      <c r="M99" s="188">
        <f t="shared" si="3"/>
        <v>0</v>
      </c>
      <c r="N99" s="188">
        <f t="shared" si="3"/>
        <v>0</v>
      </c>
      <c r="Q99" s="10"/>
    </row>
    <row r="100" spans="1:17" ht="15">
      <c r="A100" s="6"/>
      <c r="B100" s="189" t="s">
        <v>298</v>
      </c>
      <c r="C100" s="190">
        <f>+C97</f>
        <v>0</v>
      </c>
      <c r="D100" s="187">
        <f t="shared" si="3"/>
        <v>428187</v>
      </c>
      <c r="E100" s="187">
        <f>+D100+E97</f>
        <v>505795.8</v>
      </c>
      <c r="F100" s="187">
        <f t="shared" si="3"/>
        <v>517006.6</v>
      </c>
      <c r="G100" s="187">
        <f t="shared" si="3"/>
        <v>517006.6</v>
      </c>
      <c r="H100" s="187">
        <f t="shared" si="3"/>
        <v>745434.0599999999</v>
      </c>
      <c r="I100" s="187">
        <f t="shared" si="3"/>
        <v>745434.0599999999</v>
      </c>
      <c r="J100" s="187">
        <f t="shared" si="3"/>
        <v>836760.7599999999</v>
      </c>
      <c r="K100" s="187">
        <f t="shared" si="3"/>
        <v>836760.7599999999</v>
      </c>
      <c r="L100" s="187">
        <f t="shared" si="3"/>
        <v>951538.0799999998</v>
      </c>
      <c r="M100" s="188">
        <f t="shared" si="3"/>
        <v>951538.0799999998</v>
      </c>
      <c r="N100" s="188">
        <f t="shared" si="3"/>
        <v>951538.0799999998</v>
      </c>
      <c r="Q100" s="10"/>
    </row>
    <row r="101" spans="1:17" ht="15">
      <c r="A101" s="6"/>
      <c r="B101" s="6"/>
      <c r="C101" s="150"/>
      <c r="D101" s="150"/>
      <c r="E101" s="150"/>
      <c r="F101" s="150"/>
      <c r="G101" s="150"/>
      <c r="H101" s="150"/>
      <c r="I101" s="91"/>
      <c r="J101" s="191"/>
      <c r="K101" s="192"/>
      <c r="L101" s="91"/>
      <c r="M101" s="193"/>
      <c r="N101" s="49"/>
      <c r="Q101" s="10"/>
    </row>
    <row r="102" spans="1:17" ht="15">
      <c r="A102" s="6"/>
      <c r="B102" s="194" t="s">
        <v>299</v>
      </c>
      <c r="C102" s="150"/>
      <c r="D102" s="150"/>
      <c r="E102" s="150"/>
      <c r="F102" s="150"/>
      <c r="G102" s="150"/>
      <c r="H102" s="150"/>
      <c r="I102" s="91"/>
      <c r="J102" s="191"/>
      <c r="K102" s="192"/>
      <c r="L102" s="91"/>
      <c r="M102" s="193"/>
      <c r="N102" s="49"/>
      <c r="Q102" s="10"/>
    </row>
    <row r="103" spans="1:17" ht="15">
      <c r="A103" s="6"/>
      <c r="C103" s="150"/>
      <c r="D103" s="150"/>
      <c r="E103" s="150"/>
      <c r="F103" s="150"/>
      <c r="G103" s="150"/>
      <c r="H103" s="150"/>
      <c r="I103" s="91"/>
      <c r="J103" s="191"/>
      <c r="K103" s="193"/>
      <c r="L103" s="91"/>
      <c r="M103" s="193"/>
      <c r="N103" s="49"/>
      <c r="Q103" s="10"/>
    </row>
    <row r="104" spans="1:14" ht="15">
      <c r="A104" s="6"/>
      <c r="B104" s="6"/>
      <c r="C104" s="6"/>
      <c r="D104" s="6"/>
      <c r="E104" s="6"/>
      <c r="F104" s="6"/>
      <c r="G104" s="6"/>
      <c r="H104" s="6"/>
      <c r="I104" s="91"/>
      <c r="J104" s="91"/>
      <c r="K104" s="91"/>
      <c r="L104" s="91"/>
      <c r="M104" s="91"/>
      <c r="N104" s="49"/>
    </row>
    <row r="105" spans="1:14" ht="18.75">
      <c r="A105" s="6"/>
      <c r="B105" s="147" t="s">
        <v>300</v>
      </c>
      <c r="C105" s="6"/>
      <c r="D105" s="6"/>
      <c r="E105" s="6"/>
      <c r="F105" s="6"/>
      <c r="G105" s="6"/>
      <c r="H105" s="6"/>
      <c r="I105" s="91"/>
      <c r="J105" s="91"/>
      <c r="K105" s="91"/>
      <c r="L105" s="91"/>
      <c r="M105" s="91"/>
      <c r="N105" s="49"/>
    </row>
    <row r="106" spans="1:17" ht="15">
      <c r="A106" s="6"/>
      <c r="B106" s="6"/>
      <c r="C106" s="91"/>
      <c r="D106" s="91"/>
      <c r="E106" s="91"/>
      <c r="F106" s="91"/>
      <c r="G106" s="150"/>
      <c r="H106" s="150"/>
      <c r="I106" s="150"/>
      <c r="J106" s="91"/>
      <c r="K106" s="150"/>
      <c r="L106" s="91"/>
      <c r="M106" s="91"/>
      <c r="N106" s="49"/>
      <c r="O106" s="10"/>
      <c r="Q106" s="49"/>
    </row>
    <row r="107" spans="1:16" ht="135" customHeight="1">
      <c r="A107" s="6"/>
      <c r="B107" s="195" t="s">
        <v>301</v>
      </c>
      <c r="C107" s="196" t="s">
        <v>302</v>
      </c>
      <c r="D107" s="197" t="s">
        <v>303</v>
      </c>
      <c r="E107" s="197" t="s">
        <v>304</v>
      </c>
      <c r="F107" s="198" t="s">
        <v>305</v>
      </c>
      <c r="G107" s="198" t="s">
        <v>306</v>
      </c>
      <c r="H107" s="197" t="s">
        <v>307</v>
      </c>
      <c r="I107" s="197" t="s">
        <v>308</v>
      </c>
      <c r="J107" s="197" t="s">
        <v>309</v>
      </c>
      <c r="K107" s="199" t="s">
        <v>310</v>
      </c>
      <c r="L107" s="150"/>
      <c r="M107" s="49"/>
      <c r="N107" s="49"/>
      <c r="P107" s="49"/>
    </row>
    <row r="108" spans="1:16" ht="15">
      <c r="A108" s="6"/>
      <c r="B108" s="536" t="s">
        <v>196</v>
      </c>
      <c r="C108" s="200" t="s">
        <v>311</v>
      </c>
      <c r="D108" s="201">
        <v>4</v>
      </c>
      <c r="E108" s="202">
        <f>IF(ISBLANK(D108),"",D108*30)</f>
        <v>120</v>
      </c>
      <c r="F108" s="203">
        <v>2</v>
      </c>
      <c r="G108" s="204">
        <f>IF(AND(E108&gt;0,F108&gt;0),(F108*E108),"")</f>
        <v>240</v>
      </c>
      <c r="H108" s="205">
        <v>1777</v>
      </c>
      <c r="I108" s="206">
        <f>IF(AND(G108&gt;0,H108&gt;0),H108/G108,"")</f>
        <v>7.404166666666667</v>
      </c>
      <c r="J108" s="201">
        <v>3</v>
      </c>
      <c r="K108" s="206">
        <f>IF(AND(I108&gt;0,J108&gt;0),I108-J108,"")</f>
        <v>4.404166666666667</v>
      </c>
      <c r="L108" s="150"/>
      <c r="M108" s="49"/>
      <c r="N108" s="49"/>
      <c r="P108" s="49"/>
    </row>
    <row r="109" spans="1:14" ht="15">
      <c r="A109" s="6"/>
      <c r="B109" s="536"/>
      <c r="C109" s="200" t="s">
        <v>312</v>
      </c>
      <c r="D109" s="201">
        <v>4</v>
      </c>
      <c r="E109" s="202">
        <f>IF(ISBLANK(D109),"",D109*30)</f>
        <v>120</v>
      </c>
      <c r="F109" s="203">
        <v>2</v>
      </c>
      <c r="G109" s="204">
        <f>IF(AND(E109&gt;0,F109&gt;0),(F109*E109),"")</f>
        <v>240</v>
      </c>
      <c r="H109" s="205">
        <v>19</v>
      </c>
      <c r="I109" s="206">
        <f>IF(AND(G109&gt;0,H109&gt;0),H109/G109,"")</f>
        <v>0.07916666666666666</v>
      </c>
      <c r="J109" s="201">
        <v>3</v>
      </c>
      <c r="K109" s="206">
        <f>IF(AND(I109&gt;0,J109&gt;0),I109-J109,"")</f>
        <v>-2.9208333333333334</v>
      </c>
      <c r="L109" s="150"/>
      <c r="M109" s="49"/>
      <c r="N109" s="49"/>
    </row>
    <row r="110" spans="1:16" ht="15">
      <c r="A110" s="6"/>
      <c r="B110" s="536"/>
      <c r="C110" s="200" t="s">
        <v>313</v>
      </c>
      <c r="D110" s="201">
        <v>1</v>
      </c>
      <c r="E110" s="202">
        <f>IF(ISBLANK(D110),"",D110*30)</f>
        <v>30</v>
      </c>
      <c r="F110" s="203">
        <v>8</v>
      </c>
      <c r="G110" s="204">
        <f>IF(AND(E110&gt;0,F110&gt;0),(F110*E110),"")</f>
        <v>240</v>
      </c>
      <c r="H110" s="205">
        <v>1257</v>
      </c>
      <c r="I110" s="206">
        <f>IF(AND(G110&gt;0,H110&gt;0),H110/G110,"")</f>
        <v>5.2375</v>
      </c>
      <c r="J110" s="201">
        <v>3</v>
      </c>
      <c r="K110" s="206">
        <f>IF(AND(I110&gt;0,J110&gt;0),I110-J110,"")</f>
        <v>2.2375</v>
      </c>
      <c r="L110" s="150"/>
      <c r="M110" s="49"/>
      <c r="N110" s="49"/>
      <c r="P110" s="49"/>
    </row>
    <row r="111" spans="1:16" ht="15">
      <c r="A111" s="6"/>
      <c r="B111" s="536"/>
      <c r="C111" s="207" t="s">
        <v>314</v>
      </c>
      <c r="D111" s="208">
        <v>4</v>
      </c>
      <c r="E111" s="202">
        <f>IF(ISBLANK(D111),"",D111*30)</f>
        <v>120</v>
      </c>
      <c r="F111" s="203">
        <v>24</v>
      </c>
      <c r="G111" s="204">
        <f>IF(AND(E111&gt;0,F111&gt;0),(F111*E111),"")</f>
        <v>2880</v>
      </c>
      <c r="H111" s="209">
        <v>137</v>
      </c>
      <c r="I111" s="206">
        <f>IF(AND(G111&gt;0,H111&gt;0),H111/G111,"")</f>
        <v>0.04756944444444444</v>
      </c>
      <c r="J111" s="208">
        <v>3</v>
      </c>
      <c r="K111" s="206">
        <f>IF(AND(I111&gt;0,J111&gt;0),I111-J111,"")</f>
        <v>-2.9524305555555554</v>
      </c>
      <c r="L111" s="150"/>
      <c r="M111" s="49"/>
      <c r="N111" s="49"/>
      <c r="P111" s="49"/>
    </row>
    <row r="112" spans="1:16" ht="15">
      <c r="A112" s="6"/>
      <c r="B112" s="536"/>
      <c r="C112" s="210" t="s">
        <v>315</v>
      </c>
      <c r="D112" s="211">
        <v>2</v>
      </c>
      <c r="E112" s="202">
        <f>IF(ISBLANK(D112),"",D112*30)</f>
        <v>60</v>
      </c>
      <c r="F112" s="203">
        <v>24</v>
      </c>
      <c r="G112" s="204">
        <f>IF(AND(E112&gt;0,F112&gt;0),(F112*E112),"")</f>
        <v>1440</v>
      </c>
      <c r="H112" s="212">
        <v>47</v>
      </c>
      <c r="I112" s="206">
        <f>IF(AND(G112&gt;0,H112&gt;0),H112/G112,"")</f>
        <v>0.03263888888888889</v>
      </c>
      <c r="J112" s="211">
        <v>3</v>
      </c>
      <c r="K112" s="206">
        <f>IF(AND(I112&gt;0,J112&gt;0),I112-J112,"")</f>
        <v>-2.967361111111111</v>
      </c>
      <c r="L112" s="150"/>
      <c r="M112" s="49"/>
      <c r="N112" s="49"/>
      <c r="P112" s="49"/>
    </row>
    <row r="113" spans="1:17" ht="15">
      <c r="A113" s="6"/>
      <c r="B113" s="6"/>
      <c r="C113" s="6"/>
      <c r="D113" s="213"/>
      <c r="E113" s="6"/>
      <c r="F113" s="6"/>
      <c r="G113" s="150"/>
      <c r="H113" s="150"/>
      <c r="I113" s="150"/>
      <c r="J113" s="6"/>
      <c r="K113" s="6"/>
      <c r="L113" s="150"/>
      <c r="M113" s="150"/>
      <c r="N113" s="49"/>
      <c r="O113" s="10"/>
      <c r="Q113" s="49"/>
    </row>
    <row r="114" spans="1:13" ht="15">
      <c r="A114" s="6"/>
      <c r="B114" s="6"/>
      <c r="C114" s="6"/>
      <c r="D114" s="6"/>
      <c r="E114" s="6"/>
      <c r="F114" s="6"/>
      <c r="G114" s="6"/>
      <c r="H114" s="6"/>
      <c r="I114" s="150"/>
      <c r="J114" s="148"/>
      <c r="K114" s="148"/>
      <c r="L114" s="6"/>
      <c r="M114" s="6"/>
    </row>
    <row r="115" spans="1:15" ht="18.75">
      <c r="A115" s="6"/>
      <c r="B115" s="214" t="s">
        <v>316</v>
      </c>
      <c r="C115" s="215"/>
      <c r="D115" s="215"/>
      <c r="E115" s="216"/>
      <c r="F115" s="216"/>
      <c r="G115" s="216"/>
      <c r="H115" s="217"/>
      <c r="I115" s="218"/>
      <c r="J115" s="219"/>
      <c r="K115" s="220" t="s">
        <v>317</v>
      </c>
      <c r="L115" s="216"/>
      <c r="M115" s="221"/>
      <c r="N115" s="222"/>
      <c r="O115" s="5"/>
    </row>
    <row r="116" spans="1:15" ht="15">
      <c r="A116" s="6"/>
      <c r="B116" s="6"/>
      <c r="C116" s="6"/>
      <c r="D116" s="6"/>
      <c r="E116" s="6"/>
      <c r="F116" s="6"/>
      <c r="G116" s="6"/>
      <c r="H116" s="6"/>
      <c r="I116" s="6"/>
      <c r="J116" s="6"/>
      <c r="K116" s="6"/>
      <c r="L116" s="6"/>
      <c r="M116" s="6"/>
      <c r="N116"/>
      <c r="O116" s="5"/>
    </row>
    <row r="117" spans="1:17" ht="25.5">
      <c r="A117" s="6"/>
      <c r="B117" s="531" t="s">
        <v>318</v>
      </c>
      <c r="C117" s="531"/>
      <c r="D117" s="531"/>
      <c r="E117" s="223" t="s">
        <v>319</v>
      </c>
      <c r="F117" s="224" t="s">
        <v>320</v>
      </c>
      <c r="G117" s="225"/>
      <c r="H117" s="226" t="s">
        <v>230</v>
      </c>
      <c r="I117" s="226" t="s">
        <v>231</v>
      </c>
      <c r="J117" s="226" t="s">
        <v>232</v>
      </c>
      <c r="K117" s="226" t="s">
        <v>233</v>
      </c>
      <c r="L117" s="226" t="s">
        <v>234</v>
      </c>
      <c r="M117" s="226" t="s">
        <v>235</v>
      </c>
      <c r="N117" s="226" t="s">
        <v>236</v>
      </c>
      <c r="O117" s="226" t="s">
        <v>237</v>
      </c>
      <c r="P117" s="226" t="s">
        <v>213</v>
      </c>
      <c r="Q117" s="226" t="s">
        <v>238</v>
      </c>
    </row>
    <row r="118" spans="1:17" ht="15">
      <c r="A118" s="6"/>
      <c r="B118" s="227"/>
      <c r="C118" s="228"/>
      <c r="D118" s="228"/>
      <c r="E118" s="229"/>
      <c r="F118" s="230"/>
      <c r="G118" s="231"/>
      <c r="H118" s="232"/>
      <c r="I118" s="232"/>
      <c r="J118" s="232"/>
      <c r="K118" s="232"/>
      <c r="L118" s="232"/>
      <c r="M118" s="232"/>
      <c r="N118" s="232"/>
      <c r="O118" s="232"/>
      <c r="P118" s="232"/>
      <c r="Q118" s="233"/>
    </row>
    <row r="119" spans="1:17" ht="15" customHeight="1">
      <c r="A119" s="532" t="s">
        <v>321</v>
      </c>
      <c r="B119" s="525" t="s">
        <v>322</v>
      </c>
      <c r="C119" s="525"/>
      <c r="D119" s="525"/>
      <c r="E119" s="526">
        <v>1.2</v>
      </c>
      <c r="F119" s="527" t="s">
        <v>323</v>
      </c>
      <c r="G119" s="234" t="s">
        <v>324</v>
      </c>
      <c r="H119" s="235"/>
      <c r="I119" s="235"/>
      <c r="J119" s="235"/>
      <c r="K119" s="236">
        <v>15.1</v>
      </c>
      <c r="L119" s="237">
        <v>15</v>
      </c>
      <c r="M119" s="238">
        <v>15.1</v>
      </c>
      <c r="N119" s="239">
        <v>15.1</v>
      </c>
      <c r="O119" s="239">
        <v>15.2</v>
      </c>
      <c r="P119" s="239">
        <v>15.2</v>
      </c>
      <c r="Q119" s="240"/>
    </row>
    <row r="120" spans="1:17" ht="15">
      <c r="A120" s="532"/>
      <c r="B120" s="525"/>
      <c r="C120" s="525"/>
      <c r="D120" s="525"/>
      <c r="E120" s="526"/>
      <c r="F120" s="527"/>
      <c r="G120" s="234" t="s">
        <v>325</v>
      </c>
      <c r="H120" s="235"/>
      <c r="I120" s="235"/>
      <c r="J120" s="235"/>
      <c r="K120" s="236">
        <v>19.45</v>
      </c>
      <c r="L120" s="235">
        <v>13.8</v>
      </c>
      <c r="M120" s="238">
        <v>14.8</v>
      </c>
      <c r="N120" s="239">
        <v>19.45</v>
      </c>
      <c r="O120" s="239">
        <v>14.3</v>
      </c>
      <c r="P120" s="239">
        <v>13.82</v>
      </c>
      <c r="Q120" s="240"/>
    </row>
    <row r="121" spans="1:17" ht="15" customHeight="1">
      <c r="A121" s="532"/>
      <c r="B121" s="528" t="s">
        <v>326</v>
      </c>
      <c r="C121" s="528"/>
      <c r="D121" s="528"/>
      <c r="E121" s="526">
        <v>2.1</v>
      </c>
      <c r="F121" s="527" t="s">
        <v>323</v>
      </c>
      <c r="G121" s="241" t="s">
        <v>324</v>
      </c>
      <c r="H121" s="235">
        <v>98</v>
      </c>
      <c r="I121" s="235">
        <v>48</v>
      </c>
      <c r="J121" s="235">
        <v>98</v>
      </c>
      <c r="K121" s="236">
        <v>116</v>
      </c>
      <c r="L121" s="235">
        <v>220</v>
      </c>
      <c r="M121" s="238">
        <v>231</v>
      </c>
      <c r="N121" s="238">
        <v>116</v>
      </c>
      <c r="O121" s="238">
        <v>122</v>
      </c>
      <c r="P121" s="238">
        <v>243</v>
      </c>
      <c r="Q121" s="242"/>
    </row>
    <row r="122" spans="1:17" ht="15">
      <c r="A122" s="532"/>
      <c r="B122" s="528"/>
      <c r="C122" s="528"/>
      <c r="D122" s="528"/>
      <c r="E122" s="526"/>
      <c r="F122" s="527"/>
      <c r="G122" s="241" t="s">
        <v>325</v>
      </c>
      <c r="H122" s="235">
        <v>63</v>
      </c>
      <c r="I122" s="235">
        <v>85</v>
      </c>
      <c r="J122" s="235">
        <v>82</v>
      </c>
      <c r="K122" s="236">
        <v>168</v>
      </c>
      <c r="L122" s="235">
        <v>266</v>
      </c>
      <c r="M122" s="238">
        <v>376</v>
      </c>
      <c r="N122" s="238">
        <v>168</v>
      </c>
      <c r="O122" s="238">
        <v>247</v>
      </c>
      <c r="P122" s="238">
        <v>495</v>
      </c>
      <c r="Q122" s="242"/>
    </row>
    <row r="123" spans="1:17" ht="15" customHeight="1">
      <c r="A123" s="532"/>
      <c r="B123" s="525" t="s">
        <v>327</v>
      </c>
      <c r="C123" s="525"/>
      <c r="D123" s="525"/>
      <c r="E123" s="526">
        <v>2.2</v>
      </c>
      <c r="F123" s="527" t="s">
        <v>323</v>
      </c>
      <c r="G123" s="234" t="s">
        <v>324</v>
      </c>
      <c r="H123" s="235">
        <v>87</v>
      </c>
      <c r="I123" s="235">
        <v>65</v>
      </c>
      <c r="J123" s="235">
        <v>67</v>
      </c>
      <c r="K123" s="236">
        <v>96.9</v>
      </c>
      <c r="L123" s="235">
        <v>96</v>
      </c>
      <c r="M123" s="238">
        <v>97.1</v>
      </c>
      <c r="N123" s="239">
        <v>96.9</v>
      </c>
      <c r="O123" s="239">
        <v>94.8</v>
      </c>
      <c r="P123" s="239">
        <v>97.1</v>
      </c>
      <c r="Q123" s="240"/>
    </row>
    <row r="124" spans="1:17" ht="15">
      <c r="A124" s="532"/>
      <c r="B124" s="525"/>
      <c r="C124" s="525"/>
      <c r="D124" s="525"/>
      <c r="E124" s="526"/>
      <c r="F124" s="527"/>
      <c r="G124" s="234" t="s">
        <v>325</v>
      </c>
      <c r="H124" s="235">
        <v>96.6</v>
      </c>
      <c r="I124" s="235">
        <v>94.83</v>
      </c>
      <c r="J124" s="235">
        <v>65</v>
      </c>
      <c r="K124" s="236">
        <v>97.7</v>
      </c>
      <c r="L124" s="235">
        <v>97</v>
      </c>
      <c r="M124" s="243">
        <v>96.63</v>
      </c>
      <c r="N124" s="239">
        <v>97.7</v>
      </c>
      <c r="O124" s="239">
        <v>97.7</v>
      </c>
      <c r="P124" s="239">
        <v>96.89</v>
      </c>
      <c r="Q124" s="240"/>
    </row>
    <row r="125" spans="1:17" ht="15" customHeight="1">
      <c r="A125" s="6"/>
      <c r="B125" s="528" t="s">
        <v>328</v>
      </c>
      <c r="C125" s="528"/>
      <c r="D125" s="528"/>
      <c r="E125" s="526">
        <v>1.1</v>
      </c>
      <c r="F125" s="527" t="s">
        <v>323</v>
      </c>
      <c r="G125" s="241" t="s">
        <v>324</v>
      </c>
      <c r="H125" s="235"/>
      <c r="I125" s="235"/>
      <c r="J125" s="235"/>
      <c r="K125" s="236">
        <v>24.7</v>
      </c>
      <c r="L125" s="235">
        <v>18</v>
      </c>
      <c r="M125" s="238">
        <v>24.6</v>
      </c>
      <c r="N125" s="239">
        <v>24.7</v>
      </c>
      <c r="O125" s="239">
        <v>32.8</v>
      </c>
      <c r="P125" s="239">
        <v>32.8</v>
      </c>
      <c r="Q125" s="242"/>
    </row>
    <row r="126" spans="1:17" ht="15">
      <c r="A126" s="6"/>
      <c r="B126" s="528"/>
      <c r="C126" s="528"/>
      <c r="D126" s="528"/>
      <c r="E126" s="526"/>
      <c r="F126" s="527"/>
      <c r="G126" s="241" t="s">
        <v>325</v>
      </c>
      <c r="H126" s="235"/>
      <c r="I126" s="235"/>
      <c r="J126" s="235"/>
      <c r="K126" s="236">
        <v>13.04</v>
      </c>
      <c r="L126" s="235">
        <v>5</v>
      </c>
      <c r="M126" s="243">
        <v>10.84</v>
      </c>
      <c r="N126" s="239">
        <v>13.04</v>
      </c>
      <c r="O126" s="239">
        <v>3</v>
      </c>
      <c r="P126" s="239">
        <v>4.77</v>
      </c>
      <c r="Q126" s="242"/>
    </row>
    <row r="127" spans="1:17" ht="15" customHeight="1">
      <c r="A127" s="6"/>
      <c r="B127" s="530" t="s">
        <v>329</v>
      </c>
      <c r="C127" s="530"/>
      <c r="D127" s="530"/>
      <c r="E127" s="526">
        <v>1.3</v>
      </c>
      <c r="F127" s="527" t="s">
        <v>323</v>
      </c>
      <c r="G127" s="234" t="s">
        <v>324</v>
      </c>
      <c r="H127" s="235"/>
      <c r="I127" s="235"/>
      <c r="J127" s="235"/>
      <c r="K127" s="236">
        <v>15.3</v>
      </c>
      <c r="L127" s="235">
        <v>30</v>
      </c>
      <c r="M127" s="238">
        <v>30.5</v>
      </c>
      <c r="N127" s="239">
        <v>15.3</v>
      </c>
      <c r="O127" s="239">
        <v>15.5</v>
      </c>
      <c r="P127" s="239">
        <v>31.1</v>
      </c>
      <c r="Q127" s="240"/>
    </row>
    <row r="128" spans="1:17" ht="15">
      <c r="A128" s="6"/>
      <c r="B128" s="530"/>
      <c r="C128" s="530"/>
      <c r="D128" s="530"/>
      <c r="E128" s="526"/>
      <c r="F128" s="527"/>
      <c r="G128" s="234" t="s">
        <v>325</v>
      </c>
      <c r="H128" s="235"/>
      <c r="I128" s="235"/>
      <c r="J128" s="235"/>
      <c r="K128" s="236">
        <v>19.39</v>
      </c>
      <c r="L128" s="235">
        <v>21</v>
      </c>
      <c r="M128" s="243">
        <v>24.12</v>
      </c>
      <c r="N128" s="239">
        <v>19.39</v>
      </c>
      <c r="O128" s="239">
        <v>15.6</v>
      </c>
      <c r="P128" s="239">
        <v>22.06</v>
      </c>
      <c r="Q128" s="240"/>
    </row>
    <row r="129" spans="1:17" ht="15" customHeight="1">
      <c r="A129" s="6"/>
      <c r="B129" s="528" t="s">
        <v>330</v>
      </c>
      <c r="C129" s="528"/>
      <c r="D129" s="528"/>
      <c r="E129" s="526">
        <v>1.4</v>
      </c>
      <c r="F129" s="527" t="s">
        <v>323</v>
      </c>
      <c r="G129" s="241" t="s">
        <v>324</v>
      </c>
      <c r="H129" s="235"/>
      <c r="I129" s="235"/>
      <c r="J129" s="235"/>
      <c r="K129" s="236">
        <v>603</v>
      </c>
      <c r="L129" s="235">
        <v>1170</v>
      </c>
      <c r="M129" s="238">
        <v>1205</v>
      </c>
      <c r="N129" s="238">
        <v>603</v>
      </c>
      <c r="O129" s="238">
        <v>627</v>
      </c>
      <c r="P129" s="238">
        <v>1253</v>
      </c>
      <c r="Q129" s="244"/>
    </row>
    <row r="130" spans="1:17" ht="15">
      <c r="A130" s="6"/>
      <c r="B130" s="528"/>
      <c r="C130" s="528"/>
      <c r="D130" s="528"/>
      <c r="E130" s="526"/>
      <c r="F130" s="527"/>
      <c r="G130" s="241" t="s">
        <v>325</v>
      </c>
      <c r="H130" s="235"/>
      <c r="I130" s="235"/>
      <c r="J130" s="235"/>
      <c r="K130" s="236">
        <v>718</v>
      </c>
      <c r="L130" s="235">
        <v>1295</v>
      </c>
      <c r="M130" s="238">
        <v>1534</v>
      </c>
      <c r="N130" s="238">
        <v>718</v>
      </c>
      <c r="O130" s="238">
        <v>776</v>
      </c>
      <c r="P130" s="238">
        <v>1498</v>
      </c>
      <c r="Q130" s="244"/>
    </row>
    <row r="131" spans="1:17" ht="14.25" customHeight="1">
      <c r="A131" s="6"/>
      <c r="B131" s="525" t="s">
        <v>331</v>
      </c>
      <c r="C131" s="525"/>
      <c r="D131" s="525"/>
      <c r="E131" s="526">
        <v>1.5</v>
      </c>
      <c r="F131" s="527" t="s">
        <v>323</v>
      </c>
      <c r="G131" s="234" t="s">
        <v>324</v>
      </c>
      <c r="H131" s="235"/>
      <c r="I131" s="235"/>
      <c r="J131" s="235"/>
      <c r="K131" s="236">
        <v>354</v>
      </c>
      <c r="L131" s="235">
        <v>700</v>
      </c>
      <c r="M131" s="238">
        <v>707</v>
      </c>
      <c r="N131" s="238">
        <v>354</v>
      </c>
      <c r="O131" s="238">
        <v>357</v>
      </c>
      <c r="P131" s="238">
        <v>714</v>
      </c>
      <c r="Q131" s="240"/>
    </row>
    <row r="132" spans="1:17" ht="15">
      <c r="A132" s="6"/>
      <c r="B132" s="525"/>
      <c r="C132" s="525"/>
      <c r="D132" s="525"/>
      <c r="E132" s="526"/>
      <c r="F132" s="527"/>
      <c r="G132" s="234" t="s">
        <v>325</v>
      </c>
      <c r="H132" s="235"/>
      <c r="I132" s="235"/>
      <c r="J132" s="235"/>
      <c r="K132" s="236">
        <v>472</v>
      </c>
      <c r="L132" s="235">
        <v>802</v>
      </c>
      <c r="M132" s="238">
        <v>1015</v>
      </c>
      <c r="N132" s="238">
        <v>472</v>
      </c>
      <c r="O132" s="238">
        <v>541</v>
      </c>
      <c r="P132" s="238">
        <v>900</v>
      </c>
      <c r="Q132" s="240"/>
    </row>
    <row r="133" spans="1:17" ht="14.25" customHeight="1">
      <c r="A133" s="6"/>
      <c r="B133" s="528" t="s">
        <v>332</v>
      </c>
      <c r="C133" s="528"/>
      <c r="D133" s="528"/>
      <c r="E133" s="526">
        <v>1.6</v>
      </c>
      <c r="F133" s="527" t="s">
        <v>323</v>
      </c>
      <c r="G133" s="241" t="s">
        <v>324</v>
      </c>
      <c r="H133" s="235"/>
      <c r="I133" s="235"/>
      <c r="J133" s="235"/>
      <c r="K133" s="236">
        <v>91.1</v>
      </c>
      <c r="L133" s="235">
        <v>91</v>
      </c>
      <c r="M133" s="238">
        <v>91</v>
      </c>
      <c r="N133" s="239">
        <v>91.1</v>
      </c>
      <c r="O133" s="239">
        <v>91</v>
      </c>
      <c r="P133" s="239">
        <v>92.1</v>
      </c>
      <c r="Q133" s="244"/>
    </row>
    <row r="134" spans="1:17" ht="15">
      <c r="A134" s="6"/>
      <c r="B134" s="528"/>
      <c r="C134" s="528"/>
      <c r="D134" s="528"/>
      <c r="E134" s="526"/>
      <c r="F134" s="527"/>
      <c r="G134" s="241" t="s">
        <v>325</v>
      </c>
      <c r="H134" s="235"/>
      <c r="I134" s="235"/>
      <c r="J134" s="235"/>
      <c r="K134" s="236">
        <v>93.62</v>
      </c>
      <c r="L134" s="235">
        <v>94</v>
      </c>
      <c r="M134" s="243">
        <v>94.3</v>
      </c>
      <c r="N134" s="239">
        <v>93.62</v>
      </c>
      <c r="O134" s="239">
        <v>94.5</v>
      </c>
      <c r="P134" s="239">
        <v>94.1</v>
      </c>
      <c r="Q134" s="244"/>
    </row>
    <row r="135" spans="1:17" ht="14.25" customHeight="1">
      <c r="A135" s="6"/>
      <c r="B135" s="525" t="s">
        <v>333</v>
      </c>
      <c r="C135" s="525"/>
      <c r="D135" s="525"/>
      <c r="E135" s="526">
        <v>3.1</v>
      </c>
      <c r="F135" s="527" t="s">
        <v>323</v>
      </c>
      <c r="G135" s="234" t="s">
        <v>324</v>
      </c>
      <c r="H135" s="235">
        <v>441</v>
      </c>
      <c r="I135" s="235">
        <v>441</v>
      </c>
      <c r="J135" s="235">
        <v>94</v>
      </c>
      <c r="K135" s="236">
        <v>98</v>
      </c>
      <c r="L135" s="237">
        <v>97.5</v>
      </c>
      <c r="M135" s="238">
        <v>98.5</v>
      </c>
      <c r="N135" s="239">
        <v>98</v>
      </c>
      <c r="O135" s="239">
        <v>99</v>
      </c>
      <c r="P135" s="239">
        <v>99</v>
      </c>
      <c r="Q135" s="240"/>
    </row>
    <row r="136" spans="1:17" ht="15">
      <c r="A136" s="6"/>
      <c r="B136" s="525"/>
      <c r="C136" s="525"/>
      <c r="D136" s="525"/>
      <c r="E136" s="526"/>
      <c r="F136" s="527"/>
      <c r="G136" s="234" t="s">
        <v>325</v>
      </c>
      <c r="H136" s="235">
        <v>382</v>
      </c>
      <c r="I136" s="235">
        <v>413</v>
      </c>
      <c r="J136" s="235">
        <v>98</v>
      </c>
      <c r="K136" s="236">
        <v>97.63</v>
      </c>
      <c r="L136" s="237">
        <v>98.1</v>
      </c>
      <c r="M136" s="243">
        <v>97.91</v>
      </c>
      <c r="N136" s="239">
        <v>97.63</v>
      </c>
      <c r="O136" s="239">
        <v>98.1</v>
      </c>
      <c r="P136" s="239">
        <v>98.19</v>
      </c>
      <c r="Q136" s="240"/>
    </row>
    <row r="137" spans="1:17" ht="14.25" customHeight="1">
      <c r="A137" s="6"/>
      <c r="B137" s="529" t="s">
        <v>334</v>
      </c>
      <c r="C137" s="529"/>
      <c r="D137" s="529"/>
      <c r="E137" s="526">
        <v>3.2</v>
      </c>
      <c r="F137" s="527" t="s">
        <v>323</v>
      </c>
      <c r="G137" s="241" t="s">
        <v>324</v>
      </c>
      <c r="H137" s="235"/>
      <c r="I137" s="235"/>
      <c r="J137" s="235"/>
      <c r="K137" s="236">
        <v>91</v>
      </c>
      <c r="L137" s="235">
        <v>90</v>
      </c>
      <c r="M137" s="238">
        <v>91</v>
      </c>
      <c r="N137" s="238">
        <v>91</v>
      </c>
      <c r="O137" s="238">
        <v>91.9</v>
      </c>
      <c r="P137" s="239">
        <v>92</v>
      </c>
      <c r="Q137" s="244"/>
    </row>
    <row r="138" spans="1:17" ht="15">
      <c r="A138" s="6"/>
      <c r="B138" s="529"/>
      <c r="C138" s="529"/>
      <c r="D138" s="529"/>
      <c r="E138" s="526"/>
      <c r="F138" s="527"/>
      <c r="G138" s="241" t="s">
        <v>325</v>
      </c>
      <c r="H138" s="235"/>
      <c r="I138" s="235"/>
      <c r="J138" s="235"/>
      <c r="K138" s="236">
        <v>94</v>
      </c>
      <c r="L138" s="235">
        <v>100</v>
      </c>
      <c r="M138" s="243">
        <v>77.82</v>
      </c>
      <c r="N138" s="238">
        <v>94</v>
      </c>
      <c r="O138" s="238">
        <v>88.7</v>
      </c>
      <c r="P138" s="239">
        <v>100</v>
      </c>
      <c r="Q138" s="244"/>
    </row>
    <row r="139" spans="1:17" ht="15" customHeight="1">
      <c r="A139" s="6"/>
      <c r="B139" s="525" t="s">
        <v>335</v>
      </c>
      <c r="C139" s="525"/>
      <c r="D139" s="525"/>
      <c r="E139" s="526">
        <v>3.3</v>
      </c>
      <c r="F139" s="527" t="s">
        <v>323</v>
      </c>
      <c r="G139" s="234" t="s">
        <v>324</v>
      </c>
      <c r="H139" s="235">
        <v>48</v>
      </c>
      <c r="I139" s="235">
        <v>127</v>
      </c>
      <c r="J139" s="235">
        <v>90</v>
      </c>
      <c r="K139" s="236">
        <v>93.1</v>
      </c>
      <c r="L139" s="235">
        <v>93</v>
      </c>
      <c r="M139" s="238">
        <v>93.1</v>
      </c>
      <c r="N139" s="238">
        <v>93.1</v>
      </c>
      <c r="O139" s="238">
        <v>93.2</v>
      </c>
      <c r="P139" s="239">
        <v>93</v>
      </c>
      <c r="Q139" s="244"/>
    </row>
    <row r="140" spans="1:17" ht="15">
      <c r="A140" s="6"/>
      <c r="B140" s="525"/>
      <c r="C140" s="525"/>
      <c r="D140" s="525"/>
      <c r="E140" s="526"/>
      <c r="F140" s="527"/>
      <c r="G140" s="234" t="s">
        <v>325</v>
      </c>
      <c r="H140" s="235">
        <v>127</v>
      </c>
      <c r="I140" s="235">
        <v>564</v>
      </c>
      <c r="J140" s="235">
        <v>92</v>
      </c>
      <c r="K140" s="236">
        <v>66</v>
      </c>
      <c r="L140" s="235">
        <v>92</v>
      </c>
      <c r="M140" s="243">
        <v>74.96</v>
      </c>
      <c r="N140" s="238">
        <v>66</v>
      </c>
      <c r="O140" s="238">
        <v>41.4</v>
      </c>
      <c r="P140" s="239">
        <v>20.43</v>
      </c>
      <c r="Q140" s="244"/>
    </row>
    <row r="141" spans="1:17" ht="15" customHeight="1">
      <c r="A141" s="6"/>
      <c r="B141" s="528" t="s">
        <v>336</v>
      </c>
      <c r="C141" s="528"/>
      <c r="D141" s="528"/>
      <c r="E141" s="526">
        <v>3.4</v>
      </c>
      <c r="F141" s="527" t="s">
        <v>323</v>
      </c>
      <c r="G141" s="241" t="s">
        <v>324</v>
      </c>
      <c r="H141" s="235"/>
      <c r="I141" s="235"/>
      <c r="J141" s="235"/>
      <c r="K141" s="236">
        <v>67</v>
      </c>
      <c r="L141" s="235">
        <v>67</v>
      </c>
      <c r="M141" s="238">
        <v>67.7</v>
      </c>
      <c r="N141" s="238">
        <v>67</v>
      </c>
      <c r="O141" s="238">
        <v>68.3</v>
      </c>
      <c r="P141" s="239">
        <v>68.8</v>
      </c>
      <c r="Q141" s="244"/>
    </row>
    <row r="142" spans="1:17" ht="15">
      <c r="A142" s="6"/>
      <c r="B142" s="528"/>
      <c r="C142" s="528"/>
      <c r="D142" s="528"/>
      <c r="E142" s="526"/>
      <c r="F142" s="527"/>
      <c r="G142" s="241" t="s">
        <v>325</v>
      </c>
      <c r="H142" s="235"/>
      <c r="I142" s="235"/>
      <c r="J142" s="235"/>
      <c r="K142" s="236">
        <v>87.6</v>
      </c>
      <c r="L142" s="235">
        <v>92</v>
      </c>
      <c r="M142" s="238">
        <v>100</v>
      </c>
      <c r="N142" s="239">
        <v>87.6</v>
      </c>
      <c r="O142" s="239">
        <v>82.2</v>
      </c>
      <c r="P142" s="239">
        <v>82.8</v>
      </c>
      <c r="Q142" s="244"/>
    </row>
    <row r="143" spans="1:17" ht="15" customHeight="1">
      <c r="A143" s="6"/>
      <c r="B143" s="525" t="s">
        <v>337</v>
      </c>
      <c r="C143" s="525"/>
      <c r="D143" s="525"/>
      <c r="E143" s="526">
        <v>4.1</v>
      </c>
      <c r="F143" s="527" t="s">
        <v>323</v>
      </c>
      <c r="G143" s="234" t="s">
        <v>324</v>
      </c>
      <c r="H143" s="235">
        <v>70</v>
      </c>
      <c r="I143" s="235">
        <v>74</v>
      </c>
      <c r="J143" s="235">
        <v>76</v>
      </c>
      <c r="K143" s="236">
        <v>93.2</v>
      </c>
      <c r="L143" s="235">
        <v>93</v>
      </c>
      <c r="M143" s="238">
        <v>93.4</v>
      </c>
      <c r="N143" s="239">
        <v>93.2</v>
      </c>
      <c r="O143" s="239">
        <v>93.6</v>
      </c>
      <c r="P143" s="239">
        <v>93.86</v>
      </c>
      <c r="Q143" s="244"/>
    </row>
    <row r="144" spans="1:17" ht="15">
      <c r="A144" s="6"/>
      <c r="B144" s="525"/>
      <c r="C144" s="525"/>
      <c r="D144" s="525"/>
      <c r="E144" s="526"/>
      <c r="F144" s="527"/>
      <c r="G144" s="234" t="s">
        <v>325</v>
      </c>
      <c r="H144" s="235">
        <v>82.4</v>
      </c>
      <c r="I144" s="235">
        <v>94</v>
      </c>
      <c r="J144" s="235">
        <v>92</v>
      </c>
      <c r="K144" s="236">
        <v>97.09</v>
      </c>
      <c r="L144" s="235">
        <v>94</v>
      </c>
      <c r="M144" s="243">
        <v>96.12</v>
      </c>
      <c r="N144" s="239">
        <v>97.09</v>
      </c>
      <c r="O144" s="239">
        <v>95.9</v>
      </c>
      <c r="P144" s="239">
        <v>95.83</v>
      </c>
      <c r="Q144" s="244"/>
    </row>
    <row r="145" spans="1:17" ht="15" customHeight="1">
      <c r="A145" s="6"/>
      <c r="B145" s="528" t="s">
        <v>338</v>
      </c>
      <c r="C145" s="528"/>
      <c r="D145" s="528"/>
      <c r="E145" s="526">
        <v>5.1</v>
      </c>
      <c r="F145" s="527" t="s">
        <v>323</v>
      </c>
      <c r="G145" s="241" t="s">
        <v>324</v>
      </c>
      <c r="H145" s="235">
        <v>7</v>
      </c>
      <c r="I145" s="235">
        <v>15</v>
      </c>
      <c r="J145" s="235">
        <v>11</v>
      </c>
      <c r="K145" s="236">
        <v>48</v>
      </c>
      <c r="L145" s="235">
        <v>8</v>
      </c>
      <c r="M145" s="238">
        <v>100</v>
      </c>
      <c r="N145" s="238">
        <v>48</v>
      </c>
      <c r="O145" s="238">
        <v>51</v>
      </c>
      <c r="P145" s="238">
        <v>100</v>
      </c>
      <c r="Q145" s="244"/>
    </row>
    <row r="146" spans="1:17" ht="15">
      <c r="A146" s="6"/>
      <c r="B146" s="528"/>
      <c r="C146" s="528"/>
      <c r="D146" s="528"/>
      <c r="E146" s="526"/>
      <c r="F146" s="527"/>
      <c r="G146" s="241" t="s">
        <v>325</v>
      </c>
      <c r="H146" s="235">
        <v>7</v>
      </c>
      <c r="I146" s="235">
        <v>14</v>
      </c>
      <c r="J146" s="235">
        <v>11</v>
      </c>
      <c r="K146" s="236">
        <v>48</v>
      </c>
      <c r="L146" s="235">
        <v>8</v>
      </c>
      <c r="M146" s="243">
        <v>98.91</v>
      </c>
      <c r="N146" s="238">
        <v>48</v>
      </c>
      <c r="O146" s="238">
        <v>51</v>
      </c>
      <c r="P146" s="238">
        <v>100</v>
      </c>
      <c r="Q146" s="244"/>
    </row>
    <row r="147" spans="1:17" ht="15" customHeight="1">
      <c r="A147" s="6"/>
      <c r="B147" s="525" t="s">
        <v>339</v>
      </c>
      <c r="C147" s="525"/>
      <c r="D147" s="525"/>
      <c r="E147" s="526">
        <v>5.2</v>
      </c>
      <c r="F147" s="527" t="s">
        <v>323</v>
      </c>
      <c r="G147" s="234" t="s">
        <v>324</v>
      </c>
      <c r="H147" s="235">
        <v>3</v>
      </c>
      <c r="I147" s="235">
        <v>3</v>
      </c>
      <c r="J147" s="235">
        <v>6</v>
      </c>
      <c r="K147" s="236">
        <v>3</v>
      </c>
      <c r="L147" s="235">
        <v>3</v>
      </c>
      <c r="M147" s="245">
        <v>3</v>
      </c>
      <c r="N147" s="238">
        <v>3</v>
      </c>
      <c r="O147" s="238">
        <v>50</v>
      </c>
      <c r="P147" s="238">
        <v>100</v>
      </c>
      <c r="Q147" s="244"/>
    </row>
    <row r="148" spans="1:17" ht="15">
      <c r="A148" s="6"/>
      <c r="B148" s="525"/>
      <c r="C148" s="525"/>
      <c r="D148" s="525"/>
      <c r="E148" s="526"/>
      <c r="F148" s="527"/>
      <c r="G148" s="234" t="s">
        <v>325</v>
      </c>
      <c r="H148" s="235">
        <v>2</v>
      </c>
      <c r="I148" s="235">
        <v>0</v>
      </c>
      <c r="J148" s="235">
        <v>3</v>
      </c>
      <c r="K148" s="236">
        <v>6</v>
      </c>
      <c r="L148" s="235">
        <v>3</v>
      </c>
      <c r="M148" s="245">
        <v>3</v>
      </c>
      <c r="N148" s="238">
        <v>6</v>
      </c>
      <c r="O148" s="238">
        <v>0</v>
      </c>
      <c r="P148" s="238">
        <v>100</v>
      </c>
      <c r="Q148" s="244"/>
    </row>
    <row r="149" spans="1:17" ht="15" customHeight="1">
      <c r="A149" s="6"/>
      <c r="B149" s="528" t="s">
        <v>340</v>
      </c>
      <c r="C149" s="528"/>
      <c r="D149" s="528"/>
      <c r="E149" s="526">
        <v>5.3</v>
      </c>
      <c r="F149" s="527" t="s">
        <v>323</v>
      </c>
      <c r="G149" s="241" t="s">
        <v>324</v>
      </c>
      <c r="H149" s="235">
        <v>0</v>
      </c>
      <c r="I149" s="235">
        <v>0</v>
      </c>
      <c r="J149" s="235">
        <v>66.6</v>
      </c>
      <c r="K149" s="236">
        <v>1</v>
      </c>
      <c r="L149" s="235">
        <v>2</v>
      </c>
      <c r="M149" s="245">
        <v>2</v>
      </c>
      <c r="N149" s="238">
        <v>1</v>
      </c>
      <c r="O149" s="238">
        <v>67</v>
      </c>
      <c r="P149" s="239">
        <v>83.3</v>
      </c>
      <c r="Q149" s="244"/>
    </row>
    <row r="150" spans="1:17" ht="15">
      <c r="A150" s="6"/>
      <c r="B150" s="528"/>
      <c r="C150" s="528"/>
      <c r="D150" s="528"/>
      <c r="E150" s="526"/>
      <c r="F150" s="527"/>
      <c r="G150" s="241" t="s">
        <v>325</v>
      </c>
      <c r="H150" s="235">
        <v>0</v>
      </c>
      <c r="I150" s="235">
        <v>0</v>
      </c>
      <c r="J150" s="235">
        <v>50</v>
      </c>
      <c r="K150" s="236">
        <v>1</v>
      </c>
      <c r="L150" s="235">
        <v>3</v>
      </c>
      <c r="M150" s="245">
        <v>3</v>
      </c>
      <c r="N150" s="238">
        <v>1</v>
      </c>
      <c r="O150" s="238">
        <v>100</v>
      </c>
      <c r="P150" s="239">
        <v>100</v>
      </c>
      <c r="Q150" s="244"/>
    </row>
    <row r="151" spans="1:17" ht="15" customHeight="1">
      <c r="A151" s="6"/>
      <c r="B151" s="524" t="s">
        <v>341</v>
      </c>
      <c r="C151" s="524"/>
      <c r="D151" s="524"/>
      <c r="E151" s="524"/>
      <c r="F151" s="524"/>
      <c r="G151" s="524"/>
      <c r="H151" s="524"/>
      <c r="I151" s="524"/>
      <c r="J151" s="524"/>
      <c r="K151" s="524"/>
      <c r="L151" s="524"/>
      <c r="M151" s="524"/>
      <c r="N151" s="524"/>
      <c r="O151" s="524"/>
      <c r="P151" s="524"/>
      <c r="Q151" s="524"/>
    </row>
    <row r="152" spans="1:17" ht="15.75" customHeight="1">
      <c r="A152" s="6"/>
      <c r="B152" s="524"/>
      <c r="C152" s="524"/>
      <c r="D152" s="524"/>
      <c r="E152" s="524"/>
      <c r="F152" s="524"/>
      <c r="G152" s="524"/>
      <c r="H152" s="524"/>
      <c r="I152" s="524"/>
      <c r="J152" s="524"/>
      <c r="K152" s="524"/>
      <c r="L152" s="524"/>
      <c r="M152" s="524"/>
      <c r="N152" s="524"/>
      <c r="O152" s="524"/>
      <c r="P152" s="524"/>
      <c r="Q152" s="524"/>
    </row>
    <row r="153" spans="1:17" ht="23.25" customHeight="1">
      <c r="A153" s="6"/>
      <c r="B153" s="523" t="s">
        <v>342</v>
      </c>
      <c r="C153" s="523"/>
      <c r="D153" s="523"/>
      <c r="E153" s="520" t="s">
        <v>343</v>
      </c>
      <c r="F153" s="521" t="s">
        <v>344</v>
      </c>
      <c r="G153" s="241" t="s">
        <v>324</v>
      </c>
      <c r="H153" s="238"/>
      <c r="I153" s="238"/>
      <c r="J153" s="238"/>
      <c r="K153" s="238"/>
      <c r="L153" s="238"/>
      <c r="M153" s="238"/>
      <c r="N153" s="238"/>
      <c r="O153" s="238"/>
      <c r="P153" s="239">
        <v>11.1</v>
      </c>
      <c r="Q153" s="238"/>
    </row>
    <row r="154" spans="1:17" ht="22.5" customHeight="1">
      <c r="A154" s="6"/>
      <c r="B154" s="523"/>
      <c r="C154" s="523"/>
      <c r="D154" s="523"/>
      <c r="E154" s="520"/>
      <c r="F154" s="521"/>
      <c r="G154" s="246" t="s">
        <v>325</v>
      </c>
      <c r="H154" s="238"/>
      <c r="I154" s="238"/>
      <c r="J154" s="238"/>
      <c r="K154" s="238"/>
      <c r="L154" s="238"/>
      <c r="M154" s="238"/>
      <c r="N154" s="238"/>
      <c r="O154" s="238"/>
      <c r="P154" s="239">
        <v>24.39</v>
      </c>
      <c r="Q154" s="238"/>
    </row>
    <row r="155" spans="1:17" ht="23.25" customHeight="1">
      <c r="A155" s="6"/>
      <c r="B155" s="519" t="s">
        <v>345</v>
      </c>
      <c r="C155" s="519"/>
      <c r="D155" s="519"/>
      <c r="E155" s="520" t="s">
        <v>343</v>
      </c>
      <c r="F155" s="521" t="s">
        <v>346</v>
      </c>
      <c r="G155" s="234" t="s">
        <v>324</v>
      </c>
      <c r="H155" s="238"/>
      <c r="I155" s="238"/>
      <c r="J155" s="238"/>
      <c r="K155" s="238"/>
      <c r="L155" s="238"/>
      <c r="M155" s="238"/>
      <c r="N155" s="238"/>
      <c r="O155" s="247">
        <v>39.2</v>
      </c>
      <c r="P155" s="239">
        <v>39.1</v>
      </c>
      <c r="Q155" s="238"/>
    </row>
    <row r="156" spans="1:17" ht="22.5" customHeight="1">
      <c r="A156" s="6"/>
      <c r="B156" s="519"/>
      <c r="C156" s="519"/>
      <c r="D156" s="519"/>
      <c r="E156" s="520"/>
      <c r="F156" s="521"/>
      <c r="G156" s="234" t="s">
        <v>325</v>
      </c>
      <c r="H156" s="238"/>
      <c r="I156" s="238"/>
      <c r="J156" s="238"/>
      <c r="K156" s="238"/>
      <c r="L156" s="238"/>
      <c r="M156" s="238"/>
      <c r="N156" s="238"/>
      <c r="O156" s="247">
        <v>51.6</v>
      </c>
      <c r="P156" s="239">
        <v>50.21</v>
      </c>
      <c r="Q156" s="238"/>
    </row>
    <row r="157" spans="1:17" ht="19.5" customHeight="1">
      <c r="A157" s="6"/>
      <c r="B157" s="523" t="s">
        <v>347</v>
      </c>
      <c r="C157" s="523"/>
      <c r="D157" s="523"/>
      <c r="E157" s="520" t="s">
        <v>343</v>
      </c>
      <c r="F157" s="521" t="s">
        <v>346</v>
      </c>
      <c r="G157" s="241" t="s">
        <v>324</v>
      </c>
      <c r="H157" s="238"/>
      <c r="I157" s="238"/>
      <c r="J157" s="238"/>
      <c r="K157" s="238"/>
      <c r="L157" s="238"/>
      <c r="M157" s="238"/>
      <c r="N157" s="238"/>
      <c r="O157" s="247">
        <v>18</v>
      </c>
      <c r="P157" s="239">
        <v>18</v>
      </c>
      <c r="Q157" s="238"/>
    </row>
    <row r="158" spans="1:17" ht="25.5" customHeight="1">
      <c r="A158" s="6"/>
      <c r="B158" s="523"/>
      <c r="C158" s="523"/>
      <c r="D158" s="523"/>
      <c r="E158" s="520"/>
      <c r="F158" s="521"/>
      <c r="G158" s="246" t="s">
        <v>325</v>
      </c>
      <c r="H158" s="238"/>
      <c r="I158" s="238"/>
      <c r="J158" s="238"/>
      <c r="K158" s="238"/>
      <c r="L158" s="238"/>
      <c r="M158" s="238"/>
      <c r="N158" s="238"/>
      <c r="O158" s="247">
        <v>34.1</v>
      </c>
      <c r="P158" s="239">
        <v>30.16</v>
      </c>
      <c r="Q158" s="238"/>
    </row>
    <row r="159" spans="1:17" ht="24.75" customHeight="1">
      <c r="A159" s="6"/>
      <c r="B159" s="519" t="s">
        <v>348</v>
      </c>
      <c r="C159" s="519"/>
      <c r="D159" s="519"/>
      <c r="E159" s="520" t="s">
        <v>343</v>
      </c>
      <c r="F159" s="521" t="s">
        <v>344</v>
      </c>
      <c r="G159" s="234" t="s">
        <v>324</v>
      </c>
      <c r="H159" s="238"/>
      <c r="I159" s="238"/>
      <c r="J159" s="238"/>
      <c r="K159" s="238"/>
      <c r="L159" s="238"/>
      <c r="M159" s="238"/>
      <c r="N159" s="238"/>
      <c r="O159" s="238"/>
      <c r="P159" s="239">
        <v>0.99999</v>
      </c>
      <c r="Q159" s="238"/>
    </row>
    <row r="160" spans="1:17" ht="23.25" customHeight="1">
      <c r="A160" s="6"/>
      <c r="B160" s="519"/>
      <c r="C160" s="519"/>
      <c r="D160" s="519"/>
      <c r="E160" s="520"/>
      <c r="F160" s="521"/>
      <c r="G160" s="234" t="s">
        <v>325</v>
      </c>
      <c r="H160" s="238"/>
      <c r="I160" s="238"/>
      <c r="J160" s="238"/>
      <c r="K160" s="238"/>
      <c r="L160" s="238"/>
      <c r="M160" s="238"/>
      <c r="N160" s="238"/>
      <c r="O160" s="238"/>
      <c r="P160" s="239">
        <v>2.61</v>
      </c>
      <c r="Q160" s="238"/>
    </row>
    <row r="161" spans="1:17" ht="22.5" customHeight="1">
      <c r="A161" s="6"/>
      <c r="B161" s="523" t="s">
        <v>349</v>
      </c>
      <c r="C161" s="523"/>
      <c r="D161" s="523"/>
      <c r="E161" s="520" t="s">
        <v>343</v>
      </c>
      <c r="F161" s="521" t="s">
        <v>344</v>
      </c>
      <c r="G161" s="241" t="s">
        <v>324</v>
      </c>
      <c r="H161" s="238"/>
      <c r="I161" s="238"/>
      <c r="J161" s="238"/>
      <c r="K161" s="238"/>
      <c r="L161" s="238"/>
      <c r="M161" s="238"/>
      <c r="N161" s="238"/>
      <c r="O161" s="238"/>
      <c r="P161" s="239">
        <v>91</v>
      </c>
      <c r="Q161" s="238"/>
    </row>
    <row r="162" spans="1:17" ht="22.5" customHeight="1">
      <c r="A162" s="6"/>
      <c r="B162" s="523"/>
      <c r="C162" s="523"/>
      <c r="D162" s="523"/>
      <c r="E162" s="520"/>
      <c r="F162" s="521"/>
      <c r="G162" s="246" t="s">
        <v>325</v>
      </c>
      <c r="H162" s="238"/>
      <c r="I162" s="238"/>
      <c r="J162" s="238"/>
      <c r="K162" s="238"/>
      <c r="L162" s="238"/>
      <c r="M162" s="238"/>
      <c r="N162" s="238"/>
      <c r="O162" s="238"/>
      <c r="P162" s="239">
        <v>94.1</v>
      </c>
      <c r="Q162" s="238"/>
    </row>
    <row r="163" spans="1:17" ht="19.5" customHeight="1">
      <c r="A163" s="6"/>
      <c r="B163" s="519" t="s">
        <v>350</v>
      </c>
      <c r="C163" s="519"/>
      <c r="D163" s="519"/>
      <c r="E163" s="520" t="s">
        <v>343</v>
      </c>
      <c r="F163" s="521" t="s">
        <v>344</v>
      </c>
      <c r="G163" s="234" t="s">
        <v>324</v>
      </c>
      <c r="H163" s="238"/>
      <c r="I163" s="238"/>
      <c r="J163" s="238"/>
      <c r="K163" s="238"/>
      <c r="L163" s="238"/>
      <c r="M163" s="238"/>
      <c r="N163" s="238"/>
      <c r="O163" s="238"/>
      <c r="P163" s="239">
        <v>83</v>
      </c>
      <c r="Q163" s="238"/>
    </row>
    <row r="164" spans="1:17" ht="23.25" customHeight="1">
      <c r="A164" s="6"/>
      <c r="B164" s="519"/>
      <c r="C164" s="519"/>
      <c r="D164" s="519"/>
      <c r="E164" s="520"/>
      <c r="F164" s="521"/>
      <c r="G164" s="234" t="s">
        <v>325</v>
      </c>
      <c r="H164" s="238"/>
      <c r="I164" s="238"/>
      <c r="J164" s="238"/>
      <c r="K164" s="238"/>
      <c r="L164" s="238"/>
      <c r="M164" s="238"/>
      <c r="N164" s="238"/>
      <c r="O164" s="238"/>
      <c r="P164" s="239">
        <v>100</v>
      </c>
      <c r="Q164" s="238"/>
    </row>
    <row r="165" spans="1:17" ht="15">
      <c r="A165" s="6"/>
      <c r="B165" s="6"/>
      <c r="C165" s="6"/>
      <c r="D165" s="6"/>
      <c r="E165" s="6"/>
      <c r="F165" s="6"/>
      <c r="G165" s="150"/>
      <c r="H165" s="6"/>
      <c r="I165" s="6"/>
      <c r="J165" s="6"/>
      <c r="K165" s="6"/>
      <c r="L165" s="6"/>
      <c r="M165" s="6"/>
      <c r="N165" s="6"/>
      <c r="P165" s="5"/>
      <c r="Q165" s="5"/>
    </row>
    <row r="166" spans="1:17" ht="15">
      <c r="A166" s="6"/>
      <c r="B166" s="6"/>
      <c r="C166" s="6"/>
      <c r="D166" s="6"/>
      <c r="E166" s="6"/>
      <c r="F166" s="6"/>
      <c r="G166" s="150"/>
      <c r="H166" s="6"/>
      <c r="I166" s="6"/>
      <c r="J166" s="6"/>
      <c r="K166" s="6"/>
      <c r="L166" s="6"/>
      <c r="M166" s="6"/>
      <c r="N166" s="6"/>
      <c r="P166" s="5"/>
      <c r="Q166" s="5"/>
    </row>
    <row r="167" spans="1:17" ht="15">
      <c r="A167" s="6"/>
      <c r="B167" s="6"/>
      <c r="C167" s="6"/>
      <c r="D167" s="6"/>
      <c r="E167" s="6"/>
      <c r="F167" s="6"/>
      <c r="G167" s="150"/>
      <c r="H167" s="6"/>
      <c r="I167" s="6"/>
      <c r="J167" s="6"/>
      <c r="K167" s="6"/>
      <c r="L167" s="6"/>
      <c r="M167" s="6"/>
      <c r="N167" s="6"/>
      <c r="P167" s="5"/>
      <c r="Q167" s="5"/>
    </row>
    <row r="168" spans="1:17" ht="15">
      <c r="A168" s="6"/>
      <c r="B168" s="6"/>
      <c r="C168" s="6"/>
      <c r="D168" s="6"/>
      <c r="E168" s="6"/>
      <c r="F168" s="6"/>
      <c r="G168" s="150"/>
      <c r="H168" s="6"/>
      <c r="I168" s="6"/>
      <c r="J168" s="6"/>
      <c r="K168" s="6"/>
      <c r="L168" s="6"/>
      <c r="M168" s="6"/>
      <c r="N168" s="6"/>
      <c r="P168" s="5"/>
      <c r="Q168" s="5"/>
    </row>
    <row r="169" spans="1:17" ht="15">
      <c r="A169" s="6"/>
      <c r="B169" s="6"/>
      <c r="C169" s="6"/>
      <c r="D169" s="6"/>
      <c r="E169" s="6"/>
      <c r="F169" s="6"/>
      <c r="G169" s="150"/>
      <c r="H169" s="6"/>
      <c r="I169" s="6"/>
      <c r="J169" s="6"/>
      <c r="K169" s="6"/>
      <c r="L169" s="6"/>
      <c r="M169" s="6"/>
      <c r="N169" s="6"/>
      <c r="P169" s="5"/>
      <c r="Q169" s="5"/>
    </row>
    <row r="170" spans="1:17" ht="14.25" customHeight="1">
      <c r="A170" s="6"/>
      <c r="B170" s="6"/>
      <c r="C170" s="6"/>
      <c r="D170" s="6"/>
      <c r="E170" s="6"/>
      <c r="F170" s="6"/>
      <c r="G170" s="150"/>
      <c r="H170" s="6"/>
      <c r="I170" s="6"/>
      <c r="J170" s="6"/>
      <c r="K170" s="6"/>
      <c r="L170" s="6"/>
      <c r="M170" s="6"/>
      <c r="N170" s="6"/>
      <c r="P170" s="5"/>
      <c r="Q170" s="5"/>
    </row>
    <row r="171" spans="1:17" ht="15.75">
      <c r="A171" s="6"/>
      <c r="B171" s="248"/>
      <c r="C171" s="6"/>
      <c r="D171" s="6"/>
      <c r="E171" s="6"/>
      <c r="F171" s="6"/>
      <c r="G171" s="150"/>
      <c r="H171" s="6"/>
      <c r="I171" s="6"/>
      <c r="J171" s="6"/>
      <c r="K171" s="6"/>
      <c r="L171" s="6"/>
      <c r="M171" s="6"/>
      <c r="N171" s="6"/>
      <c r="P171" s="5"/>
      <c r="Q171" s="5"/>
    </row>
    <row r="172" spans="1:17" ht="25.5">
      <c r="A172" s="6"/>
      <c r="B172" s="249" t="s">
        <v>351</v>
      </c>
      <c r="C172" s="6"/>
      <c r="D172" s="6"/>
      <c r="E172" s="250" t="s">
        <v>319</v>
      </c>
      <c r="F172" s="251" t="s">
        <v>320</v>
      </c>
      <c r="G172" s="225"/>
      <c r="H172" s="226" t="str">
        <f aca="true" t="shared" si="4" ref="H172:N172">C30</f>
        <v>P1</v>
      </c>
      <c r="I172" s="226" t="str">
        <f t="shared" si="4"/>
        <v>P2</v>
      </c>
      <c r="J172" s="226" t="str">
        <f t="shared" si="4"/>
        <v>P3</v>
      </c>
      <c r="K172" s="226" t="str">
        <f t="shared" si="4"/>
        <v>P4</v>
      </c>
      <c r="L172" s="226" t="str">
        <f t="shared" si="4"/>
        <v>P5</v>
      </c>
      <c r="M172" s="226" t="str">
        <f t="shared" si="4"/>
        <v>P6</v>
      </c>
      <c r="N172" s="226" t="str">
        <f t="shared" si="4"/>
        <v>P7</v>
      </c>
      <c r="O172" s="226" t="str">
        <f>L30</f>
        <v>P10</v>
      </c>
      <c r="P172" s="226" t="str">
        <f>M30</f>
        <v>P11</v>
      </c>
      <c r="Q172" s="226" t="str">
        <f>N30</f>
        <v>P12</v>
      </c>
    </row>
    <row r="173" spans="1:17" ht="14.25" customHeight="1">
      <c r="A173" s="6"/>
      <c r="B173" s="522" t="str">
        <f>IF(ISBLANK(B119),"",(B119))</f>
        <v>Pacientes gestionados (atendidos) por la comunidad de los 30 Municipios Priorizados durante el tratamiento (número y porcentaje) - TOP 10 -</v>
      </c>
      <c r="C173" s="522"/>
      <c r="D173" s="522"/>
      <c r="E173" s="517">
        <f>IF(ISBLANK(E119),"",(E119))</f>
        <v>1.2</v>
      </c>
      <c r="F173" s="518" t="str">
        <f>IF(ISBLANK(F119),"",(F119))</f>
        <v>Yes</v>
      </c>
      <c r="G173" s="252" t="s">
        <v>324</v>
      </c>
      <c r="H173" s="253">
        <f aca="true" t="shared" si="5" ref="H173:L178">H125</f>
        <v>0</v>
      </c>
      <c r="I173" s="253">
        <f aca="true" t="shared" si="6" ref="I173:I178">+I119</f>
        <v>0</v>
      </c>
      <c r="J173" s="253">
        <f t="shared" si="5"/>
        <v>0</v>
      </c>
      <c r="K173" s="253">
        <f aca="true" t="shared" si="7" ref="K173:K178">+K119</f>
        <v>15.1</v>
      </c>
      <c r="L173" s="253">
        <f t="shared" si="5"/>
        <v>18</v>
      </c>
      <c r="M173" s="253">
        <f aca="true" t="shared" si="8" ref="M173:M178">+M119</f>
        <v>15.1</v>
      </c>
      <c r="N173" s="254">
        <f aca="true" t="shared" si="9" ref="N173:Q178">N119</f>
        <v>15.1</v>
      </c>
      <c r="O173" s="254">
        <f t="shared" si="9"/>
        <v>15.2</v>
      </c>
      <c r="P173" s="254">
        <f t="shared" si="9"/>
        <v>15.2</v>
      </c>
      <c r="Q173" s="254">
        <f t="shared" si="9"/>
        <v>0</v>
      </c>
    </row>
    <row r="174" spans="1:17" ht="15">
      <c r="A174" s="6"/>
      <c r="B174" s="522"/>
      <c r="C174" s="522"/>
      <c r="D174" s="522"/>
      <c r="E174" s="517"/>
      <c r="F174" s="518"/>
      <c r="G174" s="255" t="s">
        <v>325</v>
      </c>
      <c r="H174" s="253">
        <f t="shared" si="5"/>
        <v>0</v>
      </c>
      <c r="I174" s="253">
        <f t="shared" si="6"/>
        <v>0</v>
      </c>
      <c r="J174" s="253">
        <f t="shared" si="5"/>
        <v>0</v>
      </c>
      <c r="K174" s="253">
        <f t="shared" si="7"/>
        <v>19.45</v>
      </c>
      <c r="L174" s="253">
        <f t="shared" si="5"/>
        <v>5</v>
      </c>
      <c r="M174" s="253">
        <f t="shared" si="8"/>
        <v>14.8</v>
      </c>
      <c r="N174" s="254">
        <f t="shared" si="9"/>
        <v>19.45</v>
      </c>
      <c r="O174" s="254">
        <f t="shared" si="9"/>
        <v>14.3</v>
      </c>
      <c r="P174" s="254">
        <f t="shared" si="9"/>
        <v>13.82</v>
      </c>
      <c r="Q174" s="254">
        <f t="shared" si="9"/>
        <v>0</v>
      </c>
    </row>
    <row r="175" spans="1:17" ht="15">
      <c r="A175" s="6"/>
      <c r="B175" s="513" t="str">
        <f>IF(ISBLANK(B121),"",(B121))</f>
        <v>   Número de casos nuevos de tuberculosis Bacteriologicamente (+) diagnosticados recientemente en cárceles  - TOP 10 -</v>
      </c>
      <c r="C175" s="513"/>
      <c r="D175" s="513"/>
      <c r="E175" s="514">
        <f>IF(ISBLANK(E121),"",(E121))</f>
        <v>2.1</v>
      </c>
      <c r="F175" s="515" t="str">
        <f>IF(ISBLANK(F121),"",(F121))</f>
        <v>Yes</v>
      </c>
      <c r="G175" s="256" t="s">
        <v>324</v>
      </c>
      <c r="H175" s="253">
        <f t="shared" si="5"/>
        <v>0</v>
      </c>
      <c r="I175" s="253">
        <f t="shared" si="6"/>
        <v>48</v>
      </c>
      <c r="J175" s="253">
        <f t="shared" si="5"/>
        <v>0</v>
      </c>
      <c r="K175" s="253">
        <f t="shared" si="7"/>
        <v>116</v>
      </c>
      <c r="L175" s="257">
        <f t="shared" si="5"/>
        <v>30</v>
      </c>
      <c r="M175" s="253">
        <f t="shared" si="8"/>
        <v>231</v>
      </c>
      <c r="N175" s="258">
        <f t="shared" si="9"/>
        <v>116</v>
      </c>
      <c r="O175" s="258">
        <f t="shared" si="9"/>
        <v>122</v>
      </c>
      <c r="P175" s="258">
        <f t="shared" si="9"/>
        <v>243</v>
      </c>
      <c r="Q175" s="258">
        <f t="shared" si="9"/>
        <v>0</v>
      </c>
    </row>
    <row r="176" spans="1:17" ht="14.25" customHeight="1">
      <c r="A176" s="6"/>
      <c r="B176" s="513"/>
      <c r="C176" s="513"/>
      <c r="D176" s="513"/>
      <c r="E176" s="514"/>
      <c r="F176" s="515"/>
      <c r="G176" s="256" t="s">
        <v>325</v>
      </c>
      <c r="H176" s="253">
        <f t="shared" si="5"/>
        <v>0</v>
      </c>
      <c r="I176" s="253">
        <f t="shared" si="6"/>
        <v>85</v>
      </c>
      <c r="J176" s="253">
        <f t="shared" si="5"/>
        <v>0</v>
      </c>
      <c r="K176" s="253">
        <f t="shared" si="7"/>
        <v>168</v>
      </c>
      <c r="L176" s="257">
        <f t="shared" si="5"/>
        <v>21</v>
      </c>
      <c r="M176" s="253">
        <f t="shared" si="8"/>
        <v>376</v>
      </c>
      <c r="N176" s="258">
        <f t="shared" si="9"/>
        <v>168</v>
      </c>
      <c r="O176" s="258">
        <f t="shared" si="9"/>
        <v>247</v>
      </c>
      <c r="P176" s="258">
        <f t="shared" si="9"/>
        <v>495</v>
      </c>
      <c r="Q176" s="258">
        <f t="shared" si="9"/>
        <v>0</v>
      </c>
    </row>
    <row r="177" spans="1:17" ht="14.25" customHeight="1">
      <c r="A177" s="6"/>
      <c r="B177" s="516" t="str">
        <f>IF(ISBLANK(B123),"",(B123))</f>
        <v> Tasa de éxito del tratamiento para casos de tuberculosis con BK+ recientemente diagnosticados detectados en cárceles - TOP 10 -</v>
      </c>
      <c r="C177" s="516"/>
      <c r="D177" s="516"/>
      <c r="E177" s="517">
        <f>IF(ISBLANK(E123),"",(E123))</f>
        <v>2.2</v>
      </c>
      <c r="F177" s="518" t="str">
        <f>IF(ISBLANK(F123),"",(F123))</f>
        <v>Yes</v>
      </c>
      <c r="G177" s="255" t="s">
        <v>324</v>
      </c>
      <c r="H177" s="253">
        <f t="shared" si="5"/>
        <v>0</v>
      </c>
      <c r="I177" s="253">
        <f t="shared" si="6"/>
        <v>65</v>
      </c>
      <c r="J177" s="253">
        <f t="shared" si="5"/>
        <v>0</v>
      </c>
      <c r="K177" s="253">
        <f t="shared" si="7"/>
        <v>96.9</v>
      </c>
      <c r="L177" s="253">
        <f t="shared" si="5"/>
        <v>1170</v>
      </c>
      <c r="M177" s="253">
        <f t="shared" si="8"/>
        <v>97.1</v>
      </c>
      <c r="N177" s="254">
        <f t="shared" si="9"/>
        <v>96.9</v>
      </c>
      <c r="O177" s="254">
        <f t="shared" si="9"/>
        <v>94.8</v>
      </c>
      <c r="P177" s="254">
        <f t="shared" si="9"/>
        <v>97.1</v>
      </c>
      <c r="Q177" s="254">
        <f t="shared" si="9"/>
        <v>0</v>
      </c>
    </row>
    <row r="178" spans="1:17" ht="15" customHeight="1">
      <c r="A178" s="6"/>
      <c r="B178" s="516"/>
      <c r="C178" s="516"/>
      <c r="D178" s="516"/>
      <c r="E178" s="517"/>
      <c r="F178" s="518"/>
      <c r="G178" s="259" t="s">
        <v>325</v>
      </c>
      <c r="H178" s="260">
        <f t="shared" si="5"/>
        <v>0</v>
      </c>
      <c r="I178" s="253">
        <f t="shared" si="6"/>
        <v>94.83</v>
      </c>
      <c r="J178" s="260">
        <f t="shared" si="5"/>
        <v>0</v>
      </c>
      <c r="K178" s="253">
        <f t="shared" si="7"/>
        <v>97.7</v>
      </c>
      <c r="L178" s="260">
        <f t="shared" si="5"/>
        <v>1295</v>
      </c>
      <c r="M178" s="253">
        <f t="shared" si="8"/>
        <v>96.63</v>
      </c>
      <c r="N178" s="254">
        <f t="shared" si="9"/>
        <v>97.7</v>
      </c>
      <c r="O178" s="254">
        <f t="shared" si="9"/>
        <v>97.7</v>
      </c>
      <c r="P178" s="254">
        <f t="shared" si="9"/>
        <v>96.89</v>
      </c>
      <c r="Q178" s="254">
        <f t="shared" si="9"/>
        <v>0</v>
      </c>
    </row>
  </sheetData>
  <sheetProtection selectLockedCells="1" selectUnlockedCells="1"/>
  <mergeCells count="109">
    <mergeCell ref="C6:D6"/>
    <mergeCell ref="E6:F6"/>
    <mergeCell ref="I6:J6"/>
    <mergeCell ref="C8:D8"/>
    <mergeCell ref="I8:J8"/>
    <mergeCell ref="B2:J2"/>
    <mergeCell ref="C4:D4"/>
    <mergeCell ref="E4:F4"/>
    <mergeCell ref="G4:J4"/>
    <mergeCell ref="C10:D10"/>
    <mergeCell ref="E10:F10"/>
    <mergeCell ref="G10:J10"/>
    <mergeCell ref="C12:D12"/>
    <mergeCell ref="E12:F12"/>
    <mergeCell ref="G12:J12"/>
    <mergeCell ref="B21:J21"/>
    <mergeCell ref="D24:E24"/>
    <mergeCell ref="G24:H24"/>
    <mergeCell ref="I24:J24"/>
    <mergeCell ref="B14:J14"/>
    <mergeCell ref="H16:I16"/>
    <mergeCell ref="B18:C18"/>
    <mergeCell ref="D18:F18"/>
    <mergeCell ref="B71:C71"/>
    <mergeCell ref="B72:C72"/>
    <mergeCell ref="B73:C73"/>
    <mergeCell ref="B108:B112"/>
    <mergeCell ref="B26:C26"/>
    <mergeCell ref="B29:N29"/>
    <mergeCell ref="F47:I47"/>
    <mergeCell ref="B60:D60"/>
    <mergeCell ref="B117:D117"/>
    <mergeCell ref="A119:A124"/>
    <mergeCell ref="B119:D120"/>
    <mergeCell ref="E119:E120"/>
    <mergeCell ref="B123:D124"/>
    <mergeCell ref="E123:E124"/>
    <mergeCell ref="F123:F124"/>
    <mergeCell ref="B125:D126"/>
    <mergeCell ref="E125:E126"/>
    <mergeCell ref="F125:F126"/>
    <mergeCell ref="F119:F120"/>
    <mergeCell ref="B121:D122"/>
    <mergeCell ref="E121:E122"/>
    <mergeCell ref="F121:F122"/>
    <mergeCell ref="B127:D128"/>
    <mergeCell ref="E127:E128"/>
    <mergeCell ref="F127:F128"/>
    <mergeCell ref="B129:D130"/>
    <mergeCell ref="E129:E130"/>
    <mergeCell ref="F129:F130"/>
    <mergeCell ref="B131:D132"/>
    <mergeCell ref="E131:E132"/>
    <mergeCell ref="F131:F132"/>
    <mergeCell ref="B133:D134"/>
    <mergeCell ref="E133:E134"/>
    <mergeCell ref="F133:F134"/>
    <mergeCell ref="B135:D136"/>
    <mergeCell ref="E135:E136"/>
    <mergeCell ref="F135:F136"/>
    <mergeCell ref="B137:D138"/>
    <mergeCell ref="E137:E138"/>
    <mergeCell ref="F137:F138"/>
    <mergeCell ref="B139:D140"/>
    <mergeCell ref="E139:E140"/>
    <mergeCell ref="F139:F140"/>
    <mergeCell ref="B141:D142"/>
    <mergeCell ref="E141:E142"/>
    <mergeCell ref="F141:F142"/>
    <mergeCell ref="B143:D144"/>
    <mergeCell ref="E143:E144"/>
    <mergeCell ref="F143:F144"/>
    <mergeCell ref="B145:D146"/>
    <mergeCell ref="E145:E146"/>
    <mergeCell ref="F145:F146"/>
    <mergeCell ref="B151:Q152"/>
    <mergeCell ref="B153:D154"/>
    <mergeCell ref="E153:E154"/>
    <mergeCell ref="F153:F154"/>
    <mergeCell ref="B147:D148"/>
    <mergeCell ref="E147:E148"/>
    <mergeCell ref="F147:F148"/>
    <mergeCell ref="B149:D150"/>
    <mergeCell ref="E149:E150"/>
    <mergeCell ref="F149:F150"/>
    <mergeCell ref="B155:D156"/>
    <mergeCell ref="E155:E156"/>
    <mergeCell ref="F155:F156"/>
    <mergeCell ref="B157:D158"/>
    <mergeCell ref="E157:E158"/>
    <mergeCell ref="F157:F158"/>
    <mergeCell ref="B159:D160"/>
    <mergeCell ref="E159:E160"/>
    <mergeCell ref="F159:F160"/>
    <mergeCell ref="B161:D162"/>
    <mergeCell ref="E161:E162"/>
    <mergeCell ref="F161:F162"/>
    <mergeCell ref="B163:D164"/>
    <mergeCell ref="E163:E164"/>
    <mergeCell ref="F163:F164"/>
    <mergeCell ref="B173:D174"/>
    <mergeCell ref="E173:E174"/>
    <mergeCell ref="F173:F174"/>
    <mergeCell ref="B175:D176"/>
    <mergeCell ref="E175:E176"/>
    <mergeCell ref="F175:F176"/>
    <mergeCell ref="B177:D178"/>
    <mergeCell ref="E177:E178"/>
    <mergeCell ref="F177:F178"/>
  </mergeCells>
  <conditionalFormatting sqref="C30:N30 C94:N94">
    <cfRule type="cellIs" priority="1" dxfId="62" operator="equal" stopIfTrue="1">
      <formula>$C$16</formula>
    </cfRule>
  </conditionalFormatting>
  <conditionalFormatting sqref="C12:D12">
    <cfRule type="cellIs" priority="2" dxfId="63" operator="equal" stopIfTrue="1">
      <formula>"C"</formula>
    </cfRule>
    <cfRule type="cellIs" priority="3" dxfId="64" operator="equal" stopIfTrue="1">
      <formula>"B2"</formula>
    </cfRule>
    <cfRule type="cellIs" priority="4" dxfId="65" operator="equal" stopIfTrue="1">
      <formula>"B1"</formula>
    </cfRule>
  </conditionalFormatting>
  <conditionalFormatting sqref="H172:Q172 H117:Q118 H143:J143 L143:M143">
    <cfRule type="cellIs" priority="5" dxfId="66" operator="equal" stopIfTrue="1">
      <formula>$C$16</formula>
    </cfRule>
  </conditionalFormatting>
  <conditionalFormatting sqref="F47:I47">
    <cfRule type="expression" priority="6" dxfId="67" stopIfTrue="1">
      <formula>LEFT($F$47,2)="OK"</formula>
    </cfRule>
  </conditionalFormatting>
  <conditionalFormatting sqref="L143 H143:J143">
    <cfRule type="cellIs" priority="7" dxfId="66" operator="equal" stopIfTrue="1">
      <formula>$C$16</formula>
    </cfRule>
  </conditionalFormatting>
  <dataValidations count="9">
    <dataValidation type="list" allowBlank="1" showErrorMessage="1" sqref="G6 B108">
      <formula1>Component</formula1>
      <formula2>0</formula2>
    </dataValidation>
    <dataValidation type="list" allowBlank="1" showErrorMessage="1" sqref="C16">
      <formula1>PERIOD</formula1>
      <formula2>0</formula2>
    </dataValidation>
    <dataValidation type="list" allowBlank="1" showErrorMessage="1" sqref="G10:J10">
      <formula1>LFA</formula1>
      <formula2>0</formula2>
    </dataValidation>
    <dataValidation type="list" allowBlank="1" showErrorMessage="1" sqref="C12:D12">
      <formula1>Rating</formula1>
      <formula2>0</formula2>
    </dataValidation>
    <dataValidation type="list" allowBlank="1" showErrorMessage="1" sqref="I8:J8">
      <formula1>Phase</formula1>
      <formula2>0</formula2>
    </dataValidation>
    <dataValidation type="list" allowBlank="1" showErrorMessage="1" sqref="G8">
      <formula1>Round</formula1>
      <formula2>0</formula2>
    </dataValidation>
    <dataValidation type="list" allowBlank="1" showErrorMessage="1" sqref="D26">
      <formula1>Currency</formula1>
      <formula2>0</formula2>
    </dataValidation>
    <dataValidation type="list" allowBlank="1" showErrorMessage="1" sqref="C108:C112">
      <formula1>Medicaments</formula1>
      <formula2>0</formula2>
    </dataValidation>
    <dataValidation type="list" allowBlank="1" showErrorMessage="1" sqref="C4:D4">
      <formula1>Ciudades</formula1>
      <formula2>0</formula2>
    </dataValidation>
  </dataValidations>
  <printOptions/>
  <pageMargins left="0.7083333333333334" right="0.7083333333333334" top="0.7479166666666667" bottom="0.7486111111111111" header="0.5118055555555555" footer="0.31527777777777777"/>
  <pageSetup fitToHeight="8" fitToWidth="1" horizontalDpi="300" verticalDpi="300" orientation="landscape" paperSize="9"/>
  <headerFooter alignWithMargins="0">
    <oddFooter>&amp;L&amp;F&amp;C&amp;A&amp;R&amp;D</oddFooter>
  </headerFooter>
  <rowBreaks count="1" manualBreakCount="1">
    <brk id="48" max="255" man="1"/>
  </rowBreaks>
  <drawing r:id="rId3"/>
  <legacyDrawing r:id="rId2"/>
</worksheet>
</file>

<file path=xl/worksheets/sheet4.xml><?xml version="1.0" encoding="utf-8"?>
<worksheet xmlns="http://schemas.openxmlformats.org/spreadsheetml/2006/main" xmlns:r="http://schemas.openxmlformats.org/officeDocument/2006/relationships">
  <sheetPr>
    <tabColor indexed="51"/>
    <pageSetUpPr fitToPage="1"/>
  </sheetPr>
  <dimension ref="A1:X13"/>
  <sheetViews>
    <sheetView showGridLines="0" zoomScale="70" zoomScaleNormal="70" zoomScaleSheetLayoutView="100" zoomScalePageLayoutView="0" workbookViewId="0" topLeftCell="A1">
      <selection activeCell="M4" sqref="M4"/>
    </sheetView>
  </sheetViews>
  <sheetFormatPr defaultColWidth="11.421875" defaultRowHeight="15"/>
  <cols>
    <col min="1" max="1" width="21.140625" style="6" customWidth="1"/>
    <col min="2" max="2" width="12.57421875" style="6" customWidth="1"/>
    <col min="3" max="3" width="20.57421875" style="6" customWidth="1"/>
    <col min="4" max="4" width="15.28125" style="6" customWidth="1"/>
    <col min="5" max="5" width="11.7109375" style="6" customWidth="1"/>
    <col min="6" max="6" width="18.7109375" style="6" customWidth="1"/>
    <col min="7" max="7" width="17.00390625" style="6" customWidth="1"/>
    <col min="8" max="8" width="18.421875" style="6" customWidth="1"/>
    <col min="9" max="9" width="9.421875" style="6" customWidth="1"/>
    <col min="10" max="10" width="13.00390625" style="6" customWidth="1"/>
    <col min="11" max="11" width="11.421875" style="6" customWidth="1"/>
    <col min="12" max="12" width="8.140625" style="6" customWidth="1"/>
    <col min="13" max="13" width="9.7109375" style="6" customWidth="1"/>
    <col min="14" max="14" width="8.57421875" style="6" customWidth="1"/>
    <col min="15" max="15" width="7.140625" style="6" customWidth="1"/>
    <col min="16" max="16384" width="11.421875" style="6" customWidth="1"/>
  </cols>
  <sheetData>
    <row r="1" spans="1:10" ht="21" customHeight="1">
      <c r="A1" s="150"/>
      <c r="B1" s="150"/>
      <c r="C1" s="150"/>
      <c r="D1" s="150"/>
      <c r="E1" s="150"/>
      <c r="F1" s="150"/>
      <c r="G1" s="40"/>
      <c r="H1" s="150"/>
      <c r="I1" s="150"/>
      <c r="J1" s="150"/>
    </row>
    <row r="2" ht="25.5" customHeight="1"/>
    <row r="3" spans="2:20" ht="36">
      <c r="B3" s="561" t="str">
        <f>+"Tablero de mando: "&amp;" "&amp;+'Introducción de datos'!C4&amp;" - "&amp;+'Introducción de datos'!G6</f>
        <v>Tablero de mando:  El Salvador - TB</v>
      </c>
      <c r="C3" s="561"/>
      <c r="D3" s="561"/>
      <c r="E3" s="561"/>
      <c r="F3" s="561"/>
      <c r="G3" s="561"/>
      <c r="H3" s="561"/>
      <c r="I3" s="561"/>
      <c r="J3" s="561"/>
      <c r="K3" s="261"/>
      <c r="L3" s="261"/>
      <c r="M3" s="261"/>
      <c r="N3" s="262"/>
      <c r="O3" s="262"/>
      <c r="P3" s="262"/>
      <c r="Q3" s="262"/>
      <c r="R3" s="262"/>
      <c r="S3" s="262"/>
      <c r="T3" s="262"/>
    </row>
    <row r="4" spans="12:20" ht="15" customHeight="1">
      <c r="L4" s="262"/>
      <c r="M4" s="262"/>
      <c r="N4" s="262"/>
      <c r="O4" s="262"/>
      <c r="P4" s="262"/>
      <c r="Q4" s="262"/>
      <c r="R4" s="262"/>
      <c r="S4" s="262"/>
      <c r="T4" s="262"/>
    </row>
    <row r="5" spans="12:20" ht="15">
      <c r="L5" s="262"/>
      <c r="M5" s="262"/>
      <c r="N5" s="262"/>
      <c r="O5" s="262"/>
      <c r="P5" s="262"/>
      <c r="Q5" s="262"/>
      <c r="R5" s="262"/>
      <c r="S5" s="262"/>
      <c r="T5" s="262"/>
    </row>
    <row r="6" spans="1:21" ht="32.25" customHeight="1">
      <c r="A6" s="263" t="s">
        <v>189</v>
      </c>
      <c r="B6" s="562" t="str">
        <f>+'Introducción de datos'!C4</f>
        <v>El Salvador</v>
      </c>
      <c r="C6" s="562"/>
      <c r="D6" s="563" t="s">
        <v>191</v>
      </c>
      <c r="E6" s="563"/>
      <c r="F6" s="564" t="str">
        <f>+'Introducción de datos'!G4</f>
        <v>Prevention and control of tuberculosis in high risk populations in 30
municipalities in El Salvador</v>
      </c>
      <c r="G6" s="564"/>
      <c r="H6" s="564"/>
      <c r="I6" s="564"/>
      <c r="J6" s="564"/>
      <c r="K6" s="264"/>
      <c r="L6" s="265"/>
      <c r="M6" s="264"/>
      <c r="N6" s="264"/>
      <c r="O6" s="264"/>
      <c r="P6" s="266"/>
      <c r="Q6" s="267"/>
      <c r="R6" s="267"/>
      <c r="S6" s="267"/>
      <c r="T6" s="267"/>
      <c r="U6" s="267"/>
    </row>
    <row r="7" spans="2:21" ht="8.25" customHeight="1">
      <c r="B7" s="268"/>
      <c r="C7" s="269"/>
      <c r="D7" s="269"/>
      <c r="E7" s="270"/>
      <c r="F7" s="270"/>
      <c r="G7" s="271"/>
      <c r="H7" s="271"/>
      <c r="K7" s="264"/>
      <c r="L7" s="264"/>
      <c r="M7" s="264"/>
      <c r="N7" s="264"/>
      <c r="O7" s="264"/>
      <c r="P7" s="266"/>
      <c r="Q7" s="267"/>
      <c r="R7" s="267"/>
      <c r="S7" s="267"/>
      <c r="T7" s="267"/>
      <c r="U7" s="267"/>
    </row>
    <row r="8" spans="3:21" ht="3.75" customHeight="1">
      <c r="C8" s="272"/>
      <c r="D8" s="272"/>
      <c r="E8" s="272"/>
      <c r="F8" s="272"/>
      <c r="G8" s="272"/>
      <c r="H8" s="272"/>
      <c r="I8" s="272"/>
      <c r="J8" s="272"/>
      <c r="K8" s="264"/>
      <c r="L8" s="264"/>
      <c r="M8" s="264"/>
      <c r="N8" s="264"/>
      <c r="O8" s="273"/>
      <c r="P8" s="266"/>
      <c r="Q8" s="273"/>
      <c r="R8" s="274"/>
      <c r="S8" s="267"/>
      <c r="T8" s="267"/>
      <c r="U8" s="267"/>
    </row>
    <row r="9" spans="1:24" ht="25.5" customHeight="1">
      <c r="A9" s="275" t="s">
        <v>195</v>
      </c>
      <c r="B9" s="276" t="str">
        <f>+'Introducción de datos'!G6</f>
        <v>TB</v>
      </c>
      <c r="C9" s="277" t="s">
        <v>193</v>
      </c>
      <c r="D9" s="278" t="str">
        <f>+'Introducción de datos'!C6</f>
        <v>SLV-910-G08-T</v>
      </c>
      <c r="E9" s="557" t="s">
        <v>352</v>
      </c>
      <c r="F9" s="557"/>
      <c r="G9" s="279">
        <f>+'Introducción de datos'!C10</f>
        <v>40360</v>
      </c>
      <c r="H9" s="275" t="s">
        <v>353</v>
      </c>
      <c r="I9" s="560">
        <f>+'Introducción de datos'!I6</f>
        <v>4607119</v>
      </c>
      <c r="J9" s="560"/>
      <c r="K9" s="264"/>
      <c r="L9" s="264"/>
      <c r="M9" s="264"/>
      <c r="N9" s="264"/>
      <c r="O9" s="273"/>
      <c r="P9" s="266"/>
      <c r="Q9" s="273"/>
      <c r="R9" s="274"/>
      <c r="S9" s="267"/>
      <c r="T9" s="280"/>
      <c r="U9" s="280"/>
      <c r="V9" s="272"/>
      <c r="W9" s="272"/>
      <c r="X9" s="272"/>
    </row>
    <row r="10" spans="1:21" ht="25.5" customHeight="1">
      <c r="A10" s="275" t="s">
        <v>200</v>
      </c>
      <c r="B10" s="281" t="str">
        <f>IF(ISBLANK('Introducción de datos'!G8),"",'Introducción de datos'!G8)</f>
        <v>Ronda 9</v>
      </c>
      <c r="C10" s="277" t="s">
        <v>202</v>
      </c>
      <c r="D10" s="282" t="str">
        <f>+'Introducción de datos'!I8</f>
        <v>Fase 2</v>
      </c>
      <c r="E10" s="557" t="s">
        <v>354</v>
      </c>
      <c r="F10" s="557"/>
      <c r="G10" s="556" t="str">
        <f>+'Introducción de datos'!C8</f>
        <v>Ministerio de Salud </v>
      </c>
      <c r="H10" s="556"/>
      <c r="I10" s="556"/>
      <c r="J10" s="556"/>
      <c r="K10" s="284"/>
      <c r="L10" s="284"/>
      <c r="M10" s="264"/>
      <c r="N10" s="284"/>
      <c r="O10" s="273"/>
      <c r="P10" s="266"/>
      <c r="Q10" s="280"/>
      <c r="R10" s="274"/>
      <c r="S10" s="267"/>
      <c r="T10" s="280"/>
      <c r="U10" s="280"/>
    </row>
    <row r="11" spans="1:21" ht="25.5" customHeight="1">
      <c r="A11" s="275" t="s">
        <v>355</v>
      </c>
      <c r="B11" s="283" t="str">
        <f>+'Introducción de datos'!C16</f>
        <v>P9</v>
      </c>
      <c r="C11" s="277" t="s">
        <v>356</v>
      </c>
      <c r="D11" s="285">
        <f>+'Introducción de datos'!E16</f>
        <v>41821</v>
      </c>
      <c r="E11" s="557" t="s">
        <v>357</v>
      </c>
      <c r="F11" s="557"/>
      <c r="G11" s="285">
        <f>+'Introducción de datos'!G16</f>
        <v>42004</v>
      </c>
      <c r="H11" s="275" t="s">
        <v>358</v>
      </c>
      <c r="I11" s="559" t="str">
        <f>+'Introducción de datos'!C12</f>
        <v>A1</v>
      </c>
      <c r="J11" s="559"/>
      <c r="K11" s="286"/>
      <c r="L11" s="284"/>
      <c r="M11" s="264"/>
      <c r="N11" s="284"/>
      <c r="O11" s="284"/>
      <c r="P11" s="266"/>
      <c r="Q11" s="280"/>
      <c r="R11" s="274"/>
      <c r="S11" s="267"/>
      <c r="T11" s="287"/>
      <c r="U11" s="280"/>
    </row>
    <row r="12" spans="1:24" ht="25.5" customHeight="1">
      <c r="A12" s="275" t="s">
        <v>205</v>
      </c>
      <c r="B12" s="556" t="str">
        <f>+'Introducción de datos'!G10</f>
        <v>STI (Swiss Tropical Institute), </v>
      </c>
      <c r="C12" s="556"/>
      <c r="D12" s="556"/>
      <c r="E12" s="557" t="s">
        <v>209</v>
      </c>
      <c r="F12" s="557"/>
      <c r="G12" s="556" t="str">
        <f>+'Introducción de datos'!G12</f>
        <v>Giulia Perrone</v>
      </c>
      <c r="H12" s="556"/>
      <c r="I12" s="556"/>
      <c r="J12" s="556"/>
      <c r="K12" s="284"/>
      <c r="L12" s="284"/>
      <c r="M12" s="264"/>
      <c r="N12" s="284"/>
      <c r="O12" s="267"/>
      <c r="P12" s="266"/>
      <c r="Q12" s="280"/>
      <c r="R12" s="274"/>
      <c r="S12" s="267"/>
      <c r="T12" s="280"/>
      <c r="U12" s="288"/>
      <c r="V12" s="280"/>
      <c r="W12" s="287"/>
      <c r="X12" s="280"/>
    </row>
    <row r="13" spans="1:21" ht="25.5" customHeight="1">
      <c r="A13" s="275" t="s">
        <v>217</v>
      </c>
      <c r="B13" s="556" t="str">
        <f>+'Introducción de datos'!D18</f>
        <v>UCP/UFE/MINSAL.</v>
      </c>
      <c r="C13" s="556"/>
      <c r="D13" s="556"/>
      <c r="E13" s="557" t="s">
        <v>359</v>
      </c>
      <c r="F13" s="557"/>
      <c r="G13" s="558">
        <f>+'Introducción de datos'!J16</f>
        <v>42101</v>
      </c>
      <c r="H13" s="558"/>
      <c r="I13" s="558"/>
      <c r="J13" s="558"/>
      <c r="K13" s="267"/>
      <c r="L13" s="289"/>
      <c r="M13" s="289"/>
      <c r="N13" s="289"/>
      <c r="O13" s="267"/>
      <c r="P13" s="289"/>
      <c r="Q13" s="289"/>
      <c r="R13" s="274"/>
      <c r="S13" s="267"/>
      <c r="T13" s="289"/>
      <c r="U13" s="290"/>
    </row>
  </sheetData>
  <sheetProtection selectLockedCells="1" selectUnlockedCells="1"/>
  <mergeCells count="16">
    <mergeCell ref="E9:F9"/>
    <mergeCell ref="I9:J9"/>
    <mergeCell ref="E10:F10"/>
    <mergeCell ref="G10:J10"/>
    <mergeCell ref="B3:J3"/>
    <mergeCell ref="B6:C6"/>
    <mergeCell ref="D6:E6"/>
    <mergeCell ref="F6:J6"/>
    <mergeCell ref="B13:D13"/>
    <mergeCell ref="E13:F13"/>
    <mergeCell ref="G13:J13"/>
    <mergeCell ref="E11:F11"/>
    <mergeCell ref="I11:J11"/>
    <mergeCell ref="B12:D12"/>
    <mergeCell ref="E12:F12"/>
    <mergeCell ref="G12:J12"/>
  </mergeCells>
  <conditionalFormatting sqref="I11:J11">
    <cfRule type="cellIs" priority="1" dxfId="68" operator="equal" stopIfTrue="1">
      <formula>"C"</formula>
    </cfRule>
    <cfRule type="cellIs" priority="2" dxfId="64" operator="equal" stopIfTrue="1">
      <formula>"B2"</formula>
    </cfRule>
    <cfRule type="cellIs" priority="3" dxfId="65" operator="equal" stopIfTrue="1">
      <formula>"B1"</formula>
    </cfRule>
  </conditionalFormatting>
  <dataValidations count="2">
    <dataValidation type="date" operator="greaterThan" allowBlank="1" showErrorMessage="1" error="the date can´t be earlier than the start date" sqref="G11">
      <formula1>D11</formula1>
    </dataValidation>
    <dataValidation type="list" allowBlank="1" showErrorMessage="1" sqref="G7">
      <formula1>$K$8:$K$9</formula1>
      <formula2>0</formula2>
    </dataValidation>
  </dataValidations>
  <printOptions/>
  <pageMargins left="0.7083333333333334" right="0.7083333333333334" top="0.7479166666666667" bottom="0.7486111111111111" header="0.5118055555555555" footer="0.31527777777777777"/>
  <pageSetup fitToHeight="1" fitToWidth="1" horizontalDpi="300" verticalDpi="300" orientation="landscape" paperSize="9"/>
  <headerFooter alignWithMargins="0">
    <oddFooter>&amp;L&amp;F&amp;C&amp;A&amp;R&amp;D</oddFooter>
  </headerFooter>
  <drawing r:id="rId1"/>
</worksheet>
</file>

<file path=xl/worksheets/sheet5.xml><?xml version="1.0" encoding="utf-8"?>
<worksheet xmlns="http://schemas.openxmlformats.org/spreadsheetml/2006/main" xmlns:r="http://schemas.openxmlformats.org/officeDocument/2006/relationships">
  <sheetPr>
    <tabColor indexed="27"/>
  </sheetPr>
  <dimension ref="A1:O33"/>
  <sheetViews>
    <sheetView showGridLines="0" zoomScalePageLayoutView="0" workbookViewId="0" topLeftCell="A1">
      <selection activeCell="I9" sqref="I9:K9"/>
    </sheetView>
  </sheetViews>
  <sheetFormatPr defaultColWidth="9.140625" defaultRowHeight="15"/>
  <cols>
    <col min="1" max="1" width="3.57421875" style="0" customWidth="1"/>
    <col min="2" max="2" width="11.28125" style="0" customWidth="1"/>
    <col min="3" max="3" width="5.140625" style="0" customWidth="1"/>
    <col min="4" max="4" width="12.421875" style="0" customWidth="1"/>
    <col min="5" max="5" width="11.421875" style="0" customWidth="1"/>
    <col min="6" max="6" width="28.00390625" style="0" customWidth="1"/>
    <col min="7" max="7" width="3.8515625" style="0" customWidth="1"/>
    <col min="8" max="8" width="14.00390625" style="0" customWidth="1"/>
    <col min="9" max="9" width="15.8515625" style="0" customWidth="1"/>
    <col min="10" max="10" width="13.8515625" style="0" customWidth="1"/>
    <col min="11" max="11" width="17.00390625" style="0" customWidth="1"/>
    <col min="12" max="12" width="3.7109375" style="0" customWidth="1"/>
  </cols>
  <sheetData>
    <row r="1" spans="2:11" ht="30.75" customHeight="1">
      <c r="B1" s="6"/>
      <c r="C1" s="6"/>
      <c r="D1" s="6"/>
      <c r="E1" s="6"/>
      <c r="F1" s="6"/>
      <c r="G1" s="6"/>
      <c r="H1" s="6"/>
      <c r="I1" s="6"/>
      <c r="J1" s="6"/>
      <c r="K1" s="6"/>
    </row>
    <row r="2" spans="2:15" ht="27.75" customHeight="1">
      <c r="B2" s="541" t="str">
        <f>+"Cuadro de mando:  "&amp;"  "&amp;+'Introducción de datos'!C4&amp;" - "&amp;'Introducción de datos'!G6</f>
        <v>Cuadro de mando:    El Salvador - TB</v>
      </c>
      <c r="C2" s="541"/>
      <c r="D2" s="541"/>
      <c r="E2" s="541"/>
      <c r="F2" s="541"/>
      <c r="G2" s="541"/>
      <c r="H2" s="541"/>
      <c r="I2" s="541"/>
      <c r="J2" s="541"/>
      <c r="K2" s="541"/>
      <c r="L2" s="291"/>
      <c r="M2" s="291"/>
      <c r="N2" s="291"/>
      <c r="O2" s="291"/>
    </row>
    <row r="3" spans="2:12" ht="15">
      <c r="B3" s="292" t="str">
        <f>+'Introducción de datos'!G8</f>
        <v>Ronda 9</v>
      </c>
      <c r="C3" s="577" t="str">
        <f>+'Introducción de datos'!I8</f>
        <v>Fase 2</v>
      </c>
      <c r="D3" s="577"/>
      <c r="E3" s="574"/>
      <c r="F3" s="574"/>
      <c r="G3" s="574"/>
      <c r="H3" s="574"/>
      <c r="I3" s="575" t="str">
        <f>+'Introducción de datos'!B16</f>
        <v>Periodo:</v>
      </c>
      <c r="J3" s="575"/>
      <c r="K3" s="294" t="str">
        <f>+'Introducción de datos'!C16</f>
        <v>P9</v>
      </c>
      <c r="L3" s="295"/>
    </row>
    <row r="4" spans="2:11" ht="15">
      <c r="B4" s="292" t="str">
        <f>+'Introducción de datos'!B12</f>
        <v>Ultima calificación:</v>
      </c>
      <c r="C4" s="573" t="str">
        <f>+'Introducción de datos'!C12</f>
        <v>A1</v>
      </c>
      <c r="D4" s="573"/>
      <c r="E4" s="574" t="str">
        <f>+'Introducción de datos'!C8</f>
        <v>Ministerio de Salud </v>
      </c>
      <c r="F4" s="574"/>
      <c r="G4" s="574"/>
      <c r="H4" s="574"/>
      <c r="I4" s="575" t="str">
        <f>+'Introducción de datos'!D16</f>
        <v>Desde:</v>
      </c>
      <c r="J4" s="575"/>
      <c r="K4" s="296">
        <f>+'Introducción de datos'!E16</f>
        <v>41821</v>
      </c>
    </row>
    <row r="5" spans="2:11" ht="18.75" customHeight="1">
      <c r="B5" s="292"/>
      <c r="C5" s="292"/>
      <c r="D5" s="576" t="str">
        <f>+'Introducción de datos'!G4</f>
        <v>Prevention and control of tuberculosis in high risk populations in 30
municipalities in El Salvador</v>
      </c>
      <c r="E5" s="576"/>
      <c r="F5" s="576"/>
      <c r="G5" s="576"/>
      <c r="H5" s="576"/>
      <c r="I5" s="576"/>
      <c r="J5" s="292" t="str">
        <f>+'Introducción de datos'!F16</f>
        <v>Hasta:</v>
      </c>
      <c r="K5" s="296">
        <f>+'Introducción de datos'!G16</f>
        <v>42004</v>
      </c>
    </row>
    <row r="6" spans="2:11" ht="18.75">
      <c r="B6" s="297"/>
      <c r="C6" s="292"/>
      <c r="D6" s="298"/>
      <c r="E6" s="569" t="s">
        <v>360</v>
      </c>
      <c r="F6" s="569"/>
      <c r="G6" s="569"/>
      <c r="H6" s="569"/>
      <c r="I6" s="6"/>
      <c r="J6" s="6"/>
      <c r="K6" s="6"/>
    </row>
    <row r="7" spans="2:11" ht="10.5" customHeight="1">
      <c r="B7" s="299"/>
      <c r="C7" s="293"/>
      <c r="D7" s="298"/>
      <c r="E7" s="300"/>
      <c r="F7" s="300"/>
      <c r="G7" s="301"/>
      <c r="H7" s="301"/>
      <c r="I7" s="302"/>
      <c r="J7" s="302"/>
      <c r="K7" s="303"/>
    </row>
    <row r="8" spans="2:11" ht="15">
      <c r="B8" s="304" t="str">
        <f>+'Introducción de datos'!B27&amp;" - en ("&amp;'Introducción de datos'!D26&amp;")         "&amp;+I3&amp;" "&amp;+K3</f>
        <v>F1: Presupuesto y desembolsos del Fondo Mundial - en ($)         Periodo: P9</v>
      </c>
      <c r="C8" s="305"/>
      <c r="D8" s="150"/>
      <c r="E8" s="150"/>
      <c r="F8" s="150"/>
      <c r="H8" s="304" t="str">
        <f>+'Introducción de datos'!B49&amp;" - en ("&amp;'Introducción de datos'!D26&amp;")         "&amp;+I3&amp;" "&amp;+K3</f>
        <v>F3: Desembolsos y gastos - en ($)         Periodo: P9</v>
      </c>
      <c r="I8" s="6"/>
      <c r="J8" s="6"/>
      <c r="K8" s="6"/>
    </row>
    <row r="9" spans="2:11" ht="33.75" customHeight="1">
      <c r="B9" s="306" t="s">
        <v>361</v>
      </c>
      <c r="C9" s="570" t="s">
        <v>400</v>
      </c>
      <c r="D9" s="570"/>
      <c r="E9" s="570"/>
      <c r="F9" s="570"/>
      <c r="H9" s="307" t="s">
        <v>361</v>
      </c>
      <c r="I9" s="571" t="s">
        <v>401</v>
      </c>
      <c r="J9" s="571"/>
      <c r="K9" s="571"/>
    </row>
    <row r="10" spans="2:11" ht="15">
      <c r="B10" s="150"/>
      <c r="C10" s="150"/>
      <c r="D10" s="150"/>
      <c r="E10" s="150"/>
      <c r="F10" s="150"/>
      <c r="G10" s="6"/>
      <c r="H10" s="6"/>
      <c r="I10" s="6"/>
      <c r="J10" s="6"/>
      <c r="K10" s="6"/>
    </row>
    <row r="11" spans="2:11" ht="15">
      <c r="B11" s="150"/>
      <c r="C11" s="150"/>
      <c r="D11" s="150"/>
      <c r="E11" s="150"/>
      <c r="F11" s="150"/>
      <c r="G11" s="6"/>
      <c r="H11" s="6"/>
      <c r="I11" s="6"/>
      <c r="J11" s="6"/>
      <c r="K11" s="6"/>
    </row>
    <row r="12" spans="2:11" ht="15">
      <c r="B12" s="150"/>
      <c r="C12" s="150"/>
      <c r="D12" s="150"/>
      <c r="E12" s="150"/>
      <c r="F12" s="150"/>
      <c r="G12" s="6"/>
      <c r="H12" s="6"/>
      <c r="I12" s="6"/>
      <c r="J12" s="6"/>
      <c r="K12" s="6"/>
    </row>
    <row r="13" spans="2:11" ht="15">
      <c r="B13" s="150"/>
      <c r="C13" s="150"/>
      <c r="D13" s="150"/>
      <c r="E13" s="150"/>
      <c r="F13" s="150"/>
      <c r="G13" s="6"/>
      <c r="H13" s="6"/>
      <c r="I13" s="6"/>
      <c r="J13" s="6"/>
      <c r="K13" s="6"/>
    </row>
    <row r="14" spans="2:11" ht="15">
      <c r="B14" s="150"/>
      <c r="C14" s="150"/>
      <c r="D14" s="150"/>
      <c r="E14" s="150"/>
      <c r="F14" s="150"/>
      <c r="G14" s="6"/>
      <c r="H14" s="6"/>
      <c r="I14" s="6"/>
      <c r="J14" s="6"/>
      <c r="K14" s="6"/>
    </row>
    <row r="15" spans="2:13" ht="15">
      <c r="B15" s="150"/>
      <c r="C15" s="150"/>
      <c r="D15" s="150"/>
      <c r="E15" s="150"/>
      <c r="F15" s="150"/>
      <c r="G15" s="6"/>
      <c r="H15" s="6"/>
      <c r="I15" s="6"/>
      <c r="J15" s="6"/>
      <c r="K15" s="6"/>
      <c r="M15" s="308" t="s">
        <v>362</v>
      </c>
    </row>
    <row r="16" spans="2:13" ht="15">
      <c r="B16" s="150"/>
      <c r="C16" s="150"/>
      <c r="D16" s="150"/>
      <c r="E16" s="150"/>
      <c r="F16" s="150"/>
      <c r="G16" s="6"/>
      <c r="H16" s="6"/>
      <c r="I16" s="6"/>
      <c r="J16" s="6"/>
      <c r="K16" s="6"/>
      <c r="M16" s="308" t="s">
        <v>363</v>
      </c>
    </row>
    <row r="17" spans="2:11" ht="15">
      <c r="B17" s="150"/>
      <c r="C17" s="150"/>
      <c r="D17" s="150"/>
      <c r="E17" s="150"/>
      <c r="F17" s="150"/>
      <c r="G17" s="6"/>
      <c r="H17" s="6"/>
      <c r="I17" s="6"/>
      <c r="J17" s="6"/>
      <c r="K17" s="6"/>
    </row>
    <row r="18" spans="2:11" ht="15">
      <c r="B18" s="150"/>
      <c r="C18" s="150"/>
      <c r="D18" s="150"/>
      <c r="E18" s="150"/>
      <c r="F18" s="150"/>
      <c r="G18" s="6"/>
      <c r="H18" s="6"/>
      <c r="I18" s="6"/>
      <c r="J18" s="6"/>
      <c r="K18" s="6"/>
    </row>
    <row r="19" spans="2:11" ht="15">
      <c r="B19" s="150"/>
      <c r="C19" s="150"/>
      <c r="D19" s="150"/>
      <c r="E19" s="150"/>
      <c r="F19" s="150"/>
      <c r="G19" s="6"/>
      <c r="H19" s="6"/>
      <c r="I19" s="6"/>
      <c r="J19" s="6"/>
      <c r="K19" s="6"/>
    </row>
    <row r="20" spans="2:11" ht="15">
      <c r="B20" s="150"/>
      <c r="C20" s="150"/>
      <c r="D20" s="150"/>
      <c r="E20" s="150"/>
      <c r="F20" s="150"/>
      <c r="G20" s="6"/>
      <c r="H20" s="6"/>
      <c r="I20" s="6"/>
      <c r="J20" s="6"/>
      <c r="K20" s="6"/>
    </row>
    <row r="21" spans="1:11" ht="24" customHeight="1">
      <c r="A21" s="10"/>
      <c r="B21" s="10"/>
      <c r="C21" s="10"/>
      <c r="D21" s="10"/>
      <c r="E21" s="10"/>
      <c r="F21" s="10"/>
      <c r="G21" s="10"/>
      <c r="H21" s="10"/>
      <c r="I21" s="10"/>
      <c r="J21" s="10"/>
      <c r="K21" s="10"/>
    </row>
    <row r="22" spans="2:11" ht="23.25" customHeight="1">
      <c r="B22" s="309" t="str">
        <f>+'Introducción de datos'!B36&amp;" - en ("&amp;'Introducción de datos'!D26&amp;")  "&amp;+I3&amp;" "&amp;+K3</f>
        <v>F2: Presupuesto y gastos reales por objetivo de la subvención - en ($)  Periodo: P9</v>
      </c>
      <c r="C22" s="150"/>
      <c r="D22" s="150"/>
      <c r="E22" s="150"/>
      <c r="F22" s="150"/>
      <c r="H22" s="309" t="str">
        <f>+'Introducción de datos'!B58&amp;"   "&amp;+I3&amp;" "&amp;+K3</f>
        <v>F4: Último ciclo de información y desembolso del RP   Periodo: P9</v>
      </c>
      <c r="J22" s="6"/>
      <c r="K22" s="6"/>
    </row>
    <row r="23" spans="2:11" ht="46.5" customHeight="1">
      <c r="B23" s="307" t="s">
        <v>364</v>
      </c>
      <c r="C23" s="570" t="s">
        <v>365</v>
      </c>
      <c r="D23" s="570"/>
      <c r="E23" s="570"/>
      <c r="F23" s="570"/>
      <c r="G23" s="310"/>
      <c r="H23" s="307" t="s">
        <v>361</v>
      </c>
      <c r="I23" s="572" t="s">
        <v>366</v>
      </c>
      <c r="J23" s="572"/>
      <c r="K23" s="572"/>
    </row>
    <row r="24" spans="2:11" ht="15.75" customHeight="1">
      <c r="B24" s="311"/>
      <c r="C24" s="311"/>
      <c r="D24" s="311"/>
      <c r="E24" s="311"/>
      <c r="F24" s="311"/>
      <c r="G24" s="311"/>
      <c r="H24" s="312"/>
      <c r="I24" s="312"/>
      <c r="J24" s="311"/>
      <c r="K24" s="311"/>
    </row>
    <row r="25" spans="2:11" ht="29.25" customHeight="1">
      <c r="B25" s="6"/>
      <c r="C25" s="6"/>
      <c r="D25" s="6"/>
      <c r="E25" s="6"/>
      <c r="F25" s="6"/>
      <c r="G25" s="313"/>
      <c r="H25" s="566" t="s">
        <v>367</v>
      </c>
      <c r="I25" s="566"/>
      <c r="J25" s="566"/>
      <c r="K25" s="566"/>
    </row>
    <row r="26" spans="2:11" ht="24.75">
      <c r="B26" s="6"/>
      <c r="C26" s="6"/>
      <c r="D26" s="6"/>
      <c r="E26" s="6"/>
      <c r="F26" s="6"/>
      <c r="G26" s="44"/>
      <c r="H26" s="567"/>
      <c r="I26" s="567"/>
      <c r="J26" s="314" t="s">
        <v>261</v>
      </c>
      <c r="K26" s="315" t="s">
        <v>262</v>
      </c>
    </row>
    <row r="27" spans="2:11" ht="29.25" customHeight="1">
      <c r="B27" s="6"/>
      <c r="C27" s="6"/>
      <c r="D27" s="6"/>
      <c r="E27" s="6"/>
      <c r="F27" s="6"/>
      <c r="G27" s="316"/>
      <c r="H27" s="568" t="str">
        <f>'Introducción de datos'!B62</f>
        <v>Días tardados en presentar el informe de progreso actualizado y solicitud de desembolso al ALF</v>
      </c>
      <c r="I27" s="568"/>
      <c r="J27" s="317">
        <v>45</v>
      </c>
      <c r="K27" s="318">
        <f>+'Introducción de datos'!D62</f>
        <v>45</v>
      </c>
    </row>
    <row r="28" spans="2:11" ht="21" customHeight="1">
      <c r="B28" s="6"/>
      <c r="C28" s="6"/>
      <c r="D28" s="6"/>
      <c r="E28" s="6"/>
      <c r="F28" s="6"/>
      <c r="G28" s="316"/>
      <c r="H28" s="568" t="str">
        <f>'Introducción de datos'!B63</f>
        <v>Días que el desembolso ha tardado en llegar al RP</v>
      </c>
      <c r="I28" s="568"/>
      <c r="J28" s="317">
        <v>45</v>
      </c>
      <c r="K28" s="319">
        <f>+'Introducción de datos'!D63</f>
        <v>27</v>
      </c>
    </row>
    <row r="29" spans="2:11" ht="21" customHeight="1">
      <c r="B29" s="6"/>
      <c r="C29" s="6"/>
      <c r="D29" s="6"/>
      <c r="E29" s="6"/>
      <c r="F29" s="6"/>
      <c r="G29" s="316"/>
      <c r="H29" s="565" t="str">
        <f>'Introducción de datos'!B64</f>
        <v>Días que el desembolso ha tardado en llegar a los subreceptores </v>
      </c>
      <c r="I29" s="565"/>
      <c r="J29" s="320">
        <f>+'Introducción de datos'!C64</f>
        <v>0</v>
      </c>
      <c r="K29" s="319">
        <f>+'Introducción de datos'!D64</f>
        <v>0</v>
      </c>
    </row>
    <row r="30" spans="2:11" ht="15">
      <c r="B30" s="6"/>
      <c r="C30" s="6"/>
      <c r="D30" s="6"/>
      <c r="E30" s="6"/>
      <c r="F30" s="6"/>
      <c r="G30" s="6"/>
      <c r="H30" s="6"/>
      <c r="I30" s="6"/>
      <c r="J30" s="6"/>
      <c r="K30" s="6"/>
    </row>
    <row r="31" spans="2:11" ht="15">
      <c r="B31" s="6"/>
      <c r="C31" s="91"/>
      <c r="D31" s="321"/>
      <c r="E31" s="6"/>
      <c r="F31" s="6"/>
      <c r="G31" s="6"/>
      <c r="H31" s="6"/>
      <c r="I31" s="6"/>
      <c r="J31" s="6"/>
      <c r="K31" s="6"/>
    </row>
    <row r="32" spans="2:11" ht="15">
      <c r="B32" s="6"/>
      <c r="C32" s="284" t="s">
        <v>241</v>
      </c>
      <c r="D32" s="321"/>
      <c r="E32" s="6"/>
      <c r="F32" s="6"/>
      <c r="G32" s="6"/>
      <c r="H32" s="6"/>
      <c r="I32" s="6"/>
      <c r="J32" s="6"/>
      <c r="K32" s="6"/>
    </row>
    <row r="33" ht="15">
      <c r="C33" s="308" t="s">
        <v>298</v>
      </c>
    </row>
  </sheetData>
  <sheetProtection selectLockedCells="1" selectUnlockedCells="1"/>
  <mergeCells count="18">
    <mergeCell ref="C4:D4"/>
    <mergeCell ref="E4:H4"/>
    <mergeCell ref="I4:J4"/>
    <mergeCell ref="D5:I5"/>
    <mergeCell ref="B2:K2"/>
    <mergeCell ref="C3:D3"/>
    <mergeCell ref="E3:H3"/>
    <mergeCell ref="I3:J3"/>
    <mergeCell ref="H29:I29"/>
    <mergeCell ref="H25:K25"/>
    <mergeCell ref="H26:I26"/>
    <mergeCell ref="H27:I27"/>
    <mergeCell ref="H28:I28"/>
    <mergeCell ref="E6:H6"/>
    <mergeCell ref="C9:F9"/>
    <mergeCell ref="I9:K9"/>
    <mergeCell ref="C23:F23"/>
    <mergeCell ref="I23:K23"/>
  </mergeCells>
  <conditionalFormatting sqref="K27:K29">
    <cfRule type="cellIs" priority="1" dxfId="69" operator="equal" stopIfTrue="1">
      <formula>0</formula>
    </cfRule>
  </conditionalFormatting>
  <conditionalFormatting sqref="C4:D4">
    <cfRule type="cellIs" priority="2" dxfId="68" operator="equal" stopIfTrue="1">
      <formula>"C"</formula>
    </cfRule>
    <cfRule type="cellIs" priority="3" dxfId="64" operator="equal" stopIfTrue="1">
      <formula>"B2"</formula>
    </cfRule>
    <cfRule type="cellIs" priority="4" dxfId="65" operator="equal" stopIfTrue="1">
      <formula>"B1"</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97"/>
  <headerFooter alignWithMargins="0">
    <oddFooter>&amp;L&amp;F&amp;C&amp;A&amp;R&amp;D</oddFooter>
  </headerFooter>
  <drawing r:id="rId1"/>
</worksheet>
</file>

<file path=xl/worksheets/sheet6.xml><?xml version="1.0" encoding="utf-8"?>
<worksheet xmlns="http://schemas.openxmlformats.org/spreadsheetml/2006/main" xmlns:r="http://schemas.openxmlformats.org/officeDocument/2006/relationships">
  <sheetPr>
    <tabColor indexed="27"/>
  </sheetPr>
  <dimension ref="A1:P34"/>
  <sheetViews>
    <sheetView showGridLines="0" zoomScalePageLayoutView="0" workbookViewId="0" topLeftCell="A22">
      <selection activeCell="G43" sqref="G43"/>
    </sheetView>
  </sheetViews>
  <sheetFormatPr defaultColWidth="9.140625" defaultRowHeight="15"/>
  <cols>
    <col min="1" max="1" width="3.28125" style="0" customWidth="1"/>
    <col min="2" max="2" width="14.28125" style="0" customWidth="1"/>
    <col min="3" max="3" width="12.421875" style="0" customWidth="1"/>
    <col min="4" max="4" width="13.140625" style="0" customWidth="1"/>
    <col min="5" max="5" width="11.421875" style="0" customWidth="1"/>
    <col min="6" max="6" width="11.8515625" style="0" customWidth="1"/>
    <col min="7" max="7" width="18.7109375" style="0" customWidth="1"/>
    <col min="8" max="8" width="11.28125" style="0" customWidth="1"/>
    <col min="9" max="9" width="14.421875" style="0" customWidth="1"/>
    <col min="10" max="10" width="15.140625" style="0" customWidth="1"/>
    <col min="11" max="11" width="15.28125" style="0" customWidth="1"/>
    <col min="12" max="12" width="15.7109375" style="0" customWidth="1"/>
  </cols>
  <sheetData>
    <row r="1" spans="3:5" ht="28.5" customHeight="1">
      <c r="C1" s="322"/>
      <c r="E1" s="322"/>
    </row>
    <row r="2" spans="2:16" ht="27.75" customHeight="1">
      <c r="B2" s="585" t="str">
        <f>+"Cuadro de mando:  "&amp;"  "&amp;+'Introducción de datos'!C4&amp;" - "&amp;'Introducción de datos'!G6</f>
        <v>Cuadro de mando:    El Salvador - TB</v>
      </c>
      <c r="C2" s="585"/>
      <c r="D2" s="585"/>
      <c r="E2" s="585"/>
      <c r="F2" s="585"/>
      <c r="G2" s="585"/>
      <c r="H2" s="585"/>
      <c r="I2" s="585"/>
      <c r="J2" s="585"/>
      <c r="K2" s="585"/>
      <c r="L2" s="585"/>
      <c r="M2" s="323"/>
      <c r="N2" s="323"/>
      <c r="O2" s="323"/>
      <c r="P2" s="323"/>
    </row>
    <row r="3" spans="2:12" ht="15">
      <c r="B3" s="324" t="str">
        <f>+'Introducción de datos'!G8</f>
        <v>Ronda 9</v>
      </c>
      <c r="C3" s="586" t="str">
        <f>+'Introducción de datos'!I8</f>
        <v>Fase 2</v>
      </c>
      <c r="D3" s="586"/>
      <c r="E3" s="583"/>
      <c r="F3" s="583"/>
      <c r="G3" s="583"/>
      <c r="H3" s="583"/>
      <c r="I3" s="583"/>
      <c r="J3" s="584" t="str">
        <f>+'Introducción de datos'!B16</f>
        <v>Periodo:</v>
      </c>
      <c r="K3" s="584"/>
      <c r="L3" s="294" t="str">
        <f>+'Introducción de datos'!C16</f>
        <v>P9</v>
      </c>
    </row>
    <row r="4" spans="2:12" ht="15">
      <c r="B4" s="324" t="str">
        <f>+'Introducción de datos'!B12</f>
        <v>Ultima calificación:</v>
      </c>
      <c r="C4" s="573" t="str">
        <f>+'Introducción de datos'!C12</f>
        <v>A1</v>
      </c>
      <c r="D4" s="573"/>
      <c r="E4" s="583" t="str">
        <f>+'Introducción de datos'!C8</f>
        <v>Ministerio de Salud </v>
      </c>
      <c r="F4" s="583"/>
      <c r="G4" s="583"/>
      <c r="H4" s="583"/>
      <c r="I4" s="583"/>
      <c r="J4" s="584" t="str">
        <f>+'Introducción de datos'!D16</f>
        <v>Desde:</v>
      </c>
      <c r="K4" s="584"/>
      <c r="L4" s="296">
        <f>+'Introducción de datos'!E16</f>
        <v>41821</v>
      </c>
    </row>
    <row r="5" spans="2:12" ht="18.75" customHeight="1">
      <c r="B5" s="324"/>
      <c r="C5" s="324"/>
      <c r="D5" s="583" t="str">
        <f>+'Introducción de datos'!G4</f>
        <v>Prevention and control of tuberculosis in high risk populations in 30
municipalities in El Salvador</v>
      </c>
      <c r="E5" s="583"/>
      <c r="F5" s="583"/>
      <c r="G5" s="583"/>
      <c r="H5" s="583"/>
      <c r="I5" s="583"/>
      <c r="J5" s="583"/>
      <c r="K5" s="324" t="str">
        <f>+'Introducción de datos'!F16</f>
        <v>Hasta:</v>
      </c>
      <c r="L5" s="296">
        <f>+'Introducción de datos'!G16</f>
        <v>42004</v>
      </c>
    </row>
    <row r="6" spans="2:9" ht="18.75">
      <c r="B6" s="325"/>
      <c r="C6" s="324"/>
      <c r="D6" s="298"/>
      <c r="E6" s="587" t="s">
        <v>162</v>
      </c>
      <c r="F6" s="587"/>
      <c r="G6" s="587"/>
      <c r="H6" s="587"/>
      <c r="I6" s="587"/>
    </row>
    <row r="7" spans="2:8" ht="15">
      <c r="B7" s="326" t="str">
        <f>+'Introducción de datos'!B69&amp;"     "&amp;+J3&amp;" "&amp;+L3</f>
        <v>M1: Estado de las condiciones precedentes y acciones con fecha límite     Periodo: P9</v>
      </c>
      <c r="C7" s="327"/>
      <c r="H7" s="326" t="str">
        <f>+'Introducción de datos'!B76&amp;"         "&amp;+J3&amp;"  "&amp;+L3</f>
        <v>M2: Estado de los principales puestos directivos del RP         Periodo:  P9</v>
      </c>
    </row>
    <row r="8" spans="2:12" ht="14.25" customHeight="1">
      <c r="B8" s="328" t="s">
        <v>361</v>
      </c>
      <c r="C8" s="588" t="s">
        <v>368</v>
      </c>
      <c r="D8" s="588"/>
      <c r="E8" s="588"/>
      <c r="F8" s="588"/>
      <c r="G8" s="329"/>
      <c r="H8" s="328" t="s">
        <v>361</v>
      </c>
      <c r="I8" s="572" t="s">
        <v>369</v>
      </c>
      <c r="J8" s="572"/>
      <c r="K8" s="572"/>
      <c r="L8" s="572"/>
    </row>
    <row r="9" spans="2:8" ht="15">
      <c r="B9" s="10"/>
      <c r="C9" s="10"/>
      <c r="D9" s="10"/>
      <c r="E9" s="10"/>
      <c r="F9" s="10"/>
      <c r="G9" s="10"/>
      <c r="H9" s="10"/>
    </row>
    <row r="10" spans="1:16" ht="15">
      <c r="A10" s="330"/>
      <c r="B10" s="10"/>
      <c r="C10" s="10"/>
      <c r="D10" s="582"/>
      <c r="E10" s="505"/>
      <c r="F10" s="505"/>
      <c r="G10" s="12"/>
      <c r="H10" s="10"/>
      <c r="N10" s="332"/>
      <c r="O10" s="332"/>
      <c r="P10" s="333"/>
    </row>
    <row r="11" spans="2:15" ht="15">
      <c r="B11" s="10"/>
      <c r="C11" s="331"/>
      <c r="D11" s="582"/>
      <c r="E11" s="331"/>
      <c r="F11" s="331"/>
      <c r="G11" s="331"/>
      <c r="H11" s="331"/>
      <c r="N11" s="10"/>
      <c r="O11" s="10"/>
    </row>
    <row r="12" spans="2:8" ht="15">
      <c r="B12" s="331"/>
      <c r="C12" s="334"/>
      <c r="D12" s="335"/>
      <c r="E12" s="335"/>
      <c r="F12" s="335"/>
      <c r="G12" s="335"/>
      <c r="H12" s="336"/>
    </row>
    <row r="13" spans="2:8" ht="15">
      <c r="B13" s="331"/>
      <c r="C13" s="334"/>
      <c r="D13" s="335"/>
      <c r="E13" s="335"/>
      <c r="F13" s="335"/>
      <c r="G13" s="335"/>
      <c r="H13" s="336"/>
    </row>
    <row r="15" spans="2:8" ht="27.75" customHeight="1">
      <c r="B15" s="326" t="str">
        <f>+'Introducción de datos'!B81&amp;"            "&amp;+J3&amp;" "&amp;+L3</f>
        <v>M3: Acuerdos contractuales (subreceptores)             Periodo: P9</v>
      </c>
      <c r="H15" s="326" t="str">
        <f>+'Introducción de datos'!B86&amp;"                "&amp;+J3&amp;" "&amp;+L3</f>
        <v>M4: Número de informes completos recibidos a tiempo                Periodo: P9</v>
      </c>
    </row>
    <row r="16" spans="2:12" ht="14.25" customHeight="1">
      <c r="B16" s="328" t="s">
        <v>361</v>
      </c>
      <c r="C16" s="572" t="s">
        <v>370</v>
      </c>
      <c r="D16" s="572"/>
      <c r="E16" s="572"/>
      <c r="F16" s="572"/>
      <c r="G16" s="329"/>
      <c r="H16" s="328" t="s">
        <v>361</v>
      </c>
      <c r="I16" s="572" t="s">
        <v>370</v>
      </c>
      <c r="J16" s="572"/>
      <c r="K16" s="572"/>
      <c r="L16" s="572"/>
    </row>
    <row r="17" spans="2:8" ht="15">
      <c r="B17" s="337"/>
      <c r="H17" s="338"/>
    </row>
    <row r="18" ht="15">
      <c r="M18" s="295"/>
    </row>
    <row r="25" ht="22.5" customHeight="1"/>
    <row r="26" spans="2:8" ht="15">
      <c r="B26" s="326" t="str">
        <f>+'Introducción de datos'!B92</f>
        <v>M5: Presupuesto y compra de productos y equipo sanitario, medicamentos y productos farmacéuticos</v>
      </c>
      <c r="H26" s="326" t="str">
        <f>+'Introducción de datos'!B105&amp;"    "&amp;+J3&amp;"  "&amp;+L3</f>
        <v>M6: Diferencia entre existencias actuales y existencias de seguridad    Periodo:  P9</v>
      </c>
    </row>
    <row r="27" spans="2:12" ht="55.5" customHeight="1">
      <c r="B27" s="328" t="s">
        <v>361</v>
      </c>
      <c r="C27" s="580" t="s">
        <v>371</v>
      </c>
      <c r="D27" s="580"/>
      <c r="E27" s="580"/>
      <c r="F27" s="580"/>
      <c r="G27" s="329"/>
      <c r="H27" s="328" t="s">
        <v>361</v>
      </c>
      <c r="I27" s="581" t="s">
        <v>372</v>
      </c>
      <c r="J27" s="581"/>
      <c r="K27" s="581"/>
      <c r="L27" s="581"/>
    </row>
    <row r="29" spans="6:12" ht="104.25" customHeight="1">
      <c r="F29" s="339"/>
      <c r="G29" s="339"/>
      <c r="H29" s="340" t="s">
        <v>301</v>
      </c>
      <c r="I29" s="341" t="s">
        <v>302</v>
      </c>
      <c r="J29" s="342" t="s">
        <v>373</v>
      </c>
      <c r="K29" s="343" t="s">
        <v>374</v>
      </c>
      <c r="L29" s="344" t="s">
        <v>375</v>
      </c>
    </row>
    <row r="30" spans="6:12" ht="15" customHeight="1">
      <c r="F30" s="339"/>
      <c r="G30" s="339"/>
      <c r="H30" s="578" t="str">
        <f>+'Introducción de datos'!B108</f>
        <v>TB</v>
      </c>
      <c r="I30" s="345" t="str">
        <f>+'Introducción de datos'!C108</f>
        <v>PASER</v>
      </c>
      <c r="J30" s="346">
        <f>+'Introducción de datos'!I108</f>
        <v>7.404166666666667</v>
      </c>
      <c r="K30" s="347">
        <f>+'Introducción de datos'!J108</f>
        <v>3</v>
      </c>
      <c r="L30" s="348">
        <f>+'Introducción de datos'!K108</f>
        <v>4.404166666666667</v>
      </c>
    </row>
    <row r="31" spans="6:12" ht="15">
      <c r="F31" s="339"/>
      <c r="G31" s="339"/>
      <c r="H31" s="578"/>
      <c r="I31" s="345" t="str">
        <f>+'Introducción de datos'!C109</f>
        <v>Cicloserina 250mg</v>
      </c>
      <c r="J31" s="346">
        <f>+'Introducción de datos'!I109</f>
        <v>0.07916666666666666</v>
      </c>
      <c r="K31" s="347">
        <f>+'Introducción de datos'!J109</f>
        <v>3</v>
      </c>
      <c r="L31" s="349">
        <f>+'Introducción de datos'!K109</f>
        <v>-2.9208333333333334</v>
      </c>
    </row>
    <row r="32" spans="6:12" ht="15">
      <c r="F32" s="339"/>
      <c r="G32" s="339"/>
      <c r="H32" s="578"/>
      <c r="I32" s="345" t="str">
        <f>+'Introducción de datos'!C110</f>
        <v>Kanamicina 1gr</v>
      </c>
      <c r="J32" s="346">
        <f>+'Introducción de datos'!I110</f>
        <v>5.2375</v>
      </c>
      <c r="K32" s="347">
        <f>+'Introducción de datos'!J110</f>
        <v>3</v>
      </c>
      <c r="L32" s="348">
        <f>+'Introducción de datos'!K110</f>
        <v>2.2375</v>
      </c>
    </row>
    <row r="33" spans="6:12" ht="15">
      <c r="F33" s="339"/>
      <c r="G33" s="339"/>
      <c r="H33" s="578"/>
      <c r="I33" s="350" t="str">
        <f>+'Introducción de datos'!C112</f>
        <v>Levofloxacina</v>
      </c>
      <c r="J33" s="351">
        <f>+'Introducción de datos'!I112</f>
        <v>0.03263888888888889</v>
      </c>
      <c r="K33" s="352">
        <f>+'Introducción de datos'!J112</f>
        <v>3</v>
      </c>
      <c r="L33" s="348">
        <f>+'Introducción de datos'!K112</f>
        <v>-2.967361111111111</v>
      </c>
    </row>
    <row r="34" spans="2:12" ht="39.75" customHeight="1">
      <c r="B34" s="579" t="str">
        <f>+'Introducción de datos'!B102</f>
        <v>* Incluye sólo los montos de las categorías 4 y 5 (Productos y equipamientos sanitarios y Medicamentos y productos farmacéuticos) de los  Informes Financieros Mejorados</v>
      </c>
      <c r="C34" s="579"/>
      <c r="D34" s="579"/>
      <c r="E34" s="579"/>
      <c r="F34" s="10"/>
      <c r="G34" s="10"/>
      <c r="H34" s="353"/>
      <c r="I34" s="354"/>
      <c r="J34" s="355"/>
      <c r="K34" s="12"/>
      <c r="L34" s="49"/>
    </row>
  </sheetData>
  <sheetProtection selectLockedCells="1" selectUnlockedCells="1"/>
  <mergeCells count="19">
    <mergeCell ref="B2:L2"/>
    <mergeCell ref="C3:D3"/>
    <mergeCell ref="E3:I3"/>
    <mergeCell ref="J3:K3"/>
    <mergeCell ref="E6:I6"/>
    <mergeCell ref="C8:F8"/>
    <mergeCell ref="I8:L8"/>
    <mergeCell ref="D10:D11"/>
    <mergeCell ref="E10:F10"/>
    <mergeCell ref="C4:D4"/>
    <mergeCell ref="E4:I4"/>
    <mergeCell ref="J4:K4"/>
    <mergeCell ref="D5:J5"/>
    <mergeCell ref="H30:H33"/>
    <mergeCell ref="B34:E34"/>
    <mergeCell ref="C16:F16"/>
    <mergeCell ref="I16:L16"/>
    <mergeCell ref="C27:F27"/>
    <mergeCell ref="I27:L27"/>
  </mergeCells>
  <conditionalFormatting sqref="D12:D13">
    <cfRule type="cellIs" priority="1" dxfId="67" operator="greaterThan" stopIfTrue="1">
      <formula>0</formula>
    </cfRule>
  </conditionalFormatting>
  <conditionalFormatting sqref="E12:E13">
    <cfRule type="cellIs" priority="2" dxfId="70" operator="greaterThan" stopIfTrue="1">
      <formula>0</formula>
    </cfRule>
  </conditionalFormatting>
  <conditionalFormatting sqref="F12:G13">
    <cfRule type="cellIs" priority="3" dxfId="68" operator="greaterThan" stopIfTrue="1">
      <formula>0</formula>
    </cfRule>
  </conditionalFormatting>
  <conditionalFormatting sqref="C4:D4">
    <cfRule type="cellIs" priority="4" dxfId="68" operator="equal" stopIfTrue="1">
      <formula>"C"</formula>
    </cfRule>
    <cfRule type="cellIs" priority="5" dxfId="64" operator="equal" stopIfTrue="1">
      <formula>"B2"</formula>
    </cfRule>
    <cfRule type="cellIs" priority="6" dxfId="65" operator="equal" stopIfTrue="1">
      <formula>"B1"</formula>
    </cfRule>
  </conditionalFormatting>
  <conditionalFormatting sqref="L30 L32:L33">
    <cfRule type="cellIs" priority="7" dxfId="71" operator="lessThan" stopIfTrue="1">
      <formula>1</formula>
    </cfRule>
    <cfRule type="cellIs" priority="8" dxfId="72" operator="between" stopIfTrue="1">
      <formula>3</formula>
      <formula>17</formula>
    </cfRule>
    <cfRule type="cellIs" priority="9" dxfId="73" operator="between" stopIfTrue="1">
      <formula>1</formula>
      <formula>3</formula>
    </cfRule>
  </conditionalFormatting>
  <conditionalFormatting sqref="L31">
    <cfRule type="cellIs" priority="10" dxfId="71" operator="lessThan" stopIfTrue="1">
      <formula>1</formula>
    </cfRule>
    <cfRule type="cellIs" priority="11" dxfId="72" operator="between" stopIfTrue="1">
      <formula>3</formula>
      <formula>100</formula>
    </cfRule>
    <cfRule type="cellIs" priority="12" dxfId="73" operator="between" stopIfTrue="1">
      <formula>1</formula>
      <formula>3</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83"/>
  <headerFooter alignWithMargins="0">
    <oddFooter>&amp;L&amp;F&amp;C&amp;A&amp;R&amp;D</oddFooter>
  </headerFooter>
  <colBreaks count="1" manualBreakCount="1">
    <brk id="12" max="65535" man="1"/>
  </colBreaks>
  <drawing r:id="rId1"/>
</worksheet>
</file>

<file path=xl/worksheets/sheet7.xml><?xml version="1.0" encoding="utf-8"?>
<worksheet xmlns="http://schemas.openxmlformats.org/spreadsheetml/2006/main" xmlns:r="http://schemas.openxmlformats.org/officeDocument/2006/relationships">
  <sheetPr>
    <tabColor indexed="27"/>
  </sheetPr>
  <dimension ref="A1:AI44"/>
  <sheetViews>
    <sheetView showGridLines="0" zoomScale="110" zoomScaleNormal="110" zoomScalePageLayoutView="0" workbookViewId="0" topLeftCell="A40">
      <selection activeCell="G41" sqref="G41:K41"/>
    </sheetView>
  </sheetViews>
  <sheetFormatPr defaultColWidth="9.140625" defaultRowHeight="15"/>
  <cols>
    <col min="1" max="1" width="0.42578125" style="0" customWidth="1"/>
    <col min="2" max="2" width="17.8515625" style="0" customWidth="1"/>
    <col min="3" max="3" width="16.140625" style="0" customWidth="1"/>
    <col min="4" max="4" width="17.28125" style="0" customWidth="1"/>
    <col min="5" max="5" width="8.00390625" style="0" customWidth="1"/>
    <col min="6" max="6" width="10.7109375" style="0" customWidth="1"/>
    <col min="7" max="7" width="8.28125" style="0" customWidth="1"/>
    <col min="8" max="8" width="6.28125" style="0" customWidth="1"/>
    <col min="9" max="9" width="6.00390625" style="0" customWidth="1"/>
    <col min="10" max="10" width="6.140625" style="0" customWidth="1"/>
    <col min="11" max="11" width="11.28125" style="0" customWidth="1"/>
    <col min="12" max="12" width="14.00390625" style="0" customWidth="1"/>
    <col min="13" max="13" width="11.7109375" style="0" customWidth="1"/>
    <col min="14" max="14" width="9.57421875" style="0" customWidth="1"/>
    <col min="15" max="15" width="7.421875" style="0" customWidth="1"/>
    <col min="16" max="16" width="15.7109375" style="0" customWidth="1"/>
    <col min="17" max="17" width="14.421875" style="0" customWidth="1"/>
    <col min="18" max="18" width="6.57421875" style="0" customWidth="1"/>
  </cols>
  <sheetData>
    <row r="1" spans="1:16" ht="26.25" customHeight="1">
      <c r="A1" s="6"/>
      <c r="B1" s="6"/>
      <c r="C1" s="6"/>
      <c r="D1" s="6"/>
      <c r="E1" s="6"/>
      <c r="F1" s="6"/>
      <c r="G1" s="6"/>
      <c r="H1" s="6"/>
      <c r="I1" s="6"/>
      <c r="J1" s="6"/>
      <c r="K1" s="6"/>
      <c r="L1" s="6"/>
      <c r="M1" s="6"/>
      <c r="N1" s="6"/>
      <c r="O1" s="6"/>
      <c r="P1" s="6"/>
    </row>
    <row r="2" spans="1:17" ht="21.75" customHeight="1">
      <c r="A2" s="6"/>
      <c r="B2" s="609" t="str">
        <f>+"Cuadro de mando:  "&amp;"  "&amp;+'Introducción de datos'!C4&amp;" - "&amp;'Introducción de datos'!G6</f>
        <v>Cuadro de mando:    El Salvador - TB</v>
      </c>
      <c r="C2" s="609"/>
      <c r="D2" s="609"/>
      <c r="E2" s="609"/>
      <c r="F2" s="609"/>
      <c r="G2" s="609"/>
      <c r="H2" s="609"/>
      <c r="I2" s="609"/>
      <c r="J2" s="609"/>
      <c r="K2" s="609"/>
      <c r="L2" s="609"/>
      <c r="M2" s="609"/>
      <c r="N2" s="609"/>
      <c r="O2" s="609"/>
      <c r="P2" s="609"/>
      <c r="Q2" s="609"/>
    </row>
    <row r="3" spans="1:17" ht="15">
      <c r="A3" s="6"/>
      <c r="B3" s="292" t="str">
        <f>+'Introducción de datos'!G8</f>
        <v>Ronda 9</v>
      </c>
      <c r="C3" s="577" t="str">
        <f>+'Introducción de datos'!I8</f>
        <v>Fase 2</v>
      </c>
      <c r="D3" s="577"/>
      <c r="E3" s="574"/>
      <c r="F3" s="574"/>
      <c r="G3" s="574"/>
      <c r="H3" s="574"/>
      <c r="I3" s="574"/>
      <c r="J3" s="574"/>
      <c r="K3" s="574"/>
      <c r="L3" s="6"/>
      <c r="M3" s="6"/>
      <c r="O3" s="575" t="str">
        <f>+'Introducción de datos'!B16</f>
        <v>Periodo:</v>
      </c>
      <c r="P3" s="575"/>
      <c r="Q3" s="356" t="str">
        <f>+'Introducción de datos'!C16</f>
        <v>P9</v>
      </c>
    </row>
    <row r="4" spans="1:29" ht="12" customHeight="1">
      <c r="A4" s="6"/>
      <c r="B4" s="292" t="str">
        <f>+'Introducción de datos'!B12</f>
        <v>Ultima calificación:</v>
      </c>
      <c r="C4" s="607" t="str">
        <f>+'Introducción de datos'!C12</f>
        <v>A1</v>
      </c>
      <c r="D4" s="607"/>
      <c r="E4" s="574" t="str">
        <f>+'Introducción de datos'!C8</f>
        <v>Ministerio de Salud </v>
      </c>
      <c r="F4" s="574"/>
      <c r="G4" s="574"/>
      <c r="H4" s="574"/>
      <c r="I4" s="574"/>
      <c r="J4" s="574"/>
      <c r="K4" s="574"/>
      <c r="L4" s="574"/>
      <c r="M4" s="6"/>
      <c r="O4" s="357"/>
      <c r="P4" s="292" t="str">
        <f>+'Introducción de datos'!D16</f>
        <v>Desde:</v>
      </c>
      <c r="Q4" s="358">
        <f>+'Introducción de datos'!E16</f>
        <v>41821</v>
      </c>
      <c r="Y4" s="308"/>
      <c r="Z4" s="308"/>
      <c r="AA4" s="308"/>
      <c r="AB4" s="308"/>
      <c r="AC4" s="308"/>
    </row>
    <row r="5" spans="1:35" ht="15.75" customHeight="1">
      <c r="A5" s="6"/>
      <c r="B5" s="292"/>
      <c r="C5" s="292"/>
      <c r="D5" s="576" t="str">
        <f>+'Introducción de datos'!G4</f>
        <v>Prevention and control of tuberculosis in high risk populations in 30
municipalities in El Salvador</v>
      </c>
      <c r="E5" s="576"/>
      <c r="F5" s="576"/>
      <c r="G5" s="576"/>
      <c r="H5" s="576"/>
      <c r="I5" s="576"/>
      <c r="J5" s="576"/>
      <c r="K5" s="576"/>
      <c r="L5" s="576"/>
      <c r="M5" s="576"/>
      <c r="N5" s="576"/>
      <c r="P5" s="292" t="str">
        <f>+'Introducción de datos'!F16</f>
        <v>Hasta:</v>
      </c>
      <c r="Q5" s="358">
        <f>+'Introducción de datos'!G16</f>
        <v>42004</v>
      </c>
      <c r="S5" s="359"/>
      <c r="T5" s="359"/>
      <c r="U5" s="359"/>
      <c r="V5" s="359"/>
      <c r="W5" s="359"/>
      <c r="X5" s="359"/>
      <c r="Y5" s="308"/>
      <c r="Z5" s="308"/>
      <c r="AA5" s="308" t="s">
        <v>376</v>
      </c>
      <c r="AB5" s="308"/>
      <c r="AC5" s="360" t="s">
        <v>377</v>
      </c>
      <c r="AD5" s="359"/>
      <c r="AE5" s="359"/>
      <c r="AF5" s="359"/>
      <c r="AG5" s="359"/>
      <c r="AH5" s="359"/>
      <c r="AI5" s="359"/>
    </row>
    <row r="6" spans="1:35" ht="15.75" customHeight="1">
      <c r="A6" s="6"/>
      <c r="B6" s="292"/>
      <c r="C6" s="292"/>
      <c r="D6" s="361"/>
      <c r="E6" s="361"/>
      <c r="F6" s="608" t="s">
        <v>378</v>
      </c>
      <c r="G6" s="608"/>
      <c r="H6" s="608"/>
      <c r="I6" s="608"/>
      <c r="J6" s="608"/>
      <c r="K6" s="608"/>
      <c r="L6" s="361"/>
      <c r="M6" s="6"/>
      <c r="N6" s="6"/>
      <c r="O6" s="362"/>
      <c r="P6" s="363"/>
      <c r="S6" s="359"/>
      <c r="T6" s="359"/>
      <c r="U6" s="359"/>
      <c r="V6" s="359"/>
      <c r="W6" s="359"/>
      <c r="X6" s="359"/>
      <c r="Y6" s="308"/>
      <c r="Z6" s="308"/>
      <c r="AA6" s="308"/>
      <c r="AB6" s="308"/>
      <c r="AC6" s="308"/>
      <c r="AD6" s="359"/>
      <c r="AE6" s="359"/>
      <c r="AF6" s="359"/>
      <c r="AG6" s="359"/>
      <c r="AH6" s="359"/>
      <c r="AI6" s="359"/>
    </row>
    <row r="7" spans="1:35" ht="3" customHeight="1">
      <c r="A7" s="6"/>
      <c r="B7" s="292"/>
      <c r="C7" s="292"/>
      <c r="D7" s="361"/>
      <c r="E7" s="361"/>
      <c r="F7" s="361"/>
      <c r="G7" s="361"/>
      <c r="H7" s="361"/>
      <c r="I7" s="361"/>
      <c r="J7" s="361"/>
      <c r="K7" s="361"/>
      <c r="L7" s="361"/>
      <c r="M7" s="6"/>
      <c r="N7" s="6"/>
      <c r="O7" s="362"/>
      <c r="P7" s="296"/>
      <c r="Q7" s="296"/>
      <c r="S7" s="359"/>
      <c r="T7" s="359"/>
      <c r="U7" s="359"/>
      <c r="V7" s="359"/>
      <c r="W7" s="359"/>
      <c r="X7" s="359"/>
      <c r="Y7" s="308"/>
      <c r="Z7" s="308"/>
      <c r="AA7" s="308"/>
      <c r="AB7" s="308"/>
      <c r="AC7" s="308"/>
      <c r="AD7" s="359"/>
      <c r="AE7" s="359"/>
      <c r="AF7" s="359"/>
      <c r="AG7" s="359"/>
      <c r="AH7" s="359"/>
      <c r="AI7" s="359"/>
    </row>
    <row r="8" spans="1:35" ht="31.5" customHeight="1">
      <c r="A8" s="6"/>
      <c r="B8" s="606" t="str">
        <f>+'Introducción de datos'!B119</f>
        <v>Pacientes gestionados (atendidos) por la comunidad de los 30 Municipios Priorizados durante el tratamiento (número y porcentaje) - TOP 10 -</v>
      </c>
      <c r="C8" s="606"/>
      <c r="D8" s="606"/>
      <c r="E8" s="606"/>
      <c r="F8" s="606" t="str">
        <f>+'Introducción de datos'!B121</f>
        <v>   Número de casos nuevos de tuberculosis Bacteriologicamente (+) diagnosticados recientemente en cárceles  - TOP 10 -</v>
      </c>
      <c r="G8" s="606"/>
      <c r="H8" s="606"/>
      <c r="I8" s="606"/>
      <c r="J8" s="606"/>
      <c r="K8" s="606"/>
      <c r="L8" s="606" t="str">
        <f>+'Introducción de datos'!B123</f>
        <v> Tasa de éxito del tratamiento para casos de tuberculosis con BK+ recientemente diagnosticados detectados en cárceles - TOP 10 -</v>
      </c>
      <c r="M8" s="606"/>
      <c r="N8" s="606"/>
      <c r="O8" s="606"/>
      <c r="P8" s="606"/>
      <c r="Q8" s="606"/>
      <c r="S8" s="359"/>
      <c r="T8" s="359"/>
      <c r="U8" s="359"/>
      <c r="V8" s="359"/>
      <c r="W8" s="359"/>
      <c r="X8" s="359"/>
      <c r="Y8" s="308"/>
      <c r="Z8" s="308"/>
      <c r="AA8" s="308"/>
      <c r="AB8" s="308"/>
      <c r="AC8" s="308"/>
      <c r="AD8" s="359"/>
      <c r="AE8" s="359"/>
      <c r="AF8" s="359"/>
      <c r="AG8" s="359"/>
      <c r="AH8" s="359"/>
      <c r="AI8" s="359"/>
    </row>
    <row r="9" spans="1:35" ht="75" customHeight="1">
      <c r="A9" s="6"/>
      <c r="B9" s="364" t="s">
        <v>379</v>
      </c>
      <c r="C9" s="581" t="s">
        <v>380</v>
      </c>
      <c r="D9" s="581"/>
      <c r="E9" s="581"/>
      <c r="F9" s="364" t="s">
        <v>379</v>
      </c>
      <c r="G9" s="581" t="s">
        <v>381</v>
      </c>
      <c r="H9" s="581"/>
      <c r="I9" s="581"/>
      <c r="J9" s="581"/>
      <c r="K9" s="581"/>
      <c r="L9" s="364" t="s">
        <v>379</v>
      </c>
      <c r="M9" s="581" t="s">
        <v>382</v>
      </c>
      <c r="N9" s="581"/>
      <c r="O9" s="581"/>
      <c r="P9" s="581"/>
      <c r="Q9" s="581"/>
      <c r="S9" s="359"/>
      <c r="T9" s="359"/>
      <c r="U9" s="359"/>
      <c r="V9" s="359"/>
      <c r="W9" s="359"/>
      <c r="X9" s="359"/>
      <c r="Y9" s="359"/>
      <c r="Z9" s="359"/>
      <c r="AA9" s="359"/>
      <c r="AB9" s="359"/>
      <c r="AC9" s="359"/>
      <c r="AD9" s="359"/>
      <c r="AE9" s="359"/>
      <c r="AF9" s="359"/>
      <c r="AG9" s="359"/>
      <c r="AH9" s="359"/>
      <c r="AI9" s="359"/>
    </row>
    <row r="10" spans="1:35" ht="18.75" customHeight="1">
      <c r="A10" s="6"/>
      <c r="B10" s="292"/>
      <c r="C10" s="292"/>
      <c r="D10" s="361"/>
      <c r="E10" s="361"/>
      <c r="F10" s="361"/>
      <c r="G10" s="361"/>
      <c r="H10" s="361"/>
      <c r="I10" s="361"/>
      <c r="J10" s="361"/>
      <c r="K10" s="361"/>
      <c r="L10" s="361"/>
      <c r="M10" s="6"/>
      <c r="N10" s="6"/>
      <c r="O10" s="362"/>
      <c r="P10" s="296"/>
      <c r="S10" s="359"/>
      <c r="T10" s="359"/>
      <c r="U10" s="359"/>
      <c r="V10" s="359"/>
      <c r="W10" s="359"/>
      <c r="X10" s="359"/>
      <c r="Y10" s="359"/>
      <c r="Z10" s="359"/>
      <c r="AA10" s="359"/>
      <c r="AB10" s="359"/>
      <c r="AC10" s="359"/>
      <c r="AD10" s="359"/>
      <c r="AE10" s="359"/>
      <c r="AF10" s="359"/>
      <c r="AG10" s="359"/>
      <c r="AH10" s="359"/>
      <c r="AI10" s="359"/>
    </row>
    <row r="11" spans="1:35" ht="18.75" customHeight="1">
      <c r="A11" s="6"/>
      <c r="B11" s="292"/>
      <c r="C11" s="292"/>
      <c r="D11" s="361"/>
      <c r="E11" s="361"/>
      <c r="F11" s="361"/>
      <c r="G11" s="361"/>
      <c r="H11" s="361"/>
      <c r="I11" s="361"/>
      <c r="J11" s="361"/>
      <c r="K11" s="361"/>
      <c r="L11" s="361"/>
      <c r="M11" s="6"/>
      <c r="N11" s="6"/>
      <c r="O11" s="362"/>
      <c r="P11" s="296"/>
      <c r="S11" s="359"/>
      <c r="T11" s="359"/>
      <c r="U11" s="359"/>
      <c r="V11" s="359"/>
      <c r="W11" s="359"/>
      <c r="X11" s="359"/>
      <c r="Y11" s="359"/>
      <c r="Z11" s="359"/>
      <c r="AA11" s="359"/>
      <c r="AB11" s="359"/>
      <c r="AC11" s="359"/>
      <c r="AD11" s="359"/>
      <c r="AE11" s="359"/>
      <c r="AF11" s="359"/>
      <c r="AG11" s="359"/>
      <c r="AH11" s="359"/>
      <c r="AI11" s="359"/>
    </row>
    <row r="12" spans="1:35" ht="18.75" customHeight="1">
      <c r="A12" s="6"/>
      <c r="B12" s="292"/>
      <c r="C12" s="292"/>
      <c r="D12" s="361"/>
      <c r="E12" s="361"/>
      <c r="F12" s="361"/>
      <c r="G12" s="361"/>
      <c r="H12" s="361"/>
      <c r="I12" s="361"/>
      <c r="J12" s="361"/>
      <c r="K12" s="361"/>
      <c r="L12" s="361"/>
      <c r="M12" s="6"/>
      <c r="N12" s="6"/>
      <c r="O12" s="362"/>
      <c r="P12" s="296"/>
      <c r="S12" s="359"/>
      <c r="T12" s="359"/>
      <c r="U12" s="359"/>
      <c r="V12" s="359"/>
      <c r="W12" s="359"/>
      <c r="X12" s="359"/>
      <c r="Y12" s="359"/>
      <c r="Z12" s="359"/>
      <c r="AA12" s="359"/>
      <c r="AB12" s="359"/>
      <c r="AC12" s="359"/>
      <c r="AD12" s="359"/>
      <c r="AE12" s="359"/>
      <c r="AF12" s="359"/>
      <c r="AG12" s="359"/>
      <c r="AH12" s="359"/>
      <c r="AI12" s="359"/>
    </row>
    <row r="13" spans="1:35" ht="18.75" customHeight="1">
      <c r="A13" s="6"/>
      <c r="B13" s="292"/>
      <c r="C13" s="292"/>
      <c r="D13" s="361"/>
      <c r="E13" s="361"/>
      <c r="F13" s="361"/>
      <c r="G13" s="361"/>
      <c r="H13" s="361"/>
      <c r="I13" s="361"/>
      <c r="J13" s="361"/>
      <c r="K13" s="361"/>
      <c r="L13" s="361"/>
      <c r="M13" s="6"/>
      <c r="N13" s="6"/>
      <c r="O13" s="362"/>
      <c r="P13" s="296"/>
      <c r="S13" s="359"/>
      <c r="T13" s="359"/>
      <c r="U13" s="359"/>
      <c r="V13" s="359"/>
      <c r="W13" s="359"/>
      <c r="X13" s="359"/>
      <c r="Y13" s="359"/>
      <c r="Z13" s="359"/>
      <c r="AA13" s="359"/>
      <c r="AB13" s="359"/>
      <c r="AC13" s="359"/>
      <c r="AD13" s="359"/>
      <c r="AE13" s="359"/>
      <c r="AF13" s="359"/>
      <c r="AG13" s="359"/>
      <c r="AH13" s="359"/>
      <c r="AI13" s="359"/>
    </row>
    <row r="14" spans="1:35" ht="18.75" customHeight="1">
      <c r="A14" s="6"/>
      <c r="B14" s="292"/>
      <c r="C14" s="292"/>
      <c r="D14" s="361"/>
      <c r="E14" s="361"/>
      <c r="F14" s="361"/>
      <c r="G14" s="361"/>
      <c r="H14" s="361"/>
      <c r="I14" s="361"/>
      <c r="J14" s="361"/>
      <c r="K14" s="361"/>
      <c r="L14" s="361"/>
      <c r="M14" s="6"/>
      <c r="N14" s="6"/>
      <c r="O14" s="362"/>
      <c r="P14" s="296"/>
      <c r="S14" s="359"/>
      <c r="T14" s="359"/>
      <c r="U14" s="359"/>
      <c r="V14" s="359"/>
      <c r="W14" s="359"/>
      <c r="X14" s="359"/>
      <c r="Y14" s="359"/>
      <c r="Z14" s="359"/>
      <c r="AA14" s="359"/>
      <c r="AB14" s="359"/>
      <c r="AC14" s="359"/>
      <c r="AD14" s="359"/>
      <c r="AE14" s="359"/>
      <c r="AF14" s="359"/>
      <c r="AG14" s="359"/>
      <c r="AH14" s="359"/>
      <c r="AI14" s="359"/>
    </row>
    <row r="15" spans="1:35" ht="18.75" customHeight="1">
      <c r="A15" s="6"/>
      <c r="B15" s="292"/>
      <c r="C15" s="292"/>
      <c r="D15" s="361"/>
      <c r="E15" s="361"/>
      <c r="F15" s="361"/>
      <c r="G15" s="361"/>
      <c r="H15" s="361"/>
      <c r="I15" s="361"/>
      <c r="J15" s="361"/>
      <c r="K15" s="361"/>
      <c r="L15" s="361"/>
      <c r="M15" s="6"/>
      <c r="N15" s="6"/>
      <c r="O15" s="362"/>
      <c r="P15" s="296"/>
      <c r="S15" s="359"/>
      <c r="T15" s="359"/>
      <c r="U15" s="359"/>
      <c r="V15" s="359"/>
      <c r="W15" s="359"/>
      <c r="X15" s="359"/>
      <c r="Y15" s="359"/>
      <c r="Z15" s="359"/>
      <c r="AA15" s="359"/>
      <c r="AB15" s="359"/>
      <c r="AC15" s="359"/>
      <c r="AD15" s="359"/>
      <c r="AE15" s="359"/>
      <c r="AF15" s="359"/>
      <c r="AG15" s="359"/>
      <c r="AH15" s="359"/>
      <c r="AI15" s="359"/>
    </row>
    <row r="16" spans="1:35" ht="18.75" customHeight="1">
      <c r="A16" s="6"/>
      <c r="B16" s="292"/>
      <c r="C16" s="292"/>
      <c r="D16" s="361"/>
      <c r="E16" s="361"/>
      <c r="F16" s="361"/>
      <c r="G16" s="361"/>
      <c r="H16" s="361"/>
      <c r="I16" s="361"/>
      <c r="J16" s="361"/>
      <c r="K16" s="361"/>
      <c r="L16" s="361"/>
      <c r="M16" s="6"/>
      <c r="N16" s="6"/>
      <c r="O16" s="362"/>
      <c r="P16" s="296"/>
      <c r="S16" s="359"/>
      <c r="T16" s="359"/>
      <c r="U16" s="359"/>
      <c r="V16" s="359"/>
      <c r="W16" s="359"/>
      <c r="X16" s="359"/>
      <c r="Y16" s="359"/>
      <c r="Z16" s="359"/>
      <c r="AA16" s="359"/>
      <c r="AB16" s="359"/>
      <c r="AC16" s="359"/>
      <c r="AD16" s="359"/>
      <c r="AE16" s="359"/>
      <c r="AF16" s="359"/>
      <c r="AG16" s="359"/>
      <c r="AH16" s="359"/>
      <c r="AI16" s="359"/>
    </row>
    <row r="17" spans="1:35" ht="17.25" customHeight="1">
      <c r="A17" s="6"/>
      <c r="B17" s="292"/>
      <c r="C17" s="292"/>
      <c r="D17" s="361"/>
      <c r="E17" s="361"/>
      <c r="F17" s="361"/>
      <c r="G17" s="361"/>
      <c r="H17" s="361"/>
      <c r="I17" s="361"/>
      <c r="J17" s="361"/>
      <c r="K17" s="361"/>
      <c r="L17" s="361"/>
      <c r="M17" s="6"/>
      <c r="N17" s="6"/>
      <c r="O17" s="362"/>
      <c r="P17" s="296"/>
      <c r="S17" s="359"/>
      <c r="T17" s="359"/>
      <c r="U17" s="359"/>
      <c r="V17" s="359"/>
      <c r="W17" s="359"/>
      <c r="X17" s="359"/>
      <c r="Y17" s="359"/>
      <c r="Z17" s="359"/>
      <c r="AA17" s="359"/>
      <c r="AB17" s="359"/>
      <c r="AC17" s="359"/>
      <c r="AD17" s="359"/>
      <c r="AE17" s="359"/>
      <c r="AF17" s="359"/>
      <c r="AG17" s="359"/>
      <c r="AH17" s="359"/>
      <c r="AI17" s="359"/>
    </row>
    <row r="18" spans="1:35" ht="6" customHeight="1">
      <c r="A18" s="6"/>
      <c r="B18" s="297"/>
      <c r="C18" s="292"/>
      <c r="D18" s="298"/>
      <c r="E18" s="602"/>
      <c r="F18" s="602"/>
      <c r="G18" s="602"/>
      <c r="H18" s="602"/>
      <c r="I18" s="602"/>
      <c r="J18" s="602"/>
      <c r="K18" s="602"/>
      <c r="L18" s="6"/>
      <c r="M18" s="6"/>
      <c r="N18" s="6"/>
      <c r="O18" s="6"/>
      <c r="P18" s="6"/>
      <c r="S18" s="359"/>
      <c r="T18" s="359"/>
      <c r="U18" s="359"/>
      <c r="V18" s="359"/>
      <c r="W18" s="359"/>
      <c r="X18" s="359"/>
      <c r="Y18" s="359"/>
      <c r="Z18" s="359"/>
      <c r="AA18" s="359"/>
      <c r="AB18" s="359"/>
      <c r="AC18" s="359"/>
      <c r="AD18" s="359"/>
      <c r="AE18" s="359"/>
      <c r="AF18" s="359"/>
      <c r="AG18" s="359"/>
      <c r="AH18" s="359"/>
      <c r="AI18" s="359"/>
    </row>
    <row r="19" spans="1:35" ht="24" customHeight="1">
      <c r="A19" s="6"/>
      <c r="B19" s="603" t="s">
        <v>383</v>
      </c>
      <c r="C19" s="603"/>
      <c r="D19" s="603"/>
      <c r="E19" s="365" t="s">
        <v>324</v>
      </c>
      <c r="F19" s="365" t="s">
        <v>384</v>
      </c>
      <c r="G19" s="604" t="s">
        <v>385</v>
      </c>
      <c r="H19" s="604"/>
      <c r="I19" s="605" t="s">
        <v>386</v>
      </c>
      <c r="J19" s="605"/>
      <c r="K19" s="366" t="s">
        <v>387</v>
      </c>
      <c r="L19" s="600" t="s">
        <v>388</v>
      </c>
      <c r="M19" s="600"/>
      <c r="N19" s="600"/>
      <c r="O19" s="600"/>
      <c r="P19" s="600"/>
      <c r="Q19" s="600"/>
      <c r="S19" s="367" t="s">
        <v>389</v>
      </c>
      <c r="T19" s="368">
        <v>0</v>
      </c>
      <c r="U19" s="369">
        <v>0.3</v>
      </c>
      <c r="V19" s="369">
        <v>0.6</v>
      </c>
      <c r="W19" s="369">
        <v>0.9</v>
      </c>
      <c r="X19" s="369">
        <v>1</v>
      </c>
      <c r="Y19" s="308"/>
      <c r="Z19" s="308"/>
      <c r="AA19" s="367" t="s">
        <v>390</v>
      </c>
      <c r="AB19" s="368">
        <v>0</v>
      </c>
      <c r="AC19" s="369">
        <v>0.2</v>
      </c>
      <c r="AD19" s="369">
        <v>0.4</v>
      </c>
      <c r="AE19" s="369">
        <v>0.6</v>
      </c>
      <c r="AF19" s="369">
        <v>0.8</v>
      </c>
      <c r="AG19" s="308"/>
      <c r="AH19" s="308"/>
      <c r="AI19" s="308"/>
    </row>
    <row r="20" spans="1:35" ht="168.75" customHeight="1">
      <c r="A20" s="6"/>
      <c r="B20" s="599" t="str">
        <f>+'Introducción de datos'!B119</f>
        <v>Pacientes gestionados (atendidos) por la comunidad de los 30 Municipios Priorizados durante el tratamiento (número y porcentaje) - TOP 10 -</v>
      </c>
      <c r="C20" s="599"/>
      <c r="D20" s="599"/>
      <c r="E20" s="370">
        <f ca="1">OFFSET('Introducción de datos'!$G$118,1,RIGHT('Introducción de datos'!$C$16,LEN('Introducción de datos'!$C$16)-1),1,1)</f>
        <v>15.2</v>
      </c>
      <c r="F20" s="370">
        <f ca="1">OFFSET('Introducción de datos'!$G$118,2,RIGHT('Introducción de datos'!$C$16,LEN('Introducción de datos'!$C$16)-1),1,1)</f>
        <v>13.82</v>
      </c>
      <c r="G20" s="591">
        <f aca="true" t="shared" si="0" ref="G20:G29">+IF(ISERROR(F20/E20),0,F20/E20)</f>
        <v>0.9092105263157896</v>
      </c>
      <c r="H20" s="591"/>
      <c r="I20" s="591"/>
      <c r="J20" s="591"/>
      <c r="K20" s="591"/>
      <c r="L20" s="601" t="s">
        <v>391</v>
      </c>
      <c r="M20" s="601"/>
      <c r="N20" s="601"/>
      <c r="O20" s="601"/>
      <c r="P20" s="601"/>
      <c r="Q20" s="601"/>
      <c r="S20" s="367" t="s">
        <v>392</v>
      </c>
      <c r="T20" s="371">
        <v>0.3</v>
      </c>
      <c r="U20" s="369">
        <v>0.6</v>
      </c>
      <c r="V20" s="369">
        <v>0.9</v>
      </c>
      <c r="W20" s="369">
        <v>1</v>
      </c>
      <c r="X20" s="369">
        <v>2</v>
      </c>
      <c r="Y20" s="308"/>
      <c r="Z20" s="308"/>
      <c r="AA20" s="367" t="s">
        <v>393</v>
      </c>
      <c r="AB20" s="371">
        <v>0.2</v>
      </c>
      <c r="AC20" s="369">
        <v>0.4</v>
      </c>
      <c r="AD20" s="369">
        <v>0.6</v>
      </c>
      <c r="AE20" s="369">
        <v>0.8</v>
      </c>
      <c r="AF20" s="369">
        <v>1</v>
      </c>
      <c r="AG20" s="308"/>
      <c r="AH20" s="308"/>
      <c r="AI20" s="308"/>
    </row>
    <row r="21" spans="1:35" ht="127.5" customHeight="1">
      <c r="A21" s="6"/>
      <c r="B21" s="599" t="str">
        <f>+'Introducción de datos'!B121</f>
        <v>   Número de casos nuevos de tuberculosis Bacteriologicamente (+) diagnosticados recientemente en cárceles  - TOP 10 -</v>
      </c>
      <c r="C21" s="599"/>
      <c r="D21" s="599"/>
      <c r="E21" s="372">
        <f ca="1">OFFSET('Introducción de datos'!$G$118,3,RIGHT('Introducción de datos'!$C$16,LEN('Introducción de datos'!$C$16)-1),1,1)</f>
        <v>243</v>
      </c>
      <c r="F21" s="372">
        <f ca="1">OFFSET('Introducción de datos'!$G$118,4,RIGHT('Introducción de datos'!$C$16,LEN('Introducción de datos'!$C$16)-1),1,1)</f>
        <v>495</v>
      </c>
      <c r="G21" s="591">
        <f t="shared" si="0"/>
        <v>2.037037037037037</v>
      </c>
      <c r="H21" s="591"/>
      <c r="I21" s="591"/>
      <c r="J21" s="591"/>
      <c r="K21" s="591"/>
      <c r="L21" s="592" t="s">
        <v>394</v>
      </c>
      <c r="M21" s="592"/>
      <c r="N21" s="592"/>
      <c r="O21" s="592"/>
      <c r="P21" s="592"/>
      <c r="Q21" s="592"/>
      <c r="S21" s="373"/>
      <c r="T21" s="374" t="str">
        <f>"de "&amp;T19&amp;" a "&amp;T20</f>
        <v>de 0 a 0.3</v>
      </c>
      <c r="U21" s="374" t="str">
        <f>"de "&amp;U19&amp;" a "&amp;U20</f>
        <v>de 0.3 a 0.6</v>
      </c>
      <c r="V21" s="374" t="str">
        <f>"de "&amp;V19&amp;" a "&amp;V20</f>
        <v>de 0.6 a 0.9</v>
      </c>
      <c r="W21" s="374" t="str">
        <f>"de "&amp;W19&amp;" a "&amp;W20</f>
        <v>de 0.9 a 1</v>
      </c>
      <c r="X21" s="374" t="str">
        <f>"de "&amp;X19&amp;" a "&amp;X20</f>
        <v>de 1 a 2</v>
      </c>
      <c r="Y21" s="308"/>
      <c r="Z21" s="375" t="s">
        <v>395</v>
      </c>
      <c r="AA21" s="376" t="s">
        <v>396</v>
      </c>
      <c r="AB21" s="374" t="str">
        <f>"de "&amp;AB19&amp;" a "&amp;AB20</f>
        <v>de 0 a 0.2</v>
      </c>
      <c r="AC21" s="374" t="str">
        <f>"de "&amp;AC19&amp;" a "&amp;AC20</f>
        <v>de 0.2 a 0.4</v>
      </c>
      <c r="AD21" s="374" t="str">
        <f>"de "&amp;AD19&amp;" a "&amp;AD20</f>
        <v>de 0.4 a 0.6</v>
      </c>
      <c r="AE21" s="374" t="str">
        <f>"de "&amp;AE19&amp;" a "&amp;AE20</f>
        <v>de 0.6 a 0.8</v>
      </c>
      <c r="AF21" s="374" t="str">
        <f>"de "&amp;AF19&amp;" a "&amp;AF20</f>
        <v>de 0.8 a 1</v>
      </c>
      <c r="AG21" s="308"/>
      <c r="AH21" s="308"/>
      <c r="AI21" s="308"/>
    </row>
    <row r="22" spans="1:35" ht="92.25" customHeight="1">
      <c r="A22" s="6"/>
      <c r="B22" s="599" t="str">
        <f>+'Introducción de datos'!B123</f>
        <v> Tasa de éxito del tratamiento para casos de tuberculosis con BK+ recientemente diagnosticados detectados en cárceles - TOP 10 -</v>
      </c>
      <c r="C22" s="599"/>
      <c r="D22" s="599"/>
      <c r="E22" s="370">
        <f ca="1">OFFSET('Introducción de datos'!$G$118,5,RIGHT('Introducción de datos'!$C$16,LEN('Introducción de datos'!$C$16)-1),1,1)</f>
        <v>97.1</v>
      </c>
      <c r="F22" s="370">
        <f ca="1">OFFSET('Introducción de datos'!$G$118,6,RIGHT('Introducción de datos'!$C$16,LEN('Introducción de datos'!$C$16)-1),1,1)</f>
        <v>96.89</v>
      </c>
      <c r="G22" s="591">
        <f t="shared" si="0"/>
        <v>0.9978372811534502</v>
      </c>
      <c r="H22" s="591"/>
      <c r="I22" s="591"/>
      <c r="J22" s="591"/>
      <c r="K22" s="591"/>
      <c r="L22" s="592" t="s">
        <v>397</v>
      </c>
      <c r="M22" s="592"/>
      <c r="N22" s="592"/>
      <c r="O22" s="592"/>
      <c r="P22" s="592"/>
      <c r="Q22" s="592"/>
      <c r="S22" s="373"/>
      <c r="T22" s="369" t="e">
        <f aca="true" t="shared" si="1" ref="T22:W32">IF($K20&gt;T$19,IF($K20&lt;=T$20,$K20,NA()),NA())</f>
        <v>#N/A</v>
      </c>
      <c r="U22" s="369" t="e">
        <f t="shared" si="1"/>
        <v>#N/A</v>
      </c>
      <c r="V22" s="369" t="e">
        <f t="shared" si="1"/>
        <v>#N/A</v>
      </c>
      <c r="W22" s="369" t="e">
        <f t="shared" si="1"/>
        <v>#N/A</v>
      </c>
      <c r="X22" s="369" t="e">
        <f>IF($K20&gt;X$19,IF($K20&lt;=X$20,1,NA()),NA())</f>
        <v>#N/A</v>
      </c>
      <c r="Y22" s="308"/>
      <c r="Z22" s="377" t="e">
        <f>+'Información de la subvención'!#REF!</f>
        <v>#REF!</v>
      </c>
      <c r="AA22" s="369" t="e">
        <f>+IF(Z22="A1",1,IF(Z22="A2",0.8,IF(Z22="B1",0.6,IF(Z22="B2",0.4,0.2))))</f>
        <v>#REF!</v>
      </c>
      <c r="AB22" s="369" t="e">
        <f>IF($AA22&gt;AB$19,IF($AA22&lt;=AB$20,$AA22,NA()),NA())</f>
        <v>#REF!</v>
      </c>
      <c r="AC22" s="369" t="e">
        <f aca="true" t="shared" si="2" ref="AC22:AF24">IF($AA22&gt;AC$19,IF($AA22&lt;=AC$20,$AA22,NA()),NA())</f>
        <v>#REF!</v>
      </c>
      <c r="AD22" s="369" t="e">
        <f t="shared" si="2"/>
        <v>#REF!</v>
      </c>
      <c r="AE22" s="369" t="e">
        <f t="shared" si="2"/>
        <v>#REF!</v>
      </c>
      <c r="AF22" s="369" t="e">
        <f t="shared" si="2"/>
        <v>#REF!</v>
      </c>
      <c r="AG22" s="308"/>
      <c r="AH22" s="308"/>
      <c r="AI22" s="308"/>
    </row>
    <row r="23" spans="1:35" ht="177.75" customHeight="1">
      <c r="A23" s="6"/>
      <c r="B23" s="599" t="str">
        <f>+'Introducción de datos'!B125</f>
        <v>Casos nuevos de tuberculosis Bk (+) captados directamente y/o referidos por la comunidad de los 30 Municipios Priorizados a servicios de diagnostico (número y porcentaje)</v>
      </c>
      <c r="C23" s="599"/>
      <c r="D23" s="599"/>
      <c r="E23" s="370">
        <f ca="1">OFFSET('Introducción de datos'!$G$118,7,RIGHT('Introducción de datos'!$C$16,LEN('Introducción de datos'!$C$16)-1),1,1)</f>
        <v>32.8</v>
      </c>
      <c r="F23" s="370">
        <f ca="1">OFFSET('Introducción de datos'!$G$118,8,RIGHT('Introducción de datos'!$C$16,LEN('Introducción de datos'!$C$16)-1),1,1)</f>
        <v>4.77</v>
      </c>
      <c r="G23" s="591">
        <f t="shared" si="0"/>
        <v>0.14542682926829267</v>
      </c>
      <c r="H23" s="591"/>
      <c r="I23" s="591"/>
      <c r="J23" s="591"/>
      <c r="K23" s="591"/>
      <c r="L23" s="592" t="s">
        <v>398</v>
      </c>
      <c r="M23" s="592"/>
      <c r="N23" s="592"/>
      <c r="O23" s="592"/>
      <c r="P23" s="592"/>
      <c r="Q23" s="592"/>
      <c r="S23" s="373"/>
      <c r="T23" s="369" t="e">
        <f t="shared" si="1"/>
        <v>#N/A</v>
      </c>
      <c r="U23" s="369" t="e">
        <f t="shared" si="1"/>
        <v>#N/A</v>
      </c>
      <c r="V23" s="369" t="e">
        <f t="shared" si="1"/>
        <v>#N/A</v>
      </c>
      <c r="W23" s="369" t="e">
        <f t="shared" si="1"/>
        <v>#N/A</v>
      </c>
      <c r="X23" s="369" t="e">
        <f>IF($K21&gt;X$19,IF($K21&lt;=X$20,1,1),NA())</f>
        <v>#N/A</v>
      </c>
      <c r="Y23" s="308"/>
      <c r="Z23" s="377" t="e">
        <f>+'Información de la subvención'!#REF!</f>
        <v>#REF!</v>
      </c>
      <c r="AA23" s="369" t="e">
        <f>+IF(Z23="A1",1,IF(Z23="A2",0.8,IF(Z23="B1",0.6,IF(Z23="B2",0.4,0.2))))</f>
        <v>#REF!</v>
      </c>
      <c r="AB23" s="369" t="e">
        <f>IF($AA23&gt;AB$19,IF($AA23&lt;=AB$20,$AA23,NA()),NA())</f>
        <v>#REF!</v>
      </c>
      <c r="AC23" s="369" t="e">
        <f t="shared" si="2"/>
        <v>#REF!</v>
      </c>
      <c r="AD23" s="369" t="e">
        <f t="shared" si="2"/>
        <v>#REF!</v>
      </c>
      <c r="AE23" s="369" t="e">
        <f t="shared" si="2"/>
        <v>#REF!</v>
      </c>
      <c r="AF23" s="369" t="e">
        <f t="shared" si="2"/>
        <v>#REF!</v>
      </c>
      <c r="AG23" s="308"/>
      <c r="AH23" s="308"/>
      <c r="AI23" s="308"/>
    </row>
    <row r="24" spans="1:35" ht="115.5" customHeight="1">
      <c r="A24" s="6"/>
      <c r="B24" s="599" t="str">
        <f>+'Introducción de datos'!B127</f>
        <v>Centros privados/públicos externos al programa PNT y que participan en actividades del sistema DOTS siguiendo las normas internacionales para la atención a los enfermos de tuberculosis (ISTC) entre todos los previstos en los 30 Municipios (número y porcentaje)</v>
      </c>
      <c r="C24" s="599"/>
      <c r="D24" s="599"/>
      <c r="E24" s="370">
        <f ca="1">OFFSET('Introducción de datos'!$G$118,9,RIGHT('Introducción de datos'!$C$16,LEN('Introducción de datos'!$C$16)-1),1,1)</f>
        <v>31.1</v>
      </c>
      <c r="F24" s="370">
        <f ca="1">OFFSET('Introducción de datos'!$G$118,10,RIGHT('Introducción de datos'!$C$16,LEN('Introducción de datos'!$C$16)-1),1,1)</f>
        <v>22.06</v>
      </c>
      <c r="G24" s="591">
        <f t="shared" si="0"/>
        <v>0.7093247588424436</v>
      </c>
      <c r="H24" s="591"/>
      <c r="I24" s="591"/>
      <c r="J24" s="591"/>
      <c r="K24" s="591"/>
      <c r="L24" s="592" t="s">
        <v>399</v>
      </c>
      <c r="M24" s="592"/>
      <c r="N24" s="592"/>
      <c r="O24" s="592"/>
      <c r="P24" s="592"/>
      <c r="Q24" s="592"/>
      <c r="S24" s="373"/>
      <c r="T24" s="369" t="e">
        <f t="shared" si="1"/>
        <v>#N/A</v>
      </c>
      <c r="U24" s="369" t="e">
        <f t="shared" si="1"/>
        <v>#N/A</v>
      </c>
      <c r="V24" s="369" t="e">
        <f t="shared" si="1"/>
        <v>#N/A</v>
      </c>
      <c r="W24" s="369" t="e">
        <f t="shared" si="1"/>
        <v>#N/A</v>
      </c>
      <c r="X24" s="369" t="e">
        <f aca="true" t="shared" si="3" ref="X24:X32">IF($K22&gt;X$19,IF($K22&lt;=X$20,1,NA()),NA())</f>
        <v>#N/A</v>
      </c>
      <c r="Y24" s="308"/>
      <c r="Z24" s="377" t="e">
        <f>+'Información de la subvención'!#REF!</f>
        <v>#REF!</v>
      </c>
      <c r="AA24" s="369" t="e">
        <f>+IF(Z24="A1",1,IF(Z24="A2",0.8,IF(Z24="B1",0.6,IF(Z24="B2",0.4,0.2))))</f>
        <v>#REF!</v>
      </c>
      <c r="AB24" s="369" t="e">
        <f>IF($AA24&gt;AB$19,IF($AA24&lt;=AB$20,$AA24,NA()),NA())</f>
        <v>#REF!</v>
      </c>
      <c r="AC24" s="369" t="e">
        <f t="shared" si="2"/>
        <v>#REF!</v>
      </c>
      <c r="AD24" s="369" t="e">
        <f t="shared" si="2"/>
        <v>#REF!</v>
      </c>
      <c r="AE24" s="369" t="e">
        <f t="shared" si="2"/>
        <v>#REF!</v>
      </c>
      <c r="AF24" s="369" t="e">
        <f t="shared" si="2"/>
        <v>#REF!</v>
      </c>
      <c r="AG24" s="308"/>
      <c r="AH24" s="308"/>
      <c r="AI24" s="308"/>
    </row>
    <row r="25" spans="1:35" ht="103.5" customHeight="1">
      <c r="A25" s="6"/>
      <c r="B25" s="599" t="str">
        <f>+'Introducción de datos'!B129</f>
        <v>Número de casos de tuberculosis (todas las formas) notificados a las autoridades nacionales - TOP 10 -</v>
      </c>
      <c r="C25" s="599"/>
      <c r="D25" s="599"/>
      <c r="E25" s="372">
        <f ca="1">OFFSET('Introducción de datos'!$G$118,11,RIGHT('Introducción de datos'!$C$16,LEN('Introducción de datos'!$C$16)-1),1,1)</f>
        <v>1253</v>
      </c>
      <c r="F25" s="372">
        <f ca="1">OFFSET('Introducción de datos'!$G$118,12,RIGHT('Introducción de datos'!$C$16,LEN('Introducción de datos'!$C$16)-1),1,1)</f>
        <v>1498</v>
      </c>
      <c r="G25" s="591">
        <f t="shared" si="0"/>
        <v>1.1955307262569832</v>
      </c>
      <c r="H25" s="591"/>
      <c r="I25" s="591"/>
      <c r="J25" s="591"/>
      <c r="K25" s="591"/>
      <c r="L25" s="592" t="s">
        <v>0</v>
      </c>
      <c r="M25" s="592"/>
      <c r="N25" s="592"/>
      <c r="O25" s="592"/>
      <c r="P25" s="592"/>
      <c r="Q25" s="592"/>
      <c r="S25" s="373"/>
      <c r="T25" s="369" t="e">
        <f t="shared" si="1"/>
        <v>#N/A</v>
      </c>
      <c r="U25" s="369" t="e">
        <f t="shared" si="1"/>
        <v>#N/A</v>
      </c>
      <c r="V25" s="369" t="e">
        <f t="shared" si="1"/>
        <v>#N/A</v>
      </c>
      <c r="W25" s="369" t="e">
        <f t="shared" si="1"/>
        <v>#N/A</v>
      </c>
      <c r="X25" s="369" t="e">
        <f t="shared" si="3"/>
        <v>#N/A</v>
      </c>
      <c r="Y25" s="308"/>
      <c r="Z25" s="308"/>
      <c r="AA25" s="308"/>
      <c r="AB25" s="308"/>
      <c r="AC25" s="308"/>
      <c r="AD25" s="308"/>
      <c r="AE25" s="308"/>
      <c r="AF25" s="308"/>
      <c r="AG25" s="308"/>
      <c r="AH25" s="308"/>
      <c r="AI25" s="308"/>
    </row>
    <row r="26" spans="1:35" ht="139.5" customHeight="1">
      <c r="A26" s="6"/>
      <c r="B26" s="599" t="str">
        <f>+'Introducción de datos'!B131</f>
        <v>Numero de casos de tuberculosis (Baciloscopias positivas) notificados a las autoridades nacionales - TOP 10 -</v>
      </c>
      <c r="C26" s="599"/>
      <c r="D26" s="599"/>
      <c r="E26" s="372">
        <f ca="1">OFFSET('Introducción de datos'!$G$118,13,RIGHT('Introducción de datos'!$C$16,LEN('Introducción de datos'!$C$16)-1),1,1)</f>
        <v>714</v>
      </c>
      <c r="F26" s="372">
        <f ca="1">OFFSET('Introducción de datos'!$G$118,14,RIGHT('Introducción de datos'!$C$16,LEN('Introducción de datos'!$C$16)-1),1,1)</f>
        <v>900</v>
      </c>
      <c r="G26" s="591">
        <f t="shared" si="0"/>
        <v>1.2605042016806722</v>
      </c>
      <c r="H26" s="591"/>
      <c r="I26" s="591"/>
      <c r="J26" s="591"/>
      <c r="K26" s="591"/>
      <c r="L26" s="592" t="s">
        <v>1</v>
      </c>
      <c r="M26" s="592"/>
      <c r="N26" s="592"/>
      <c r="O26" s="592"/>
      <c r="P26" s="592"/>
      <c r="Q26" s="592"/>
      <c r="S26" s="373"/>
      <c r="T26" s="369" t="e">
        <f t="shared" si="1"/>
        <v>#N/A</v>
      </c>
      <c r="U26" s="369" t="e">
        <f t="shared" si="1"/>
        <v>#N/A</v>
      </c>
      <c r="V26" s="369" t="e">
        <f t="shared" si="1"/>
        <v>#N/A</v>
      </c>
      <c r="W26" s="369" t="e">
        <f t="shared" si="1"/>
        <v>#N/A</v>
      </c>
      <c r="X26" s="369" t="e">
        <f t="shared" si="3"/>
        <v>#N/A</v>
      </c>
      <c r="Y26" s="308"/>
      <c r="Z26" s="308"/>
      <c r="AA26" s="308"/>
      <c r="AB26" s="308"/>
      <c r="AC26" s="308"/>
      <c r="AD26" s="308"/>
      <c r="AE26" s="308"/>
      <c r="AF26" s="308"/>
      <c r="AG26" s="308"/>
      <c r="AH26" s="308"/>
      <c r="AI26" s="308"/>
    </row>
    <row r="27" spans="1:35" ht="131.25" customHeight="1">
      <c r="A27" s="6"/>
      <c r="B27" s="599" t="str">
        <f>+'Introducción de datos'!B133</f>
        <v>Nuevos casos de tuberculosis con frotis positivo tratados con éxito (curados y completado tratamiento) entre todos los nuevos casos de tuberculosis con frotis positivo notificados a las autoridades nacionales (número)  - TOP 10 -</v>
      </c>
      <c r="C27" s="599"/>
      <c r="D27" s="599"/>
      <c r="E27" s="370">
        <f ca="1">OFFSET('Introducción de datos'!$G$118,15,RIGHT('Introducción de datos'!$C$16,LEN('Introducción de datos'!$C$16)-1),1,1)</f>
        <v>92.1</v>
      </c>
      <c r="F27" s="370">
        <f ca="1">OFFSET('Introducción de datos'!$G$118,16,RIGHT('Introducción de datos'!$C$16,LEN('Introducción de datos'!$C$16)-1),1,1)</f>
        <v>94.1</v>
      </c>
      <c r="G27" s="591">
        <f t="shared" si="0"/>
        <v>1.02171552660152</v>
      </c>
      <c r="H27" s="591"/>
      <c r="I27" s="591"/>
      <c r="J27" s="591"/>
      <c r="K27" s="591"/>
      <c r="L27" s="592" t="s">
        <v>2</v>
      </c>
      <c r="M27" s="592"/>
      <c r="N27" s="592"/>
      <c r="O27" s="592"/>
      <c r="P27" s="592"/>
      <c r="Q27" s="592"/>
      <c r="S27" s="373"/>
      <c r="T27" s="369" t="e">
        <f t="shared" si="1"/>
        <v>#N/A</v>
      </c>
      <c r="U27" s="369" t="e">
        <f t="shared" si="1"/>
        <v>#N/A</v>
      </c>
      <c r="V27" s="369" t="e">
        <f t="shared" si="1"/>
        <v>#N/A</v>
      </c>
      <c r="W27" s="369" t="e">
        <f t="shared" si="1"/>
        <v>#N/A</v>
      </c>
      <c r="X27" s="369" t="e">
        <f t="shared" si="3"/>
        <v>#N/A</v>
      </c>
      <c r="Y27" s="308"/>
      <c r="Z27" s="308"/>
      <c r="AA27" s="308"/>
      <c r="AB27" s="308"/>
      <c r="AC27" s="308"/>
      <c r="AD27" s="308"/>
      <c r="AE27" s="308"/>
      <c r="AF27" s="308"/>
      <c r="AG27" s="308"/>
      <c r="AH27" s="308"/>
      <c r="AI27" s="308"/>
    </row>
    <row r="28" spans="1:35" ht="92.25" customHeight="1">
      <c r="A28" s="6"/>
      <c r="B28" s="599" t="str">
        <f>+'Introducción de datos'!B135</f>
        <v>Pacientes con TB registrados que se han realizado pruebas del VIH (antes y durante el tratamiento para la TB) expresados en proporción del número total de todos los casos de TB registrados (número y porcentaje)</v>
      </c>
      <c r="C28" s="599"/>
      <c r="D28" s="599"/>
      <c r="E28" s="370">
        <f ca="1">OFFSET('Introducción de datos'!$G$118,17,RIGHT('Introducción de datos'!$C$16,LEN('Introducción de datos'!$C$16)-1),1,1)</f>
        <v>99</v>
      </c>
      <c r="F28" s="370">
        <f ca="1">OFFSET('Introducción de datos'!$G$118,18,RIGHT('Introducción de datos'!$C$16,LEN('Introducción de datos'!$C$16)-1),1,1)</f>
        <v>98.19</v>
      </c>
      <c r="G28" s="591">
        <f t="shared" si="0"/>
        <v>0.9918181818181818</v>
      </c>
      <c r="H28" s="591"/>
      <c r="I28" s="591"/>
      <c r="J28" s="591"/>
      <c r="K28" s="591"/>
      <c r="L28" s="592" t="s">
        <v>3</v>
      </c>
      <c r="M28" s="592"/>
      <c r="N28" s="592"/>
      <c r="O28" s="592"/>
      <c r="P28" s="592"/>
      <c r="Q28" s="592"/>
      <c r="S28" s="373"/>
      <c r="T28" s="369" t="e">
        <f t="shared" si="1"/>
        <v>#N/A</v>
      </c>
      <c r="U28" s="369" t="e">
        <f t="shared" si="1"/>
        <v>#N/A</v>
      </c>
      <c r="V28" s="369" t="e">
        <f t="shared" si="1"/>
        <v>#N/A</v>
      </c>
      <c r="W28" s="369" t="e">
        <f t="shared" si="1"/>
        <v>#N/A</v>
      </c>
      <c r="X28" s="369" t="e">
        <f t="shared" si="3"/>
        <v>#N/A</v>
      </c>
      <c r="Y28" s="308"/>
      <c r="Z28" s="308"/>
      <c r="AA28" s="308"/>
      <c r="AB28" s="308"/>
      <c r="AC28" s="308"/>
      <c r="AD28" s="308"/>
      <c r="AE28" s="308"/>
      <c r="AF28" s="308"/>
      <c r="AG28" s="308"/>
      <c r="AH28" s="308"/>
      <c r="AI28" s="308"/>
    </row>
    <row r="29" spans="1:35" ht="92.25" customHeight="1">
      <c r="A29" s="6"/>
      <c r="B29" s="599" t="str">
        <f>+'Introducción de datos'!B137</f>
        <v>Número y Porcentaje de adultos y niños inscritos en el Programa del VIH, que se sometieron a pruebas de la TB y se registro dicha información durante su última visita durante el período de reporte, de entre todos los adultos y niños inscritos en el programa VIH y atendidos durante el período de notificación.</v>
      </c>
      <c r="C29" s="599"/>
      <c r="D29" s="599"/>
      <c r="E29" s="370">
        <f ca="1">OFFSET('Introducción de datos'!$G$118,19,RIGHT('Introducción de datos'!$C$16,LEN('Introducción de datos'!$C$16)-1),1,1)</f>
        <v>92</v>
      </c>
      <c r="F29" s="370">
        <f ca="1">OFFSET('Introducción de datos'!$G$118,20,RIGHT('Introducción de datos'!$C$16,LEN('Introducción de datos'!$C$16)-1),1,1)</f>
        <v>100</v>
      </c>
      <c r="G29" s="591">
        <f t="shared" si="0"/>
        <v>1.0869565217391304</v>
      </c>
      <c r="H29" s="591"/>
      <c r="I29" s="591"/>
      <c r="J29" s="591"/>
      <c r="K29" s="591"/>
      <c r="L29" s="592" t="s">
        <v>4</v>
      </c>
      <c r="M29" s="592"/>
      <c r="N29" s="592"/>
      <c r="O29" s="592"/>
      <c r="P29" s="592"/>
      <c r="Q29" s="592"/>
      <c r="S29" s="373"/>
      <c r="T29" s="369" t="e">
        <f t="shared" si="1"/>
        <v>#N/A</v>
      </c>
      <c r="U29" s="369" t="e">
        <f t="shared" si="1"/>
        <v>#N/A</v>
      </c>
      <c r="V29" s="369" t="e">
        <f t="shared" si="1"/>
        <v>#N/A</v>
      </c>
      <c r="W29" s="369" t="e">
        <f t="shared" si="1"/>
        <v>#N/A</v>
      </c>
      <c r="X29" s="369" t="e">
        <f t="shared" si="3"/>
        <v>#N/A</v>
      </c>
      <c r="Y29" s="308"/>
      <c r="Z29" s="308"/>
      <c r="AA29" s="308"/>
      <c r="AB29" s="308"/>
      <c r="AC29" s="308"/>
      <c r="AD29" s="308"/>
      <c r="AE29" s="308"/>
      <c r="AF29" s="308"/>
      <c r="AG29" s="308"/>
      <c r="AH29" s="308"/>
      <c r="AI29" s="308"/>
    </row>
    <row r="30" spans="1:35" ht="92.25" customHeight="1">
      <c r="A30" s="6"/>
      <c r="B30" s="599" t="str">
        <f>+'Introducción de datos'!B139</f>
        <v>Numero y porcentaje de PVS que a los que se les descarto tuberculosis e inician quimioprofilaxis con INH.</v>
      </c>
      <c r="C30" s="599"/>
      <c r="D30" s="599"/>
      <c r="E30" s="370">
        <f ca="1">OFFSET('Introducción de datos'!$G$118,21,RIGHT('Introducción de datos'!$C$16,LEN('Introducción de datos'!$C$16)-1),1,1)</f>
        <v>93</v>
      </c>
      <c r="F30" s="370">
        <f ca="1">OFFSET('Introducción de datos'!$G$118,22,RIGHT('Introducción de datos'!$C$16,LEN('Introducción de datos'!$C$16)-1),1,1)</f>
        <v>20.43</v>
      </c>
      <c r="G30" s="591">
        <f aca="true" t="shared" si="4" ref="G30:G35">+IF(ISERROR(F30/E30),0,F30/E30)</f>
        <v>0.2196774193548387</v>
      </c>
      <c r="H30" s="591"/>
      <c r="I30" s="591"/>
      <c r="J30" s="591"/>
      <c r="K30" s="591"/>
      <c r="L30" s="592" t="s">
        <v>5</v>
      </c>
      <c r="M30" s="592"/>
      <c r="N30" s="592"/>
      <c r="O30" s="592"/>
      <c r="P30" s="592"/>
      <c r="Q30" s="592"/>
      <c r="S30" s="373"/>
      <c r="T30" s="369" t="e">
        <f>IF($K29&gt;T$19,IF($K29&lt;=T$20,$K29,NA()),NA())</f>
        <v>#N/A</v>
      </c>
      <c r="U30" s="369" t="e">
        <f>IF($K29&gt;U$19,IF($K29&lt;=U$20,$K29,NA()),NA())</f>
        <v>#N/A</v>
      </c>
      <c r="V30" s="369" t="e">
        <f>IF($K29&gt;V$19,IF($K29&lt;=V$20,$K29,NA()),NA())</f>
        <v>#N/A</v>
      </c>
      <c r="W30" s="369" t="e">
        <f>IF($K29&gt;W$19,IF($K29&lt;=W$20,$K29,NA()),NA())</f>
        <v>#N/A</v>
      </c>
      <c r="X30" s="369" t="e">
        <f>IF($K29&gt;X$19,IF($K29&lt;=X$20,1,NA()),NA())</f>
        <v>#N/A</v>
      </c>
      <c r="Y30" s="308"/>
      <c r="Z30" s="308"/>
      <c r="AA30" s="308"/>
      <c r="AB30" s="308"/>
      <c r="AC30" s="308"/>
      <c r="AD30" s="308"/>
      <c r="AE30" s="308"/>
      <c r="AF30" s="308"/>
      <c r="AG30" s="308"/>
      <c r="AH30" s="308"/>
      <c r="AI30" s="308"/>
    </row>
    <row r="31" spans="1:35" ht="111.75" customHeight="1">
      <c r="A31" s="6"/>
      <c r="B31" s="598" t="str">
        <f>+'Introducción de datos'!B141</f>
        <v>Numero y Porcentaje de PVS con tuberculosis que iniciaron o continúan TAR durante o al final del tratamiento de la tuberculosis entre todos las PVS con tuberculosis registrados durante el periodo que se examina.    - TOP 10  -</v>
      </c>
      <c r="C31" s="598"/>
      <c r="D31" s="598"/>
      <c r="E31" s="370">
        <f ca="1">OFFSET('Introducción de datos'!$G$118,23,RIGHT('Introducción de datos'!$C$16,LEN('Introducción de datos'!$C$16)-1),1,1)</f>
        <v>68.8</v>
      </c>
      <c r="F31" s="370">
        <f ca="1">OFFSET('Introducción de datos'!$G$118,24,RIGHT('Introducción de datos'!$C$16,LEN('Introducción de datos'!$C$16)-1),1,1)</f>
        <v>82.8</v>
      </c>
      <c r="G31" s="591">
        <f t="shared" si="4"/>
        <v>1.2034883720930232</v>
      </c>
      <c r="H31" s="591"/>
      <c r="I31" s="591"/>
      <c r="J31" s="591"/>
      <c r="K31" s="591"/>
      <c r="L31" s="592" t="s">
        <v>6</v>
      </c>
      <c r="M31" s="592"/>
      <c r="N31" s="592"/>
      <c r="O31" s="592"/>
      <c r="P31" s="592"/>
      <c r="Q31" s="592"/>
      <c r="S31" s="373"/>
      <c r="T31" s="369" t="e">
        <f>IF(#REF!&gt;T$19,IF(#REF!&lt;=T$20,#REF!,NA()),NA())</f>
        <v>#REF!</v>
      </c>
      <c r="U31" s="369" t="e">
        <f>IF(#REF!&gt;U$19,IF(#REF!&lt;=U$20,#REF!,NA()),NA())</f>
        <v>#REF!</v>
      </c>
      <c r="V31" s="369" t="e">
        <f>IF(#REF!&gt;V$19,IF(#REF!&lt;=V$20,#REF!,NA()),NA())</f>
        <v>#REF!</v>
      </c>
      <c r="W31" s="369" t="e">
        <f>IF(#REF!&gt;W$19,IF(#REF!&lt;=W$20,#REF!,NA()),NA())</f>
        <v>#REF!</v>
      </c>
      <c r="X31" s="369" t="e">
        <f>IF(#REF!&gt;X$19,IF(#REF!&lt;=X$20,1,NA()),NA())</f>
        <v>#REF!</v>
      </c>
      <c r="Y31" s="308"/>
      <c r="Z31" s="308"/>
      <c r="AA31" s="308"/>
      <c r="AB31" s="308"/>
      <c r="AC31" s="308"/>
      <c r="AD31" s="308"/>
      <c r="AE31" s="308"/>
      <c r="AF31" s="308"/>
      <c r="AG31" s="308"/>
      <c r="AH31" s="308"/>
      <c r="AI31" s="308"/>
    </row>
    <row r="32" spans="1:35" ht="92.25" customHeight="1">
      <c r="A32" s="6"/>
      <c r="B32" s="598" t="e">
        <f>+#REF!</f>
        <v>#REF!</v>
      </c>
      <c r="C32" s="598"/>
      <c r="D32" s="598"/>
      <c r="E32" s="370">
        <f ca="1">OFFSET('Introducción de datos'!$G$118,25,RIGHT('Introducción de datos'!$C$16,LEN('Introducción de datos'!$C$16)-1),1,1)</f>
        <v>93.86</v>
      </c>
      <c r="F32" s="370">
        <f ca="1">OFFSET('Introducción de datos'!$G$118,26,RIGHT('Introducción de datos'!$C$16,LEN('Introducción de datos'!$C$16)-1),1,1)</f>
        <v>95.83</v>
      </c>
      <c r="G32" s="591">
        <f t="shared" si="4"/>
        <v>1.0209887065842744</v>
      </c>
      <c r="H32" s="591"/>
      <c r="I32" s="591"/>
      <c r="J32" s="591"/>
      <c r="K32" s="591"/>
      <c r="L32" s="592" t="s">
        <v>7</v>
      </c>
      <c r="M32" s="592"/>
      <c r="N32" s="592"/>
      <c r="O32" s="592"/>
      <c r="P32" s="592"/>
      <c r="Q32" s="592"/>
      <c r="S32" s="373"/>
      <c r="T32" s="369" t="e">
        <f t="shared" si="1"/>
        <v>#N/A</v>
      </c>
      <c r="U32" s="369" t="e">
        <f t="shared" si="1"/>
        <v>#N/A</v>
      </c>
      <c r="V32" s="369" t="e">
        <f t="shared" si="1"/>
        <v>#N/A</v>
      </c>
      <c r="W32" s="369" t="e">
        <f t="shared" si="1"/>
        <v>#N/A</v>
      </c>
      <c r="X32" s="369" t="e">
        <f t="shared" si="3"/>
        <v>#N/A</v>
      </c>
      <c r="Y32" s="308"/>
      <c r="Z32" s="308"/>
      <c r="AA32" s="308"/>
      <c r="AB32" s="308"/>
      <c r="AC32" s="308"/>
      <c r="AD32" s="308"/>
      <c r="AE32" s="308"/>
      <c r="AF32" s="308"/>
      <c r="AG32" s="308"/>
      <c r="AH32" s="308"/>
      <c r="AI32" s="308"/>
    </row>
    <row r="33" spans="1:35" ht="92.25" customHeight="1">
      <c r="A33" s="6"/>
      <c r="B33" s="598" t="e">
        <f>+#REF!</f>
        <v>#REF!</v>
      </c>
      <c r="C33" s="598"/>
      <c r="D33" s="598"/>
      <c r="E33" s="370">
        <f ca="1">OFFSET('Introducción de datos'!$G$118,27,RIGHT('Introducción de datos'!$C$16,LEN('Introducción de datos'!$C$16)-1),1,1)</f>
        <v>100</v>
      </c>
      <c r="F33" s="370">
        <f ca="1">OFFSET('Introducción de datos'!$G$118,28,RIGHT('Introducción de datos'!$C$16,LEN('Introducción de datos'!$C$16)-1),1,1)</f>
        <v>100</v>
      </c>
      <c r="G33" s="591">
        <f t="shared" si="4"/>
        <v>1</v>
      </c>
      <c r="H33" s="591"/>
      <c r="I33" s="591"/>
      <c r="J33" s="591"/>
      <c r="K33" s="591"/>
      <c r="L33" s="592" t="s">
        <v>8</v>
      </c>
      <c r="M33" s="592"/>
      <c r="N33" s="592"/>
      <c r="O33" s="592"/>
      <c r="P33" s="592"/>
      <c r="Q33" s="592"/>
      <c r="S33" s="308"/>
      <c r="T33" s="308"/>
      <c r="U33" s="308"/>
      <c r="V33" s="308"/>
      <c r="W33" s="308"/>
      <c r="X33" s="308"/>
      <c r="Y33" s="308"/>
      <c r="Z33" s="308"/>
      <c r="AA33" s="308"/>
      <c r="AB33" s="308"/>
      <c r="AC33" s="308"/>
      <c r="AD33" s="308"/>
      <c r="AE33" s="308"/>
      <c r="AF33" s="308"/>
      <c r="AG33" s="308"/>
      <c r="AH33" s="308"/>
      <c r="AI33" s="308"/>
    </row>
    <row r="34" spans="1:35" ht="92.25" customHeight="1">
      <c r="A34" s="6"/>
      <c r="B34" s="595" t="e">
        <f>+#REF!</f>
        <v>#REF!</v>
      </c>
      <c r="C34" s="595"/>
      <c r="D34" s="595"/>
      <c r="E34" s="370">
        <f ca="1">OFFSET('Introducción de datos'!$G$118,29,RIGHT('Introducción de datos'!$C$16,LEN('Introducción de datos'!$C$16)-1),1,1)</f>
        <v>100</v>
      </c>
      <c r="F34" s="370">
        <f ca="1">OFFSET('Introducción de datos'!$G$118,30,RIGHT('Introducción de datos'!$C$16,LEN('Introducción de datos'!$C$16)-1),1,1)</f>
        <v>100</v>
      </c>
      <c r="G34" s="591">
        <f t="shared" si="4"/>
        <v>1</v>
      </c>
      <c r="H34" s="591"/>
      <c r="I34" s="591"/>
      <c r="J34" s="591"/>
      <c r="K34" s="591"/>
      <c r="L34" s="592" t="s">
        <v>9</v>
      </c>
      <c r="M34" s="592"/>
      <c r="N34" s="592"/>
      <c r="O34" s="592"/>
      <c r="P34" s="592"/>
      <c r="Q34" s="592"/>
      <c r="S34" s="308"/>
      <c r="T34" s="308"/>
      <c r="U34" s="308"/>
      <c r="V34" s="308"/>
      <c r="W34" s="308"/>
      <c r="X34" s="308"/>
      <c r="Y34" s="308"/>
      <c r="Z34" s="308"/>
      <c r="AA34" s="308"/>
      <c r="AB34" s="308"/>
      <c r="AC34" s="308"/>
      <c r="AD34" s="308"/>
      <c r="AE34" s="308"/>
      <c r="AF34" s="308"/>
      <c r="AG34" s="308"/>
      <c r="AH34" s="308"/>
      <c r="AI34" s="308"/>
    </row>
    <row r="35" spans="1:35" ht="92.25" customHeight="1">
      <c r="A35" s="6"/>
      <c r="B35" s="595" t="e">
        <f>+#REF!</f>
        <v>#REF!</v>
      </c>
      <c r="C35" s="595"/>
      <c r="D35" s="595"/>
      <c r="E35" s="378">
        <f ca="1">OFFSET('Introducción de datos'!$G$118,31,RIGHT('Introducción de datos'!$C$16,LEN('Introducción de datos'!$C$16)-1),1,1)</f>
        <v>83.3</v>
      </c>
      <c r="F35" s="378">
        <f ca="1">OFFSET('Introducción de datos'!$G$118,32,RIGHT('Introducción de datos'!$C$16,LEN('Introducción de datos'!$C$16)-1),1,1)</f>
        <v>100</v>
      </c>
      <c r="G35" s="591">
        <f t="shared" si="4"/>
        <v>1.2004801920768309</v>
      </c>
      <c r="H35" s="591"/>
      <c r="I35" s="591"/>
      <c r="J35" s="591"/>
      <c r="K35" s="591"/>
      <c r="L35" s="596" t="s">
        <v>10</v>
      </c>
      <c r="M35" s="596"/>
      <c r="N35" s="596"/>
      <c r="O35" s="596"/>
      <c r="P35" s="596"/>
      <c r="Q35" s="596"/>
      <c r="S35" s="308"/>
      <c r="T35" s="308"/>
      <c r="U35" s="308"/>
      <c r="V35" s="308"/>
      <c r="W35" s="308"/>
      <c r="X35" s="308"/>
      <c r="Y35" s="308"/>
      <c r="Z35" s="308"/>
      <c r="AA35" s="308"/>
      <c r="AB35" s="308"/>
      <c r="AC35" s="308"/>
      <c r="AD35" s="308"/>
      <c r="AE35" s="308"/>
      <c r="AF35" s="308"/>
      <c r="AG35" s="308"/>
      <c r="AH35" s="308"/>
      <c r="AI35" s="308"/>
    </row>
    <row r="36" spans="1:35" ht="36" customHeight="1">
      <c r="A36" s="6"/>
      <c r="B36" s="379"/>
      <c r="C36" s="597" t="s">
        <v>11</v>
      </c>
      <c r="D36" s="597"/>
      <c r="E36" s="597"/>
      <c r="F36" s="597"/>
      <c r="G36" s="597"/>
      <c r="H36" s="597"/>
      <c r="I36" s="597"/>
      <c r="J36" s="597"/>
      <c r="K36" s="597"/>
      <c r="L36" s="597"/>
      <c r="M36" s="597"/>
      <c r="N36" s="597"/>
      <c r="O36" s="597"/>
      <c r="P36" s="597"/>
      <c r="Q36" s="597"/>
      <c r="S36" s="308"/>
      <c r="T36" s="308"/>
      <c r="U36" s="308"/>
      <c r="V36" s="308"/>
      <c r="W36" s="308"/>
      <c r="X36" s="308"/>
      <c r="Y36" s="308"/>
      <c r="Z36" s="308"/>
      <c r="AA36" s="308"/>
      <c r="AB36" s="308"/>
      <c r="AC36" s="308"/>
      <c r="AD36" s="308"/>
      <c r="AE36" s="308"/>
      <c r="AF36" s="308"/>
      <c r="AG36" s="308"/>
      <c r="AH36" s="308"/>
      <c r="AI36" s="308"/>
    </row>
    <row r="37" spans="1:35" ht="205.5" customHeight="1">
      <c r="A37" s="6"/>
      <c r="B37" s="590" t="s">
        <v>342</v>
      </c>
      <c r="C37" s="590"/>
      <c r="D37" s="590"/>
      <c r="E37" s="380">
        <f ca="1">OFFSET('Introducción de datos'!$G$118,35,RIGHT('Introducción de datos'!$C$16,LEN('Introducción de datos'!$C$16)-1),1,1)</f>
        <v>11.1</v>
      </c>
      <c r="F37" s="380">
        <f ca="1">OFFSET('Introducción de datos'!$G$118,36,RIGHT('Introducción de datos'!$C$16,LEN('Introducción de datos'!$C$16)-1),1,1)</f>
        <v>24.39</v>
      </c>
      <c r="G37" s="593">
        <f aca="true" t="shared" si="5" ref="G37:G42">+IF(ISERROR(F37/E37),0,F37/E37)</f>
        <v>2.1972972972972973</v>
      </c>
      <c r="H37" s="593"/>
      <c r="I37" s="593"/>
      <c r="J37" s="593"/>
      <c r="K37" s="593"/>
      <c r="L37" s="594" t="s">
        <v>12</v>
      </c>
      <c r="M37" s="594"/>
      <c r="N37" s="594"/>
      <c r="O37" s="594"/>
      <c r="P37" s="594"/>
      <c r="Q37" s="594"/>
      <c r="S37" s="308"/>
      <c r="T37" s="308"/>
      <c r="U37" s="308"/>
      <c r="V37" s="308"/>
      <c r="W37" s="308"/>
      <c r="X37" s="308"/>
      <c r="Y37" s="308"/>
      <c r="Z37" s="308"/>
      <c r="AA37" s="308"/>
      <c r="AB37" s="308"/>
      <c r="AC37" s="308"/>
      <c r="AD37" s="308"/>
      <c r="AE37" s="308"/>
      <c r="AF37" s="308"/>
      <c r="AG37" s="308"/>
      <c r="AH37" s="308"/>
      <c r="AI37" s="308"/>
    </row>
    <row r="38" spans="1:35" ht="221.25" customHeight="1">
      <c r="A38" s="6"/>
      <c r="B38" s="590" t="s">
        <v>345</v>
      </c>
      <c r="C38" s="590"/>
      <c r="D38" s="590"/>
      <c r="E38" s="370">
        <f ca="1">OFFSET('Introducción de datos'!$G$118,37,RIGHT('Introducción de datos'!$C$16,LEN('Introducción de datos'!$C$16)-1),1,1)</f>
        <v>39.1</v>
      </c>
      <c r="F38" s="370">
        <f ca="1">OFFSET('Introducción de datos'!$G$118,38,RIGHT('Introducción de datos'!$C$16,LEN('Introducción de datos'!$C$16)-1),1,1)</f>
        <v>50.21</v>
      </c>
      <c r="G38" s="591">
        <f t="shared" si="5"/>
        <v>1.2841432225063938</v>
      </c>
      <c r="H38" s="591"/>
      <c r="I38" s="591"/>
      <c r="J38" s="591"/>
      <c r="K38" s="591"/>
      <c r="L38" s="592" t="s">
        <v>13</v>
      </c>
      <c r="M38" s="592"/>
      <c r="N38" s="592"/>
      <c r="O38" s="592"/>
      <c r="P38" s="592"/>
      <c r="Q38" s="592"/>
      <c r="S38" s="308"/>
      <c r="T38" s="308"/>
      <c r="U38" s="308"/>
      <c r="V38" s="308"/>
      <c r="W38" s="308"/>
      <c r="X38" s="308"/>
      <c r="Y38" s="308"/>
      <c r="Z38" s="308"/>
      <c r="AA38" s="308"/>
      <c r="AB38" s="308"/>
      <c r="AC38" s="308"/>
      <c r="AD38" s="308"/>
      <c r="AE38" s="308"/>
      <c r="AF38" s="308"/>
      <c r="AG38" s="308"/>
      <c r="AH38" s="308"/>
      <c r="AI38" s="308"/>
    </row>
    <row r="39" spans="1:35" ht="110.25" customHeight="1">
      <c r="A39" s="6"/>
      <c r="B39" s="590" t="s">
        <v>347</v>
      </c>
      <c r="C39" s="590"/>
      <c r="D39" s="590"/>
      <c r="E39" s="370">
        <f ca="1">OFFSET('Introducción de datos'!$G$118,39,RIGHT('Introducción de datos'!$C$16,LEN('Introducción de datos'!$C$16)-1),1,1)</f>
        <v>18</v>
      </c>
      <c r="F39" s="380">
        <f ca="1">OFFSET('Introducción de datos'!$G$118,40,RIGHT('Introducción de datos'!$C$16,LEN('Introducción de datos'!$C$16)-1),1,1)</f>
        <v>30.16</v>
      </c>
      <c r="G39" s="591">
        <f t="shared" si="5"/>
        <v>1.6755555555555555</v>
      </c>
      <c r="H39" s="591"/>
      <c r="I39" s="591"/>
      <c r="J39" s="591"/>
      <c r="K39" s="591"/>
      <c r="L39" s="592" t="s">
        <v>14</v>
      </c>
      <c r="M39" s="592"/>
      <c r="N39" s="592"/>
      <c r="O39" s="592"/>
      <c r="P39" s="592"/>
      <c r="Q39" s="592"/>
      <c r="S39" s="308"/>
      <c r="T39" s="308"/>
      <c r="U39" s="308"/>
      <c r="V39" s="308"/>
      <c r="W39" s="308"/>
      <c r="X39" s="308"/>
      <c r="Y39" s="308"/>
      <c r="Z39" s="308"/>
      <c r="AA39" s="308"/>
      <c r="AB39" s="308"/>
      <c r="AC39" s="308"/>
      <c r="AD39" s="308"/>
      <c r="AE39" s="308"/>
      <c r="AF39" s="308"/>
      <c r="AG39" s="308"/>
      <c r="AH39" s="308"/>
      <c r="AI39" s="308"/>
    </row>
    <row r="40" spans="1:35" ht="117.75" customHeight="1">
      <c r="A40" s="6"/>
      <c r="B40" s="590" t="s">
        <v>348</v>
      </c>
      <c r="C40" s="590"/>
      <c r="D40" s="590"/>
      <c r="E40" s="381">
        <f ca="1">OFFSET('Introducción de datos'!$G$118,41,RIGHT('Introducción de datos'!$C$16,LEN('Introducción de datos'!$C$16)-1),1,1)</f>
        <v>0.99999</v>
      </c>
      <c r="F40" s="381">
        <f ca="1">OFFSET('Introducción de datos'!$G$118,42,RIGHT('Introducción de datos'!$C$16,LEN('Introducción de datos'!$C$16)-1),1,1)</f>
        <v>2.61</v>
      </c>
      <c r="G40" s="591">
        <f t="shared" si="5"/>
        <v>2.6100261002610026</v>
      </c>
      <c r="H40" s="591"/>
      <c r="I40" s="591"/>
      <c r="J40" s="591"/>
      <c r="K40" s="591"/>
      <c r="L40" s="592" t="s">
        <v>15</v>
      </c>
      <c r="M40" s="592"/>
      <c r="N40" s="592"/>
      <c r="O40" s="592"/>
      <c r="P40" s="592"/>
      <c r="Q40" s="592"/>
      <c r="S40" s="308"/>
      <c r="T40" s="308"/>
      <c r="U40" s="308"/>
      <c r="V40" s="308"/>
      <c r="W40" s="308"/>
      <c r="X40" s="308"/>
      <c r="Y40" s="308"/>
      <c r="Z40" s="308"/>
      <c r="AA40" s="308"/>
      <c r="AB40" s="308"/>
      <c r="AC40" s="308"/>
      <c r="AD40" s="308"/>
      <c r="AE40" s="308"/>
      <c r="AF40" s="308"/>
      <c r="AG40" s="308"/>
      <c r="AH40" s="308"/>
      <c r="AI40" s="308"/>
    </row>
    <row r="41" spans="1:35" ht="103.5" customHeight="1">
      <c r="A41" s="6"/>
      <c r="B41" s="590" t="s">
        <v>349</v>
      </c>
      <c r="C41" s="590"/>
      <c r="D41" s="590"/>
      <c r="E41" s="372">
        <f ca="1">OFFSET('Introducción de datos'!$G$118,43,RIGHT('Introducción de datos'!$C$16,LEN('Introducción de datos'!$C$16)-1),1,1)</f>
        <v>91</v>
      </c>
      <c r="F41" s="372">
        <f ca="1">OFFSET('Introducción de datos'!$G$118,44,RIGHT('Introducción de datos'!$C$16,LEN('Introducción de datos'!$C$16)-1),1,1)</f>
        <v>94.1</v>
      </c>
      <c r="G41" s="591">
        <f t="shared" si="5"/>
        <v>1.034065934065934</v>
      </c>
      <c r="H41" s="591"/>
      <c r="I41" s="591"/>
      <c r="J41" s="591"/>
      <c r="K41" s="591"/>
      <c r="L41" s="592" t="s">
        <v>16</v>
      </c>
      <c r="M41" s="592"/>
      <c r="N41" s="592"/>
      <c r="O41" s="592"/>
      <c r="P41" s="592"/>
      <c r="Q41" s="592"/>
      <c r="S41" s="308"/>
      <c r="T41" s="308"/>
      <c r="U41" s="308"/>
      <c r="V41" s="308"/>
      <c r="W41" s="308"/>
      <c r="X41" s="308"/>
      <c r="Y41" s="308"/>
      <c r="Z41" s="308"/>
      <c r="AA41" s="308"/>
      <c r="AB41" s="308"/>
      <c r="AC41" s="308"/>
      <c r="AD41" s="308"/>
      <c r="AE41" s="308"/>
      <c r="AF41" s="308"/>
      <c r="AG41" s="308"/>
      <c r="AH41" s="308"/>
      <c r="AI41" s="308"/>
    </row>
    <row r="42" spans="1:35" ht="126" customHeight="1">
      <c r="A42" s="6"/>
      <c r="B42" s="590" t="s">
        <v>350</v>
      </c>
      <c r="C42" s="590"/>
      <c r="D42" s="590"/>
      <c r="E42" s="372">
        <f ca="1">OFFSET('Introducción de datos'!$G$118,45,RIGHT('Introducción de datos'!$C$16,LEN('Introducción de datos'!$C$16)-1),1,1)</f>
        <v>83</v>
      </c>
      <c r="F42" s="372">
        <f ca="1">OFFSET('Introducción de datos'!$G$118,46,RIGHT('Introducción de datos'!$C$16,LEN('Introducción de datos'!$C$16)-1),1,1)</f>
        <v>100</v>
      </c>
      <c r="G42" s="591">
        <f t="shared" si="5"/>
        <v>1.2048192771084338</v>
      </c>
      <c r="H42" s="591"/>
      <c r="I42" s="591"/>
      <c r="J42" s="591"/>
      <c r="K42" s="591"/>
      <c r="L42" s="592" t="s">
        <v>17</v>
      </c>
      <c r="M42" s="592"/>
      <c r="N42" s="592"/>
      <c r="O42" s="592"/>
      <c r="P42" s="592"/>
      <c r="Q42" s="592"/>
      <c r="S42" s="308"/>
      <c r="T42" s="308"/>
      <c r="U42" s="308"/>
      <c r="V42" s="308"/>
      <c r="W42" s="308"/>
      <c r="X42" s="308"/>
      <c r="Y42" s="308"/>
      <c r="Z42" s="308"/>
      <c r="AA42" s="308"/>
      <c r="AB42" s="308"/>
      <c r="AC42" s="308"/>
      <c r="AD42" s="308"/>
      <c r="AE42" s="308"/>
      <c r="AF42" s="308"/>
      <c r="AG42" s="308"/>
      <c r="AH42" s="308"/>
      <c r="AI42" s="308"/>
    </row>
    <row r="43" spans="1:35" ht="15">
      <c r="A43" s="6"/>
      <c r="B43" s="6"/>
      <c r="C43" s="6"/>
      <c r="D43" s="6"/>
      <c r="E43" s="6"/>
      <c r="F43" s="6"/>
      <c r="G43" s="6"/>
      <c r="H43" s="6"/>
      <c r="I43" s="382"/>
      <c r="J43" s="89"/>
      <c r="K43" s="89"/>
      <c r="L43" s="6"/>
      <c r="M43" s="6"/>
      <c r="N43" s="6"/>
      <c r="O43" s="6"/>
      <c r="P43" s="6"/>
      <c r="S43" s="308"/>
      <c r="T43" s="308"/>
      <c r="U43" s="308"/>
      <c r="V43" s="308"/>
      <c r="W43" s="308"/>
      <c r="X43" s="308"/>
      <c r="Y43" s="308"/>
      <c r="Z43" s="308"/>
      <c r="AA43" s="308"/>
      <c r="AB43" s="308"/>
      <c r="AC43" s="308"/>
      <c r="AD43" s="308"/>
      <c r="AE43" s="308"/>
      <c r="AF43" s="308"/>
      <c r="AG43" s="308"/>
      <c r="AH43" s="308"/>
      <c r="AI43" s="308"/>
    </row>
    <row r="44" spans="1:35" ht="14.25" customHeight="1">
      <c r="A44" s="6"/>
      <c r="B44" s="6"/>
      <c r="C44" s="6"/>
      <c r="D44" s="6"/>
      <c r="E44" s="6"/>
      <c r="F44" s="6"/>
      <c r="G44" s="589" t="s">
        <v>18</v>
      </c>
      <c r="H44" s="589"/>
      <c r="I44" s="589"/>
      <c r="J44" s="589"/>
      <c r="K44" s="589"/>
      <c r="L44" s="589"/>
      <c r="M44" s="589"/>
      <c r="N44" s="589"/>
      <c r="O44" s="589"/>
      <c r="P44" s="589"/>
      <c r="Q44" s="589"/>
      <c r="S44" s="308"/>
      <c r="T44" s="308"/>
      <c r="U44" s="308"/>
      <c r="V44" s="308"/>
      <c r="W44" s="308"/>
      <c r="X44" s="308"/>
      <c r="Y44" s="308"/>
      <c r="Z44" s="308"/>
      <c r="AA44" s="308"/>
      <c r="AB44" s="308"/>
      <c r="AC44" s="308"/>
      <c r="AD44" s="308"/>
      <c r="AE44" s="308"/>
      <c r="AF44" s="308"/>
      <c r="AG44" s="308"/>
      <c r="AH44" s="308"/>
      <c r="AI44" s="308"/>
    </row>
  </sheetData>
  <sheetProtection selectLockedCells="1" selectUnlockedCells="1"/>
  <mergeCells count="87">
    <mergeCell ref="C4:D4"/>
    <mergeCell ref="E4:L4"/>
    <mergeCell ref="D5:N5"/>
    <mergeCell ref="F6:K6"/>
    <mergeCell ref="B2:Q2"/>
    <mergeCell ref="C3:D3"/>
    <mergeCell ref="E3:K3"/>
    <mergeCell ref="O3:P3"/>
    <mergeCell ref="B8:E8"/>
    <mergeCell ref="F8:K8"/>
    <mergeCell ref="L8:Q8"/>
    <mergeCell ref="C9:E9"/>
    <mergeCell ref="G9:K9"/>
    <mergeCell ref="M9:Q9"/>
    <mergeCell ref="L19:Q19"/>
    <mergeCell ref="B20:D20"/>
    <mergeCell ref="G20:K20"/>
    <mergeCell ref="L20:Q20"/>
    <mergeCell ref="E18:K18"/>
    <mergeCell ref="B19:D19"/>
    <mergeCell ref="G19:H19"/>
    <mergeCell ref="I19:J19"/>
    <mergeCell ref="B21:D21"/>
    <mergeCell ref="G21:K21"/>
    <mergeCell ref="L21:Q21"/>
    <mergeCell ref="B22:D22"/>
    <mergeCell ref="G22:K22"/>
    <mergeCell ref="L22:Q22"/>
    <mergeCell ref="B23:D23"/>
    <mergeCell ref="G23:K23"/>
    <mergeCell ref="L23:Q23"/>
    <mergeCell ref="B24:D24"/>
    <mergeCell ref="G24:K24"/>
    <mergeCell ref="L24:Q24"/>
    <mergeCell ref="B25:D25"/>
    <mergeCell ref="G25:K25"/>
    <mergeCell ref="L25:Q25"/>
    <mergeCell ref="B26:D26"/>
    <mergeCell ref="G26:K26"/>
    <mergeCell ref="L26:Q26"/>
    <mergeCell ref="B27:D27"/>
    <mergeCell ref="G27:K27"/>
    <mergeCell ref="L27:Q27"/>
    <mergeCell ref="B28:D28"/>
    <mergeCell ref="G28:K28"/>
    <mergeCell ref="L28:Q28"/>
    <mergeCell ref="B29:D29"/>
    <mergeCell ref="G29:K29"/>
    <mergeCell ref="L29:Q29"/>
    <mergeCell ref="B30:D30"/>
    <mergeCell ref="G30:K30"/>
    <mergeCell ref="L30:Q30"/>
    <mergeCell ref="B31:D31"/>
    <mergeCell ref="G31:K31"/>
    <mergeCell ref="L31:Q31"/>
    <mergeCell ref="B32:D32"/>
    <mergeCell ref="G32:K32"/>
    <mergeCell ref="L32:Q32"/>
    <mergeCell ref="B35:D35"/>
    <mergeCell ref="G35:K35"/>
    <mergeCell ref="L35:Q35"/>
    <mergeCell ref="C36:Q36"/>
    <mergeCell ref="B33:D33"/>
    <mergeCell ref="G33:K33"/>
    <mergeCell ref="L33:Q33"/>
    <mergeCell ref="B34:D34"/>
    <mergeCell ref="G34:K34"/>
    <mergeCell ref="L34:Q34"/>
    <mergeCell ref="B37:D37"/>
    <mergeCell ref="G37:K37"/>
    <mergeCell ref="L37:Q37"/>
    <mergeCell ref="B38:D38"/>
    <mergeCell ref="G38:K38"/>
    <mergeCell ref="L38:Q38"/>
    <mergeCell ref="B39:D39"/>
    <mergeCell ref="G39:K39"/>
    <mergeCell ref="L39:Q39"/>
    <mergeCell ref="B40:D40"/>
    <mergeCell ref="G40:K40"/>
    <mergeCell ref="L40:Q40"/>
    <mergeCell ref="G44:Q44"/>
    <mergeCell ref="B41:D41"/>
    <mergeCell ref="G41:K41"/>
    <mergeCell ref="L41:Q41"/>
    <mergeCell ref="B42:D42"/>
    <mergeCell ref="G42:K42"/>
    <mergeCell ref="L42:Q42"/>
  </mergeCells>
  <conditionalFormatting sqref="C4:D4">
    <cfRule type="cellIs" priority="1" dxfId="68" operator="equal" stopIfTrue="1">
      <formula>"C"</formula>
    </cfRule>
    <cfRule type="cellIs" priority="2" dxfId="64" operator="equal" stopIfTrue="1">
      <formula>"B2"</formula>
    </cfRule>
    <cfRule type="cellIs" priority="3" dxfId="65" operator="equal" stopIfTrue="1">
      <formula>"B1"</formula>
    </cfRule>
  </conditionalFormatting>
  <conditionalFormatting sqref="G34 G20:G30">
    <cfRule type="cellIs" priority="4" dxfId="74" operator="between" stopIfTrue="1">
      <formula>0</formula>
      <formula>0.599</formula>
    </cfRule>
    <cfRule type="cellIs" priority="5" dxfId="73" operator="between" stopIfTrue="1">
      <formula>0.6</formula>
      <formula>0.899</formula>
    </cfRule>
    <cfRule type="cellIs" priority="6" dxfId="72" operator="greaterThanOrEqual" stopIfTrue="1">
      <formula>0.9</formula>
    </cfRule>
  </conditionalFormatting>
  <conditionalFormatting sqref="H40:H42 G41:H42 G37:G42 G30:G35">
    <cfRule type="cellIs" priority="7" dxfId="75" operator="between" stopIfTrue="1">
      <formula>0</formula>
      <formula>0.599</formula>
    </cfRule>
    <cfRule type="cellIs" priority="8" dxfId="73" operator="between" stopIfTrue="1">
      <formula>0.6</formula>
      <formula>0.899</formula>
    </cfRule>
    <cfRule type="cellIs" priority="9" dxfId="72" operator="greaterThanOrEqual" stopIfTrue="1">
      <formula>0.9</formula>
    </cfRule>
  </conditionalFormatting>
  <conditionalFormatting sqref="G37">
    <cfRule type="cellIs" priority="10" dxfId="74" operator="between" stopIfTrue="1">
      <formula>0</formula>
      <formula>0.599</formula>
    </cfRule>
    <cfRule type="cellIs" priority="11" dxfId="73" operator="between" stopIfTrue="1">
      <formula>0.6</formula>
      <formula>0.899</formula>
    </cfRule>
    <cfRule type="cellIs" priority="12" dxfId="72" operator="greaterThanOrEqual" stopIfTrue="1">
      <formula>0.9</formula>
    </cfRule>
  </conditionalFormatting>
  <conditionalFormatting sqref="G40">
    <cfRule type="cellIs" priority="13" dxfId="74" operator="between" stopIfTrue="1">
      <formula>0</formula>
      <formula>0.599</formula>
    </cfRule>
    <cfRule type="cellIs" priority="14" dxfId="73" operator="between" stopIfTrue="1">
      <formula>0.6</formula>
      <formula>0.899</formula>
    </cfRule>
    <cfRule type="cellIs" priority="15" dxfId="72" operator="greaterThanOrEqual" stopIfTrue="1">
      <formula>0.9</formula>
    </cfRule>
  </conditionalFormatting>
  <conditionalFormatting sqref="G41:G42">
    <cfRule type="cellIs" priority="16" dxfId="74" operator="between" stopIfTrue="1">
      <formula>0</formula>
      <formula>0.599</formula>
    </cfRule>
    <cfRule type="cellIs" priority="17" dxfId="73" operator="between" stopIfTrue="1">
      <formula>0.6</formula>
      <formula>0.899</formula>
    </cfRule>
    <cfRule type="cellIs" priority="18" dxfId="72" operator="greaterThanOrEqual" stopIfTrue="1">
      <formula>0.9</formula>
    </cfRule>
  </conditionalFormatting>
  <conditionalFormatting sqref="G42">
    <cfRule type="cellIs" priority="19" dxfId="74" operator="between" stopIfTrue="1">
      <formula>0</formula>
      <formula>0.599</formula>
    </cfRule>
    <cfRule type="cellIs" priority="20" dxfId="73" operator="between" stopIfTrue="1">
      <formula>0.6</formula>
      <formula>0.899</formula>
    </cfRule>
    <cfRule type="cellIs" priority="21" dxfId="72" operator="greaterThanOrEqual" stopIfTrue="1">
      <formula>0.9</formula>
    </cfRule>
  </conditionalFormatting>
  <conditionalFormatting sqref="G31:G33">
    <cfRule type="cellIs" priority="22" dxfId="74" operator="between" stopIfTrue="1">
      <formula>0</formula>
      <formula>0.599</formula>
    </cfRule>
    <cfRule type="cellIs" priority="23" dxfId="73" operator="between" stopIfTrue="1">
      <formula>0.6</formula>
      <formula>0.899</formula>
    </cfRule>
    <cfRule type="cellIs" priority="24" dxfId="72" operator="greaterThanOrEqual" stopIfTrue="1">
      <formula>0.9</formula>
    </cfRule>
  </conditionalFormatting>
  <conditionalFormatting sqref="G38:G39">
    <cfRule type="cellIs" priority="25" dxfId="74" operator="between" stopIfTrue="1">
      <formula>0</formula>
      <formula>0.599</formula>
    </cfRule>
    <cfRule type="cellIs" priority="26" dxfId="73" operator="between" stopIfTrue="1">
      <formula>0.6</formula>
      <formula>0.899</formula>
    </cfRule>
    <cfRule type="cellIs" priority="27" dxfId="72" operator="greaterThanOrEqual" stopIfTrue="1">
      <formula>0.9</formula>
    </cfRule>
  </conditionalFormatting>
  <conditionalFormatting sqref="G35">
    <cfRule type="cellIs" priority="28" dxfId="74" operator="between" stopIfTrue="1">
      <formula>0</formula>
      <formula>0.599</formula>
    </cfRule>
    <cfRule type="cellIs" priority="29" dxfId="73" operator="between" stopIfTrue="1">
      <formula>0.6</formula>
      <formula>0.899</formula>
    </cfRule>
    <cfRule type="cellIs" priority="30" dxfId="72" operator="greaterThanOrEqual" stopIfTrue="1">
      <formula>0.9</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87"/>
  <headerFooter alignWithMargins="0">
    <oddFooter>&amp;L&amp;F&amp;C&amp;A&amp;R&amp;D</oddFooter>
  </headerFooter>
  <drawing r:id="rId1"/>
</worksheet>
</file>

<file path=xl/worksheets/sheet8.xml><?xml version="1.0" encoding="utf-8"?>
<worksheet xmlns="http://schemas.openxmlformats.org/spreadsheetml/2006/main" xmlns:r="http://schemas.openxmlformats.org/officeDocument/2006/relationships">
  <sheetPr>
    <tabColor indexed="27"/>
  </sheetPr>
  <dimension ref="A1:IV41"/>
  <sheetViews>
    <sheetView showGridLines="0" zoomScale="80" zoomScaleNormal="80" zoomScalePageLayoutView="0" workbookViewId="0" topLeftCell="C1">
      <selection activeCell="I12" sqref="I12:N12"/>
    </sheetView>
  </sheetViews>
  <sheetFormatPr defaultColWidth="9.140625" defaultRowHeight="15"/>
  <cols>
    <col min="1" max="1" width="1.1484375" style="383" customWidth="1"/>
    <col min="2" max="2" width="19.28125" style="383" customWidth="1"/>
    <col min="3" max="3" width="1.1484375" style="383" customWidth="1"/>
    <col min="4" max="4" width="17.140625" style="383" customWidth="1"/>
    <col min="5" max="5" width="17.57421875" style="383" customWidth="1"/>
    <col min="6" max="6" width="9.7109375" style="383" customWidth="1"/>
    <col min="7" max="7" width="13.00390625" style="383" customWidth="1"/>
    <col min="8" max="8" width="4.28125" style="383" customWidth="1"/>
    <col min="9" max="9" width="15.8515625" style="383" customWidth="1"/>
    <col min="10" max="10" width="3.57421875" style="383" customWidth="1"/>
    <col min="11" max="11" width="7.57421875" style="384" customWidth="1"/>
    <col min="12" max="12" width="22.00390625" style="383" customWidth="1"/>
    <col min="13" max="13" width="12.00390625" style="383" customWidth="1"/>
    <col min="14" max="14" width="5.421875" style="383" customWidth="1"/>
    <col min="15" max="15" width="2.57421875" style="383" customWidth="1"/>
    <col min="16" max="16384" width="9.140625" style="383" customWidth="1"/>
  </cols>
  <sheetData>
    <row r="1" spans="1:14" ht="38.25" customHeight="1">
      <c r="A1" s="385"/>
      <c r="B1" s="385"/>
      <c r="C1" s="385"/>
      <c r="D1" s="385"/>
      <c r="E1" s="385"/>
      <c r="F1" s="385"/>
      <c r="G1" s="385"/>
      <c r="H1" s="385"/>
      <c r="I1" s="385"/>
      <c r="J1" s="385"/>
      <c r="K1" s="386"/>
      <c r="L1" s="385"/>
      <c r="M1" s="385"/>
      <c r="N1" s="385"/>
    </row>
    <row r="2" spans="1:256" ht="27.75" customHeight="1">
      <c r="A2" s="6"/>
      <c r="B2" s="609" t="str">
        <f>+"Cuadro de mando:  "&amp;"  "&amp;+'Introducción de datos'!C4&amp;" - "&amp;'Introducción de datos'!G6</f>
        <v>Cuadro de mando:    El Salvador - TB</v>
      </c>
      <c r="C2" s="609"/>
      <c r="D2" s="609"/>
      <c r="E2" s="609"/>
      <c r="F2" s="609"/>
      <c r="G2" s="609"/>
      <c r="H2" s="609"/>
      <c r="I2" s="609"/>
      <c r="J2" s="609"/>
      <c r="K2" s="609"/>
      <c r="L2" s="609"/>
      <c r="M2" s="609"/>
      <c r="N2" s="609"/>
      <c r="O2" s="387"/>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75">
      <c r="A3" s="6"/>
      <c r="B3" s="292" t="str">
        <f>+'Introducción de datos'!G8</f>
        <v>Ronda 9</v>
      </c>
      <c r="C3" s="577" t="str">
        <f>+'Introducción de datos'!I8</f>
        <v>Fase 2</v>
      </c>
      <c r="D3" s="577"/>
      <c r="E3" s="637"/>
      <c r="F3" s="637"/>
      <c r="G3" s="637"/>
      <c r="H3" s="637"/>
      <c r="I3" s="637"/>
      <c r="J3" s="637"/>
      <c r="K3" s="637"/>
      <c r="L3" s="292" t="str">
        <f>+'Introducción de datos'!B16</f>
        <v>Periodo:</v>
      </c>
      <c r="M3" s="356" t="str">
        <f>+'Introducción de datos'!C16</f>
        <v>P9</v>
      </c>
      <c r="N3" s="356"/>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
      <c r="A4" s="6"/>
      <c r="B4" s="292" t="str">
        <f>+'Introducción de datos'!B12</f>
        <v>Ultima calificación:</v>
      </c>
      <c r="C4" s="607" t="str">
        <f>+'Introducción de datos'!C12</f>
        <v>A1</v>
      </c>
      <c r="D4" s="607"/>
      <c r="E4" s="574" t="str">
        <f>+'Introducción de datos'!C8</f>
        <v>Ministerio de Salud </v>
      </c>
      <c r="F4" s="574"/>
      <c r="G4" s="574"/>
      <c r="H4" s="574"/>
      <c r="I4" s="574"/>
      <c r="J4" s="574"/>
      <c r="K4" s="574"/>
      <c r="L4" s="292" t="str">
        <f>+'Introducción de datos'!D16</f>
        <v>Desde:</v>
      </c>
      <c r="M4" s="296">
        <f>+'Introducción de datos'!E16</f>
        <v>41821</v>
      </c>
      <c r="N4" s="296"/>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8.75" customHeight="1">
      <c r="A5" s="6"/>
      <c r="B5" s="292"/>
      <c r="C5" s="292"/>
      <c r="D5" s="298"/>
      <c r="E5" s="574" t="str">
        <f>+'Introducción de datos'!G4</f>
        <v>Prevention and control of tuberculosis in high risk populations in 30
municipalities in El Salvador</v>
      </c>
      <c r="F5" s="574"/>
      <c r="G5" s="574"/>
      <c r="H5" s="574"/>
      <c r="I5" s="574"/>
      <c r="J5" s="574"/>
      <c r="K5" s="574"/>
      <c r="L5" s="292" t="str">
        <f>+'Introducción de datos'!F16</f>
        <v>Hasta:</v>
      </c>
      <c r="M5" s="296">
        <f>+'Introducción de datos'!G16</f>
        <v>42004</v>
      </c>
      <c r="N5" s="296"/>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2.5" customHeight="1">
      <c r="A6" s="6"/>
      <c r="B6" s="299"/>
      <c r="C6" s="293"/>
      <c r="D6" s="298"/>
      <c r="E6" s="633" t="s">
        <v>393</v>
      </c>
      <c r="F6" s="633"/>
      <c r="G6" s="633"/>
      <c r="H6" s="633"/>
      <c r="I6" s="633"/>
      <c r="J6" s="633"/>
      <c r="K6" s="633"/>
      <c r="L6" s="150"/>
      <c r="M6" s="150"/>
      <c r="N6" s="150"/>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4" s="392" customFormat="1" ht="4.5" customHeight="1">
      <c r="A7" s="388"/>
      <c r="B7" s="389"/>
      <c r="C7" s="389"/>
      <c r="D7" s="389"/>
      <c r="E7" s="389"/>
      <c r="F7" s="389"/>
      <c r="G7" s="389"/>
      <c r="H7" s="389"/>
      <c r="I7" s="389"/>
      <c r="J7" s="389"/>
      <c r="K7" s="389"/>
      <c r="L7" s="390"/>
      <c r="M7" s="390"/>
      <c r="N7" s="391"/>
    </row>
    <row r="8" spans="1:14" s="392" customFormat="1" ht="21" customHeight="1">
      <c r="A8" s="388"/>
      <c r="B8" s="616" t="s">
        <v>19</v>
      </c>
      <c r="C8" s="616"/>
      <c r="D8" s="616"/>
      <c r="E8" s="616"/>
      <c r="F8" s="616"/>
      <c r="G8" s="616"/>
      <c r="H8" s="616"/>
      <c r="I8" s="616"/>
      <c r="J8" s="616"/>
      <c r="K8" s="616"/>
      <c r="L8" s="616"/>
      <c r="M8" s="616"/>
      <c r="N8" s="616"/>
    </row>
    <row r="9" spans="1:14" s="392" customFormat="1" ht="3.75" customHeight="1">
      <c r="A9" s="388"/>
      <c r="B9" s="389"/>
      <c r="C9" s="389"/>
      <c r="D9" s="389"/>
      <c r="E9" s="389"/>
      <c r="F9" s="389"/>
      <c r="G9" s="389"/>
      <c r="H9" s="389"/>
      <c r="I9" s="389"/>
      <c r="J9" s="389"/>
      <c r="K9" s="389"/>
      <c r="L9" s="390"/>
      <c r="M9" s="390"/>
      <c r="N9" s="391"/>
    </row>
    <row r="10" spans="1:14" s="395" customFormat="1" ht="25.5" customHeight="1">
      <c r="A10" s="393"/>
      <c r="B10" s="634" t="s">
        <v>20</v>
      </c>
      <c r="C10" s="634"/>
      <c r="D10" s="635" t="s">
        <v>392</v>
      </c>
      <c r="E10" s="635"/>
      <c r="F10" s="635"/>
      <c r="G10" s="635"/>
      <c r="H10" s="394"/>
      <c r="I10" s="635" t="s">
        <v>393</v>
      </c>
      <c r="J10" s="635"/>
      <c r="K10" s="635"/>
      <c r="L10" s="635"/>
      <c r="M10" s="635"/>
      <c r="N10" s="635"/>
    </row>
    <row r="11" spans="1:14" s="395" customFormat="1" ht="28.5" customHeight="1">
      <c r="A11" s="393"/>
      <c r="B11" s="396" t="s">
        <v>21</v>
      </c>
      <c r="C11" s="397"/>
      <c r="D11" s="630" t="str">
        <f>IF(ISBLANK(Financiamiento!C9),"",(Financiamiento!C9))</f>
        <v>La diferencia entre el presupuesto y desembolso, obedece a que el fondo global envia un anticipo para cubrir el proximo trimestre</v>
      </c>
      <c r="E11" s="630"/>
      <c r="F11" s="630"/>
      <c r="G11" s="630"/>
      <c r="H11" s="398"/>
      <c r="I11" s="631"/>
      <c r="J11" s="631"/>
      <c r="K11" s="631"/>
      <c r="L11" s="631"/>
      <c r="M11" s="631"/>
      <c r="N11" s="631"/>
    </row>
    <row r="12" spans="1:14" s="395" customFormat="1" ht="27.75" customHeight="1">
      <c r="A12" s="393"/>
      <c r="B12" s="399" t="s">
        <v>22</v>
      </c>
      <c r="C12" s="400"/>
      <c r="D12" s="630" t="str">
        <f>IF(ISBLANK(Financiamiento!C23),"",(Financiamiento!C23))</f>
        <v>la diferencia entre el presupuesto y los gastos se debe a que existen compromisos con proveedores que seran pagados durante el proximo trimestre.</v>
      </c>
      <c r="E12" s="630"/>
      <c r="F12" s="630"/>
      <c r="G12" s="630"/>
      <c r="H12" s="398"/>
      <c r="I12" s="632" t="s">
        <v>23</v>
      </c>
      <c r="J12" s="632"/>
      <c r="K12" s="632"/>
      <c r="L12" s="632"/>
      <c r="M12" s="632"/>
      <c r="N12" s="632"/>
    </row>
    <row r="13" spans="1:14" s="395" customFormat="1" ht="26.25" customHeight="1">
      <c r="A13" s="393"/>
      <c r="B13" s="399" t="s">
        <v>24</v>
      </c>
      <c r="C13" s="400"/>
      <c r="D13" s="630" t="str">
        <f>IF(ISBLANK(Financiamiento!I9),"",(Financiamiento!I9))</f>
        <v>La diferencia entre  lo desembolsado y el gasto obedece a que se tienen compras en proceso y el fondo de anticipado que envia el FM</v>
      </c>
      <c r="E13" s="630"/>
      <c r="F13" s="630"/>
      <c r="G13" s="630"/>
      <c r="H13" s="398"/>
      <c r="I13" s="636"/>
      <c r="J13" s="636"/>
      <c r="K13" s="636"/>
      <c r="L13" s="636"/>
      <c r="M13" s="636"/>
      <c r="N13" s="636"/>
    </row>
    <row r="14" spans="1:14" s="395" customFormat="1" ht="28.5" customHeight="1">
      <c r="A14" s="393"/>
      <c r="B14" s="401" t="s">
        <v>25</v>
      </c>
      <c r="C14" s="402"/>
      <c r="D14" s="628" t="str">
        <f>IF(ISBLANK(Financiamiento!I23),"",(Financiamiento!I23))</f>
        <v>se ha cumplido con los informes presentados de forma oportuna, asi como el FM a enviado los desembolsos de forma anticipados. En este semestre en Fondo Global da 60 dias para entregar el PUDR debido a que se presenta informe mejorado</v>
      </c>
      <c r="E14" s="628"/>
      <c r="F14" s="628"/>
      <c r="G14" s="628"/>
      <c r="H14" s="398"/>
      <c r="I14" s="629"/>
      <c r="J14" s="629"/>
      <c r="K14" s="629"/>
      <c r="L14" s="629"/>
      <c r="M14" s="629"/>
      <c r="N14" s="629"/>
    </row>
    <row r="15" spans="1:15" s="395" customFormat="1" ht="4.5" customHeight="1">
      <c r="A15" s="393"/>
      <c r="B15" s="403"/>
      <c r="C15" s="404"/>
      <c r="D15" s="405"/>
      <c r="E15" s="405"/>
      <c r="F15" s="405"/>
      <c r="G15" s="405"/>
      <c r="H15" s="398"/>
      <c r="I15" s="406"/>
      <c r="J15" s="406"/>
      <c r="K15" s="406"/>
      <c r="L15" s="406"/>
      <c r="M15" s="406"/>
      <c r="N15" s="406"/>
      <c r="O15" s="407"/>
    </row>
    <row r="16" spans="1:14" s="392" customFormat="1" ht="21" customHeight="1">
      <c r="A16" s="388"/>
      <c r="B16" s="616" t="s">
        <v>26</v>
      </c>
      <c r="C16" s="616"/>
      <c r="D16" s="616"/>
      <c r="E16" s="616"/>
      <c r="F16" s="616"/>
      <c r="G16" s="616"/>
      <c r="H16" s="616"/>
      <c r="I16" s="616"/>
      <c r="J16" s="616"/>
      <c r="K16" s="616"/>
      <c r="L16" s="616"/>
      <c r="M16" s="616"/>
      <c r="N16" s="616"/>
    </row>
    <row r="17" spans="1:14" s="395" customFormat="1" ht="3.75" customHeight="1">
      <c r="A17" s="393"/>
      <c r="B17" s="408"/>
      <c r="C17" s="409"/>
      <c r="D17" s="410"/>
      <c r="E17" s="411"/>
      <c r="F17" s="412"/>
      <c r="G17" s="412"/>
      <c r="H17" s="413"/>
      <c r="I17" s="414"/>
      <c r="J17" s="415"/>
      <c r="K17" s="416"/>
      <c r="L17" s="417"/>
      <c r="M17" s="418"/>
      <c r="N17" s="419"/>
    </row>
    <row r="18" spans="1:14" s="395" customFormat="1" ht="22.5" customHeight="1">
      <c r="A18" s="393"/>
      <c r="B18" s="625" t="s">
        <v>390</v>
      </c>
      <c r="C18" s="625"/>
      <c r="D18" s="626" t="s">
        <v>392</v>
      </c>
      <c r="E18" s="626"/>
      <c r="F18" s="626"/>
      <c r="G18" s="626"/>
      <c r="H18" s="394"/>
      <c r="I18" s="627" t="s">
        <v>393</v>
      </c>
      <c r="J18" s="627"/>
      <c r="K18" s="627"/>
      <c r="L18" s="627"/>
      <c r="M18" s="627"/>
      <c r="N18" s="627"/>
    </row>
    <row r="19" spans="1:14" s="395" customFormat="1" ht="21.75" customHeight="1">
      <c r="A19" s="393"/>
      <c r="B19" s="420" t="s">
        <v>395</v>
      </c>
      <c r="C19" s="421"/>
      <c r="D19" s="623" t="str">
        <f>IF(ISBLANK(Gestión!C8),"",(Gestión!C8))</f>
        <v>Condiciones precedentes cumplidas</v>
      </c>
      <c r="E19" s="623"/>
      <c r="F19" s="623"/>
      <c r="G19" s="623"/>
      <c r="H19" s="422"/>
      <c r="I19" s="624"/>
      <c r="J19" s="624"/>
      <c r="K19" s="624"/>
      <c r="L19" s="624"/>
      <c r="M19" s="624"/>
      <c r="N19" s="624"/>
    </row>
    <row r="20" spans="1:15" ht="24.75" customHeight="1">
      <c r="A20" s="385"/>
      <c r="B20" s="423" t="s">
        <v>396</v>
      </c>
      <c r="C20" s="424"/>
      <c r="D20" s="619" t="str">
        <f>IF(ISBLANK(Gestión!I8),"",(Gestión!I8))</f>
        <v>Meta Cumplida</v>
      </c>
      <c r="E20" s="619" t="e">
        <f>+'Introducción de datos'!D73/'Introducción de datos'!G73</f>
        <v>#DIV/0!</v>
      </c>
      <c r="F20" s="619" t="e">
        <f>+('Introducción de datos'!E73+'Introducción de datos'!F73)/'Introducción de datos'!G73</f>
        <v>#DIV/0!</v>
      </c>
      <c r="G20" s="619"/>
      <c r="H20" s="422"/>
      <c r="I20" s="620"/>
      <c r="J20" s="620"/>
      <c r="K20" s="620"/>
      <c r="L20" s="620"/>
      <c r="M20" s="620"/>
      <c r="N20" s="620"/>
      <c r="O20" s="425"/>
    </row>
    <row r="21" spans="1:15" ht="29.25" customHeight="1">
      <c r="A21" s="385"/>
      <c r="B21" s="426" t="s">
        <v>27</v>
      </c>
      <c r="C21" s="424"/>
      <c r="D21" s="619" t="str">
        <f>IF(ISBLANK(Gestión!C16),"",(Gestión!C16))</f>
        <v>No hay Sub receptores</v>
      </c>
      <c r="E21" s="619"/>
      <c r="F21" s="619"/>
      <c r="G21" s="619"/>
      <c r="H21" s="422"/>
      <c r="I21" s="620"/>
      <c r="J21" s="620"/>
      <c r="K21" s="620"/>
      <c r="L21" s="620"/>
      <c r="M21" s="620"/>
      <c r="N21" s="620"/>
      <c r="O21" s="425"/>
    </row>
    <row r="22" spans="1:15" ht="26.25" customHeight="1">
      <c r="A22" s="385"/>
      <c r="B22" s="426" t="s">
        <v>28</v>
      </c>
      <c r="C22" s="424"/>
      <c r="D22" s="619" t="str">
        <f>IF(ISBLANK(Gestión!I16),"",(Gestión!I16))</f>
        <v>No hay Sub receptores</v>
      </c>
      <c r="E22" s="619"/>
      <c r="F22" s="619"/>
      <c r="G22" s="619"/>
      <c r="H22" s="422"/>
      <c r="I22" s="620"/>
      <c r="J22" s="620"/>
      <c r="K22" s="620"/>
      <c r="L22" s="620"/>
      <c r="M22" s="620"/>
      <c r="N22" s="620"/>
      <c r="O22" s="425"/>
    </row>
    <row r="23" spans="1:15" ht="24.75" customHeight="1">
      <c r="A23" s="385"/>
      <c r="B23" s="426" t="s">
        <v>29</v>
      </c>
      <c r="C23" s="424"/>
      <c r="D23" s="619" t="str">
        <f>IF(ISBLANK(Gestión!C27),"",(Gestión!C27))</f>
        <v>Adquisición a traves del Convenio NIM(PNUD)</v>
      </c>
      <c r="E23" s="619"/>
      <c r="F23" s="619"/>
      <c r="G23" s="619"/>
      <c r="H23" s="422"/>
      <c r="I23" s="620"/>
      <c r="J23" s="620"/>
      <c r="K23" s="620"/>
      <c r="L23" s="620"/>
      <c r="M23" s="620"/>
      <c r="N23" s="620"/>
      <c r="O23" s="425"/>
    </row>
    <row r="24" spans="1:15" ht="27" customHeight="1">
      <c r="A24" s="385"/>
      <c r="B24" s="427" t="s">
        <v>30</v>
      </c>
      <c r="C24" s="428"/>
      <c r="D24" s="621" t="str">
        <f>IF(ISBLANK(Gestión!I27),"",(Gestión!I27))</f>
        <v>están en tránsito las compras del año 2015, se espera la entrega de la orden de compra APO 1500319 correspondiente a los medicamentos Levofloxacina, Linezolid, Moxifloxacina y Cicloserina los cuales se estima que ingresen el 17 de abril y la  APO 1500320  correspondiente a Kanamicina, PASER y Etionamida  se espera entrega para el 17 de agosto 2015.</v>
      </c>
      <c r="E24" s="621"/>
      <c r="F24" s="621"/>
      <c r="G24" s="621"/>
      <c r="H24" s="422"/>
      <c r="I24" s="622" t="s">
        <v>31</v>
      </c>
      <c r="J24" s="622"/>
      <c r="K24" s="622"/>
      <c r="L24" s="622"/>
      <c r="M24" s="622"/>
      <c r="N24" s="622"/>
      <c r="O24" s="425"/>
    </row>
    <row r="25" spans="1:15" ht="4.5" customHeight="1">
      <c r="A25" s="388"/>
      <c r="B25" s="429"/>
      <c r="C25" s="430"/>
      <c r="D25" s="431"/>
      <c r="E25" s="432"/>
      <c r="F25" s="433"/>
      <c r="G25" s="433"/>
      <c r="H25" s="394"/>
      <c r="I25" s="432"/>
      <c r="J25" s="434"/>
      <c r="K25" s="416"/>
      <c r="L25" s="417"/>
      <c r="M25" s="418"/>
      <c r="N25" s="419"/>
      <c r="O25" s="425"/>
    </row>
    <row r="26" spans="1:14" s="392" customFormat="1" ht="21" customHeight="1">
      <c r="A26" s="388"/>
      <c r="B26" s="616" t="s">
        <v>32</v>
      </c>
      <c r="C26" s="616"/>
      <c r="D26" s="616"/>
      <c r="E26" s="616"/>
      <c r="F26" s="616"/>
      <c r="G26" s="616"/>
      <c r="H26" s="616"/>
      <c r="I26" s="616"/>
      <c r="J26" s="616"/>
      <c r="K26" s="616"/>
      <c r="L26" s="616"/>
      <c r="M26" s="616"/>
      <c r="N26" s="616"/>
    </row>
    <row r="27" spans="1:15" ht="3.75" customHeight="1">
      <c r="A27" s="388"/>
      <c r="B27" s="429"/>
      <c r="C27" s="430"/>
      <c r="D27" s="431"/>
      <c r="E27" s="432"/>
      <c r="F27" s="433"/>
      <c r="G27" s="433"/>
      <c r="H27" s="394"/>
      <c r="I27" s="432"/>
      <c r="J27" s="434"/>
      <c r="K27" s="416"/>
      <c r="L27" s="417"/>
      <c r="M27" s="418"/>
      <c r="N27" s="419"/>
      <c r="O27" s="425"/>
    </row>
    <row r="28" spans="1:15" ht="21.75" customHeight="1">
      <c r="A28" s="385"/>
      <c r="B28" s="617" t="s">
        <v>33</v>
      </c>
      <c r="C28" s="617"/>
      <c r="D28" s="618" t="s">
        <v>392</v>
      </c>
      <c r="E28" s="618"/>
      <c r="F28" s="618"/>
      <c r="G28" s="618"/>
      <c r="H28" s="394"/>
      <c r="I28" s="618" t="s">
        <v>393</v>
      </c>
      <c r="J28" s="618"/>
      <c r="K28" s="618"/>
      <c r="L28" s="618"/>
      <c r="M28" s="618"/>
      <c r="N28" s="618"/>
      <c r="O28" s="425"/>
    </row>
    <row r="29" spans="1:15" ht="29.25" customHeight="1">
      <c r="A29" s="385"/>
      <c r="B29" s="435" t="s">
        <v>34</v>
      </c>
      <c r="C29" s="436"/>
      <c r="D29" s="614" t="str">
        <f>IF(ISBLANK(Programatico!C9),"",(Programatico!C9))</f>
        <v>El AUS se traslada al domicilio de los pacientes para brindar TAES, especialmente a aquella población en riesgo social que podría ocasionar abandono del tratamiento, además del acercamiento en la comunidad, hay busqueda activa de Sintomaticos Respiratorios.</v>
      </c>
      <c r="E29" s="614"/>
      <c r="F29" s="614"/>
      <c r="G29" s="614"/>
      <c r="H29" s="422"/>
      <c r="I29" s="615"/>
      <c r="J29" s="615"/>
      <c r="K29" s="615"/>
      <c r="L29" s="615"/>
      <c r="M29" s="615"/>
      <c r="N29" s="615"/>
      <c r="O29" s="425"/>
    </row>
    <row r="30" spans="1:15" ht="21.75" customHeight="1">
      <c r="A30" s="385"/>
      <c r="B30" s="437" t="s">
        <v>35</v>
      </c>
      <c r="C30" s="438"/>
      <c r="D30" s="613" t="str">
        <f>IF(ISBLANK(Programatico!G9),"",(Programatico!G9))</f>
        <v>Para el periodo se supero la meta propuesta, debido a la utilización de metodos diagnosticos innovadores tales como la Unidad movil de RX con la incorporacion de tecnico y especialista de radiologia en situ, Ogawa Kudho cultivo y GeneXpert.</v>
      </c>
      <c r="E30" s="613"/>
      <c r="F30" s="613"/>
      <c r="G30" s="613"/>
      <c r="H30" s="422"/>
      <c r="I30" s="612"/>
      <c r="J30" s="612"/>
      <c r="K30" s="612"/>
      <c r="L30" s="612"/>
      <c r="M30" s="612"/>
      <c r="N30" s="612"/>
      <c r="O30" s="425"/>
    </row>
    <row r="31" spans="1:15" ht="21.75" customHeight="1">
      <c r="A31" s="385"/>
      <c r="B31" s="437" t="s">
        <v>36</v>
      </c>
      <c r="C31" s="438"/>
      <c r="D31" s="613" t="str">
        <f>IF(ISBLANK(Programatico!M9),"",(Programatico!M9))</f>
        <v>Se ha alcanzado tasa de Éxito en el tratamiento para los casos de Bk(+) en Centros Penales; que curaron y terminaron su tratamiento según standares Nacionales e Internacionales. Meta Cumplida</v>
      </c>
      <c r="E31" s="613"/>
      <c r="F31" s="613"/>
      <c r="G31" s="613"/>
      <c r="H31" s="422"/>
      <c r="I31" s="612"/>
      <c r="J31" s="612"/>
      <c r="K31" s="612"/>
      <c r="L31" s="612"/>
      <c r="M31" s="612"/>
      <c r="N31" s="612"/>
      <c r="O31" s="425"/>
    </row>
    <row r="32" spans="1:15" ht="21.75" customHeight="1">
      <c r="A32" s="385"/>
      <c r="B32" s="439" t="s">
        <v>230</v>
      </c>
      <c r="C32" s="438"/>
      <c r="D32" s="610" t="str">
        <f>IF(ISBLANK(Programatico!L20),"",(Programatico!L20))</f>
        <v>Para este período acumulado anualmente, de un total de 1,498 casos de tuberculosis de todas las formas en los cuales se incluyen los casos del ISSS y Centros Penales;  los AUS y/o promotores de salud urbanos del MINSAL atendieron 207  pacientes gestionados con TAES, a lo que corresponde a un 13.82%.
Por el fenomeno social de violencia por maras o pandillas en las que muchos de estos recursos son amenazados a muerte, el seguimiento de estos atentan contra su vida; tambien se puede mencionar el fenomeno de que a pesar que se han hecho actividades de disminucion de estigma y discriminacion, existe aún temor por parte de la poblacion de tomar sus medicamentos en sus lugares de habitación, por lo que ellos reciben su tratamiento en las UCSF o en los ECOS. A pesar de los factores descritos y del apoyo brindado por los AUS en las epidemias, siempre se brindo seguimiento a los pacientes en TAES.
Se obtuvo un logro de cobertura de 90.9%, para este indicador, ya que se ha superado el número de casos de TB a los cuales los AUS les supervisan el TAES. Tómese en cuenta que el denominador ha aumentado con respecto a la meta prevista.</v>
      </c>
      <c r="E32" s="610"/>
      <c r="F32" s="610"/>
      <c r="G32" s="610"/>
      <c r="H32" s="422"/>
      <c r="I32" s="612"/>
      <c r="J32" s="612"/>
      <c r="K32" s="612"/>
      <c r="L32" s="612"/>
      <c r="M32" s="612"/>
      <c r="N32" s="612"/>
      <c r="O32" s="425"/>
    </row>
    <row r="33" spans="1:15" ht="27" customHeight="1">
      <c r="A33" s="385"/>
      <c r="B33" s="439" t="s">
        <v>231</v>
      </c>
      <c r="C33" s="438"/>
      <c r="D33" s="610" t="str">
        <f>IF(ISBLANK(Programatico!L21),"",(Programatico!L21))</f>
        <v>Para este período acumulado, se logró detectar en centros penales un total de 495 casos de TB todas las formas, lo que nos permite un logro alcanzado en relación a la meta prevista de: [(495 / 243)x100 = 203.7%]                                                                                                                                                                                                                                                                                                                                                                              Meta lograda y alcanzada, el trabajo continuo y conjunto con la Dirección General de Centros Penales a través de la Unidad Médica y las clínicas en los diferentes Centros Penales en coordinación con el PNTYER,  ha permitido alcanzar la meta prevista y sobrepasarla debido al seguimiento y capacitaciones continua de los niveles locales, SIBASI, Regiones de Salud, formación de voluntarios penitenciarios y PNTYER, lo cual ha contribuido en el incremento de la detección temprana de casos con tuberculosis en la población privada de libertad.</v>
      </c>
      <c r="E33" s="610"/>
      <c r="F33" s="610"/>
      <c r="G33" s="610"/>
      <c r="H33" s="422"/>
      <c r="I33" s="612"/>
      <c r="J33" s="612"/>
      <c r="K33" s="612"/>
      <c r="L33" s="612"/>
      <c r="M33" s="612"/>
      <c r="N33" s="612"/>
      <c r="O33" s="425"/>
    </row>
    <row r="34" spans="1:15" ht="21.75" customHeight="1">
      <c r="A34" s="385"/>
      <c r="B34" s="439" t="s">
        <v>232</v>
      </c>
      <c r="C34" s="438"/>
      <c r="D34" s="610" t="str">
        <f>IF(ISBLANK(Programatico!L22),"",(Programatico!L22))</f>
        <v>Para este período acumulado, fueron ingresados 290 casos de TB pulmonares Bk (+) en Centros Penales de los cuales 281 egresaron de la cohorte como curados y/o  tratamiento terminado lo que corresponde a un 96.89% de éxito en el tratamiento.
Meta para el periodo lograda.
En total acumulado fueron 290 casos de TB BK (+) en prisiones, de los cuales 281 egresaron de la cohorte de tratamiento como curados; 0 con tratamiento terminado; 4 fallecidos en periodo de Enero a Junio; 5 abandonos; 0 fracaso.</v>
      </c>
      <c r="E34" s="610"/>
      <c r="F34" s="610"/>
      <c r="G34" s="610"/>
      <c r="H34" s="422"/>
      <c r="I34" s="612"/>
      <c r="J34" s="612"/>
      <c r="K34" s="612"/>
      <c r="L34" s="612"/>
      <c r="M34" s="612"/>
      <c r="N34" s="612"/>
      <c r="O34" s="425"/>
    </row>
    <row r="35" spans="1:15" ht="21.75" customHeight="1">
      <c r="A35" s="385"/>
      <c r="B35" s="439" t="s">
        <v>233</v>
      </c>
      <c r="C35" s="440"/>
      <c r="D35" s="610" t="str">
        <f>IF(ISBLANK(Programatico!L23),"",(Programatico!L23))</f>
        <v>Para este período acumulado se han captados y/o referidos 43 casos Bk+ por los AUS y/o promotores de salud urbanos del MINSAL. De un total de 900 casos Bk+ en los 30 municipios priorizados incluyendose los casos del ISSS y Centros Penales. Por tal motivo corresponde a un 4.77% de logro alcanzado para este período. 
Para este indicador a pesar del aumento del numerador que procede de la comunidad, el deniominador incluye los positivos provenientes de todo el municipio en los que están contenidos positivos de CP y del ISSS un denominador numericamente alto y como consecuencia una dilución del porcentaje captado por los AUS y comunidad, resultando este al periodo, bajo al semestre y al acumulado. 
Por el fenomeno social de violencia por maras o pandillas en las que muchos de estos recursos son amenazados a muerte, el seguimiento de estos atentan contra la vida del promotor. La captación fue influenciada a nivel comunitario con acciones de Epidemia de Dengue y Fiebre por Chikungunya</v>
      </c>
      <c r="E35" s="610"/>
      <c r="F35" s="610"/>
      <c r="G35" s="610"/>
      <c r="H35" s="422"/>
      <c r="I35" s="612"/>
      <c r="J35" s="612"/>
      <c r="K35" s="612"/>
      <c r="L35" s="612"/>
      <c r="M35" s="612"/>
      <c r="N35" s="612"/>
      <c r="O35" s="425"/>
    </row>
    <row r="36" spans="1:15" ht="21.75" customHeight="1">
      <c r="A36" s="385"/>
      <c r="B36" s="439" t="s">
        <v>234</v>
      </c>
      <c r="C36" s="440"/>
      <c r="D36" s="610" t="str">
        <f>IF(ISBLANK(Programatico!L24),"",(Programatico!L24))</f>
        <v>Para el periodo acumulado con un total de 997 Proveedores No PNT Públicos y Privados en los 30 municipios priorizados, colaboraron 220 con actividades de la estrategia DOTS/TAES siguiendo las normas internacionales para la atención a los pacientes con TB. Lo que corresponde a 22.06%. 
Debido a violencia social, delicuencia asociada a grupos como "pandillas" mucho de los proveedores han migrado o cambiado de su ubicación dentro de los municipios priorizados he incluso han cerrado por motivos de seguridad, lo que no permitió una mayor participación de otros proveedores en este período. (Ej.: Clínicas Privadas, Laboratorios, etc). </v>
      </c>
      <c r="E36" s="610"/>
      <c r="F36" s="610"/>
      <c r="G36" s="610"/>
      <c r="H36" s="422"/>
      <c r="I36" s="612"/>
      <c r="J36" s="612"/>
      <c r="K36" s="612"/>
      <c r="L36" s="612"/>
      <c r="M36" s="612"/>
      <c r="N36" s="612"/>
      <c r="O36" s="425"/>
    </row>
    <row r="37" spans="1:15" ht="21.75" customHeight="1">
      <c r="A37" s="385"/>
      <c r="B37" s="439" t="s">
        <v>235</v>
      </c>
      <c r="C37" s="440"/>
      <c r="D37" s="610" t="str">
        <f>IF(ISBLANK(Programatico!L25),"",(Programatico!L25))</f>
        <v>En total se detectaron 1,498 casos de TB todas las formas en los 30 municipios priorizados notificados a las autoridades nacionales; en los cuales se incluyen los casos de MINSAL, ISSS y CP. Lo que da como resultado [(1,498 / 1,253)x100] = 119.55%.
Meta lograda y superada por las acciones de búsqueda a través del fortalecimiento y socialización de las nuevas definiciones de tuberculosis dadas por las OMS a los niveles locales, así como también la importancia de la utilización de los nuevos métodos diagnósticos tales como el Gene Xpert MTB-Rif.</v>
      </c>
      <c r="E37" s="610"/>
      <c r="F37" s="610"/>
      <c r="G37" s="610"/>
      <c r="H37" s="422"/>
      <c r="I37" s="612"/>
      <c r="J37" s="612"/>
      <c r="K37" s="612"/>
      <c r="L37" s="612"/>
      <c r="M37" s="612"/>
      <c r="N37" s="612"/>
      <c r="O37" s="425"/>
    </row>
    <row r="38" spans="1:15" ht="21.75" customHeight="1">
      <c r="A38" s="385"/>
      <c r="B38" s="439" t="s">
        <v>236</v>
      </c>
      <c r="C38" s="440"/>
      <c r="D38" s="610" t="str">
        <f>IF(ISBLANK(Programatico!L26),"",(Programatico!L26))</f>
        <v>En total de detectaron 900 casos de tuberculosis baciloscopía positiva en los 30 municipios priorizados notificados a las autoridades nacionales.
Dando como resultado de logro alcanzado para este período el siguiente: [(900 / 714)x100] = 126.05%.
Meta alcanzada y superada para el periodo; el logro es debido a las acciones de trabajo del personal de salud de los diferentes niveles de atención comprometidos en la búsqueda activa del sintomático respiratorio, tanto en las comunidades, poblaciones de mayor riesgo y establecimientos de salud (tanto MINSAL, ISSS y Centros Penales). 
De igual manera el algoritmo para el uso de Gene Xpert MTB-Rif  el cual describe que todo sintomático respiratorio de poblaciones vulnerables se le indique Gene Xpert MTB-Rif como primer método diagnóstico.</v>
      </c>
      <c r="E38" s="610"/>
      <c r="F38" s="610"/>
      <c r="G38" s="610"/>
      <c r="H38" s="422"/>
      <c r="I38" s="612"/>
      <c r="J38" s="612"/>
      <c r="K38" s="612"/>
      <c r="L38" s="612"/>
      <c r="M38" s="612"/>
      <c r="N38" s="612"/>
      <c r="O38" s="425"/>
    </row>
    <row r="39" spans="1:15" ht="21.75" customHeight="1">
      <c r="A39" s="385"/>
      <c r="B39" s="439" t="s">
        <v>237</v>
      </c>
      <c r="C39" s="440"/>
      <c r="D39" s="610" t="str">
        <f>IF(ISBLANK(Programatico!L27),"",(Programatico!L27))</f>
        <v>De un total de 1,001 casos pulmonares baciloscopía positiva (Bk+) de los 30 municipios priorizados notificados a las autoridades nacionales, egresaron como curados y tratamiento terminado un total de 942 casos, obteniendo un éxito en el tratamiento del 94.1%.
Meta alcanzada y superada; el logro del indicador supera el porcentaje de éxito del tratamiento obtenido a nivel nacional que es del 93.6%.  El ëxito de este indicador es debido a que existe un alto compromiso del personal de salud operativo, de SIBASI y de las Regiones del MINSAL, así como del personal del ISSS y Centros Penales, los cuales brindan el seguimiento y administraciòn estricto de los tratamientos antifimicos. Ademas existe fuerte compromiso gerencial de las autoridades del MINSAL para continuar priorizando el trabajo en prevenciòn y control de la TB     </v>
      </c>
      <c r="E39" s="610"/>
      <c r="F39" s="610"/>
      <c r="G39" s="610"/>
      <c r="H39" s="422"/>
      <c r="I39" s="612"/>
      <c r="J39" s="612"/>
      <c r="K39" s="612"/>
      <c r="L39" s="612"/>
      <c r="M39" s="612"/>
      <c r="N39" s="612"/>
      <c r="O39" s="425"/>
    </row>
    <row r="40" spans="1:15" ht="21.75" customHeight="1">
      <c r="A40" s="385"/>
      <c r="B40" s="439" t="s">
        <v>213</v>
      </c>
      <c r="C40" s="440"/>
      <c r="D40" s="610" t="str">
        <f>IF(ISBLANK(Programatico!L28),"",(Programatico!L28))</f>
        <v>De un total acumulado 1,498 de casos de tuberculosis todas las formas diagnosticados en este período fueron testados con pruebas para VIH un total de 1,471 casos lo que corresponde a un 98.19%
Meta lograda con un logro de cobertura del 99.2%.
No se logra el 100% debido a casos como: niños menores de 10 años con TB cuyos padres no aceptaron realizarles el tamizaje, así como pacientes indigentes y otros casos como pandilleros.</v>
      </c>
      <c r="E40" s="610"/>
      <c r="F40" s="610"/>
      <c r="G40" s="610"/>
      <c r="H40" s="422"/>
      <c r="I40" s="612"/>
      <c r="J40" s="612"/>
      <c r="K40" s="612"/>
      <c r="L40" s="612"/>
      <c r="M40" s="612"/>
      <c r="N40" s="612"/>
      <c r="O40" s="425"/>
    </row>
    <row r="41" spans="1:15" ht="21.75" customHeight="1">
      <c r="A41" s="385"/>
      <c r="B41" s="439" t="s">
        <v>238</v>
      </c>
      <c r="C41" s="441"/>
      <c r="D41" s="610" t="str">
        <f>IF(ISBLANK(Programatico!L29),"",(Programatico!L29))</f>
        <v>De un  total de 3,950 PVS adultos y niños inscritos en el programa de VIH en el período a evaluar se les descartó la tuberculosis a 3,950 PVS obteniendo un resultado de 100%.
En las 20 clinicas TAR se atendieros durante el año 2014 3,950 adultos y niños inscritos en el programa del VIH cuyo domicilio se encuentra dentro de los 30 municipios priorizados y de los cuales a 3,950 se les descato la TB a traves del algoritmo clínico de descarte (se le pregunta si ha tenido fiebre, tos actual, sudoracion nocturna, perdida de peso)     </v>
      </c>
      <c r="E41" s="610"/>
      <c r="F41" s="610"/>
      <c r="G41" s="610"/>
      <c r="H41" s="422"/>
      <c r="I41" s="611"/>
      <c r="J41" s="611"/>
      <c r="K41" s="611"/>
      <c r="L41" s="611"/>
      <c r="M41" s="611"/>
      <c r="N41" s="611"/>
      <c r="O41" s="425"/>
    </row>
  </sheetData>
  <sheetProtection password="CFC9" sheet="1"/>
  <mergeCells count="65">
    <mergeCell ref="B2:N2"/>
    <mergeCell ref="C3:D3"/>
    <mergeCell ref="E3:K3"/>
    <mergeCell ref="C4:D4"/>
    <mergeCell ref="E4:K4"/>
    <mergeCell ref="E5:K5"/>
    <mergeCell ref="E6:K6"/>
    <mergeCell ref="B8:N8"/>
    <mergeCell ref="B10:C10"/>
    <mergeCell ref="D10:G10"/>
    <mergeCell ref="I10:N10"/>
    <mergeCell ref="D13:G13"/>
    <mergeCell ref="I13:N13"/>
    <mergeCell ref="D14:G14"/>
    <mergeCell ref="I14:N14"/>
    <mergeCell ref="D11:G11"/>
    <mergeCell ref="I11:N11"/>
    <mergeCell ref="D12:G12"/>
    <mergeCell ref="I12:N12"/>
    <mergeCell ref="D19:G19"/>
    <mergeCell ref="I19:N19"/>
    <mergeCell ref="D20:G20"/>
    <mergeCell ref="I20:N20"/>
    <mergeCell ref="B16:N16"/>
    <mergeCell ref="B18:C18"/>
    <mergeCell ref="D18:G18"/>
    <mergeCell ref="I18:N18"/>
    <mergeCell ref="D23:G23"/>
    <mergeCell ref="I23:N23"/>
    <mergeCell ref="D24:G24"/>
    <mergeCell ref="I24:N24"/>
    <mergeCell ref="D21:G21"/>
    <mergeCell ref="I21:N21"/>
    <mergeCell ref="D22:G22"/>
    <mergeCell ref="I22:N22"/>
    <mergeCell ref="D29:G29"/>
    <mergeCell ref="I29:N29"/>
    <mergeCell ref="D30:G30"/>
    <mergeCell ref="I30:N30"/>
    <mergeCell ref="B26:N26"/>
    <mergeCell ref="B28:C28"/>
    <mergeCell ref="D28:G28"/>
    <mergeCell ref="I28:N28"/>
    <mergeCell ref="D33:G33"/>
    <mergeCell ref="I33:N33"/>
    <mergeCell ref="D34:G34"/>
    <mergeCell ref="I34:N34"/>
    <mergeCell ref="D31:G31"/>
    <mergeCell ref="I31:N31"/>
    <mergeCell ref="D32:G32"/>
    <mergeCell ref="I32:N32"/>
    <mergeCell ref="D37:G37"/>
    <mergeCell ref="I37:N37"/>
    <mergeCell ref="D38:G38"/>
    <mergeCell ref="I38:N38"/>
    <mergeCell ref="D35:G35"/>
    <mergeCell ref="I35:N35"/>
    <mergeCell ref="D36:G36"/>
    <mergeCell ref="I36:N36"/>
    <mergeCell ref="D41:G41"/>
    <mergeCell ref="I41:N41"/>
    <mergeCell ref="D39:G39"/>
    <mergeCell ref="I39:N39"/>
    <mergeCell ref="D40:G40"/>
    <mergeCell ref="I40:N40"/>
  </mergeCells>
  <conditionalFormatting sqref="C4:D4">
    <cfRule type="cellIs" priority="1" dxfId="68" operator="equal" stopIfTrue="1">
      <formula>"C"</formula>
    </cfRule>
    <cfRule type="cellIs" priority="2" dxfId="64" operator="equal" stopIfTrue="1">
      <formula>"B2"</formula>
    </cfRule>
    <cfRule type="cellIs" priority="3" dxfId="65" operator="equal" stopIfTrue="1">
      <formula>"B1"</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57"/>
  <headerFooter alignWithMargins="0">
    <oddFooter>&amp;L&amp;F&amp;C&amp;A&amp;R&amp;D</oddFooter>
  </headerFooter>
  <drawing r:id="rId1"/>
</worksheet>
</file>

<file path=xl/worksheets/sheet9.xml><?xml version="1.0" encoding="utf-8"?>
<worksheet xmlns="http://schemas.openxmlformats.org/spreadsheetml/2006/main" xmlns:r="http://schemas.openxmlformats.org/officeDocument/2006/relationships">
  <sheetPr>
    <tabColor indexed="27"/>
  </sheetPr>
  <dimension ref="A2:M43"/>
  <sheetViews>
    <sheetView showGridLines="0" zoomScale="70" zoomScaleNormal="70" zoomScaleSheetLayoutView="100" zoomScalePageLayoutView="0" workbookViewId="0" topLeftCell="A7">
      <selection activeCell="B14" sqref="B14:E15"/>
    </sheetView>
  </sheetViews>
  <sheetFormatPr defaultColWidth="9.140625" defaultRowHeight="15"/>
  <cols>
    <col min="1" max="1" width="4.140625" style="0" customWidth="1"/>
    <col min="2" max="2" width="14.57421875" style="0" customWidth="1"/>
    <col min="3" max="3" width="12.421875" style="0" customWidth="1"/>
    <col min="4" max="4" width="11.57421875" style="0" customWidth="1"/>
    <col min="5" max="5" width="19.00390625" style="0" customWidth="1"/>
    <col min="6" max="6" width="1.421875" style="0" customWidth="1"/>
    <col min="7" max="7" width="11.421875" style="0" customWidth="1"/>
    <col min="8" max="8" width="9.57421875" style="0" customWidth="1"/>
    <col min="9" max="9" width="11.57421875" style="0" customWidth="1"/>
    <col min="10" max="10" width="12.57421875" style="0" customWidth="1"/>
    <col min="11" max="11" width="10.57421875" style="0" customWidth="1"/>
    <col min="12" max="12" width="9.7109375" style="0" customWidth="1"/>
  </cols>
  <sheetData>
    <row r="1" ht="30.75" customHeight="1"/>
    <row r="2" spans="2:12" ht="27.75" customHeight="1">
      <c r="B2" s="585" t="str">
        <f>+"Cuadro de mando:  "&amp;"  "&amp;+'Introducción de datos'!C4&amp;" - "&amp;'Introducción de datos'!G6</f>
        <v>Cuadro de mando:    El Salvador - TB</v>
      </c>
      <c r="C2" s="585"/>
      <c r="D2" s="585"/>
      <c r="E2" s="585"/>
      <c r="F2" s="585"/>
      <c r="G2" s="585"/>
      <c r="H2" s="585"/>
      <c r="I2" s="585"/>
      <c r="J2" s="585"/>
      <c r="K2" s="585"/>
      <c r="L2" s="585"/>
    </row>
    <row r="3" spans="2:13" ht="15">
      <c r="B3" s="324" t="str">
        <f>+'Introducción de datos'!G8</f>
        <v>Ronda 9</v>
      </c>
      <c r="C3" s="586" t="str">
        <f>+'Introducción de datos'!I8</f>
        <v>Fase 2</v>
      </c>
      <c r="D3" s="586"/>
      <c r="E3" s="583"/>
      <c r="F3" s="583"/>
      <c r="G3" s="583"/>
      <c r="H3" s="583"/>
      <c r="I3" s="583"/>
      <c r="J3" s="584" t="str">
        <f>+'Introducción de datos'!B16</f>
        <v>Periodo:</v>
      </c>
      <c r="K3" s="584"/>
      <c r="L3" s="356" t="str">
        <f>+'Introducción de datos'!C16</f>
        <v>P9</v>
      </c>
      <c r="M3" s="442"/>
    </row>
    <row r="4" spans="2:12" ht="15">
      <c r="B4" s="324" t="str">
        <f>+'Introducción de datos'!B12</f>
        <v>Ultima calificación:</v>
      </c>
      <c r="C4" s="669" t="str">
        <f>+'Introducción de datos'!C12</f>
        <v>A1</v>
      </c>
      <c r="D4" s="669"/>
      <c r="E4" s="583" t="str">
        <f>+'Introducción de datos'!C8</f>
        <v>Ministerio de Salud </v>
      </c>
      <c r="F4" s="583"/>
      <c r="G4" s="583"/>
      <c r="H4" s="583"/>
      <c r="I4" s="583"/>
      <c r="J4" s="584" t="str">
        <f>+'Introducción de datos'!D16</f>
        <v>Desde:</v>
      </c>
      <c r="K4" s="584"/>
      <c r="L4" s="296">
        <f>+'Introducción de datos'!E16</f>
        <v>41821</v>
      </c>
    </row>
    <row r="5" spans="2:12" ht="18.75" customHeight="1">
      <c r="B5" s="324"/>
      <c r="C5" s="324"/>
      <c r="D5" s="583" t="str">
        <f>+'Introducción de datos'!G4</f>
        <v>Prevention and control of tuberculosis in high risk populations in 30
municipalities in El Salvador</v>
      </c>
      <c r="E5" s="583"/>
      <c r="F5" s="583"/>
      <c r="G5" s="583"/>
      <c r="H5" s="583"/>
      <c r="I5" s="583"/>
      <c r="J5" s="583"/>
      <c r="K5" s="324" t="str">
        <f>+'Introducción de datos'!F16</f>
        <v>Hasta:</v>
      </c>
      <c r="L5" s="296">
        <f>+'Introducción de datos'!G16</f>
        <v>42004</v>
      </c>
    </row>
    <row r="6" spans="2:9" ht="18.75">
      <c r="B6" s="325"/>
      <c r="C6" s="324"/>
      <c r="D6" s="298"/>
      <c r="E6" s="587" t="s">
        <v>37</v>
      </c>
      <c r="F6" s="587"/>
      <c r="G6" s="587"/>
      <c r="H6" s="587"/>
      <c r="I6" s="587"/>
    </row>
    <row r="7" spans="5:9" ht="18.75">
      <c r="E7" s="443"/>
      <c r="F7" s="443"/>
      <c r="G7" s="443"/>
      <c r="H7" s="443"/>
      <c r="I7" s="443"/>
    </row>
    <row r="8" spans="2:12" s="392" customFormat="1" ht="21" customHeight="1">
      <c r="B8" s="444" t="s">
        <v>38</v>
      </c>
      <c r="C8" s="445"/>
      <c r="D8" s="445"/>
      <c r="E8" s="445"/>
      <c r="F8" s="445"/>
      <c r="G8" s="445"/>
      <c r="H8" s="445"/>
      <c r="I8" s="445"/>
      <c r="J8" s="445"/>
      <c r="K8" s="445"/>
      <c r="L8" s="445"/>
    </row>
    <row r="9" ht="6" customHeight="1">
      <c r="B9" s="446"/>
    </row>
    <row r="10" spans="2:12" ht="15">
      <c r="B10" s="668"/>
      <c r="C10" s="668"/>
      <c r="D10" s="668"/>
      <c r="E10" s="668"/>
      <c r="F10" s="668"/>
      <c r="G10" s="668"/>
      <c r="H10" s="668"/>
      <c r="I10" s="668"/>
      <c r="J10" s="668"/>
      <c r="K10" s="668"/>
      <c r="L10" s="668"/>
    </row>
    <row r="11" spans="2:12" ht="15">
      <c r="B11" s="668"/>
      <c r="C11" s="668"/>
      <c r="D11" s="668"/>
      <c r="E11" s="668"/>
      <c r="F11" s="668"/>
      <c r="G11" s="668"/>
      <c r="H11" s="668"/>
      <c r="I11" s="668"/>
      <c r="J11" s="668"/>
      <c r="K11" s="668"/>
      <c r="L11" s="668"/>
    </row>
    <row r="13" spans="1:12" ht="42" customHeight="1">
      <c r="A13" s="447"/>
      <c r="B13" s="646" t="s">
        <v>39</v>
      </c>
      <c r="C13" s="646"/>
      <c r="D13" s="646"/>
      <c r="E13" s="646"/>
      <c r="F13" s="448"/>
      <c r="G13" s="647" t="s">
        <v>40</v>
      </c>
      <c r="H13" s="647"/>
      <c r="I13" s="647"/>
      <c r="J13" s="449" t="s">
        <v>41</v>
      </c>
      <c r="K13" s="648" t="s">
        <v>42</v>
      </c>
      <c r="L13" s="648"/>
    </row>
    <row r="14" spans="1:12" ht="33.75" customHeight="1">
      <c r="A14" s="649" t="s">
        <v>254</v>
      </c>
      <c r="B14" s="660" t="s">
        <v>23</v>
      </c>
      <c r="C14" s="660"/>
      <c r="D14" s="660"/>
      <c r="E14" s="660"/>
      <c r="F14" s="84"/>
      <c r="G14" s="665" t="s">
        <v>43</v>
      </c>
      <c r="H14" s="665"/>
      <c r="I14" s="665"/>
      <c r="J14" s="666" t="s">
        <v>44</v>
      </c>
      <c r="K14" s="662" t="s">
        <v>45</v>
      </c>
      <c r="L14" s="662"/>
    </row>
    <row r="15" spans="1:12" ht="39" customHeight="1">
      <c r="A15" s="649"/>
      <c r="B15" s="660"/>
      <c r="C15" s="660"/>
      <c r="D15" s="660"/>
      <c r="E15" s="660"/>
      <c r="F15" s="84"/>
      <c r="G15" s="665"/>
      <c r="H15" s="665"/>
      <c r="I15" s="665"/>
      <c r="J15" s="666"/>
      <c r="K15" s="662"/>
      <c r="L15" s="662"/>
    </row>
    <row r="16" spans="1:12" ht="25.5" customHeight="1">
      <c r="A16" s="649"/>
      <c r="B16" s="660" t="s">
        <v>31</v>
      </c>
      <c r="C16" s="660"/>
      <c r="D16" s="660"/>
      <c r="E16" s="660"/>
      <c r="F16" s="84"/>
      <c r="G16" s="663" t="s">
        <v>46</v>
      </c>
      <c r="H16" s="663"/>
      <c r="I16" s="663"/>
      <c r="J16" s="664" t="s">
        <v>44</v>
      </c>
      <c r="K16" s="654" t="s">
        <v>45</v>
      </c>
      <c r="L16" s="654"/>
    </row>
    <row r="17" spans="1:12" ht="24" customHeight="1">
      <c r="A17" s="649"/>
      <c r="B17" s="660"/>
      <c r="C17" s="660"/>
      <c r="D17" s="660"/>
      <c r="E17" s="660"/>
      <c r="F17" s="84"/>
      <c r="G17" s="663"/>
      <c r="H17" s="663"/>
      <c r="I17" s="663"/>
      <c r="J17" s="664"/>
      <c r="K17" s="654"/>
      <c r="L17" s="654"/>
    </row>
    <row r="18" spans="1:12" ht="15">
      <c r="A18" s="649"/>
      <c r="B18" s="660"/>
      <c r="C18" s="660"/>
      <c r="D18" s="660"/>
      <c r="E18" s="660"/>
      <c r="F18" s="84"/>
      <c r="G18" s="667"/>
      <c r="H18" s="667"/>
      <c r="I18" s="667"/>
      <c r="J18" s="655"/>
      <c r="K18" s="654"/>
      <c r="L18" s="654"/>
    </row>
    <row r="19" spans="1:12" ht="30.75" customHeight="1">
      <c r="A19" s="649"/>
      <c r="B19" s="660"/>
      <c r="C19" s="660"/>
      <c r="D19" s="660"/>
      <c r="E19" s="660"/>
      <c r="F19" s="84"/>
      <c r="G19" s="667"/>
      <c r="H19" s="667"/>
      <c r="I19" s="667"/>
      <c r="J19" s="655"/>
      <c r="K19" s="655"/>
      <c r="L19" s="654"/>
    </row>
    <row r="20" spans="1:12" ht="15">
      <c r="A20" s="649"/>
      <c r="B20" s="660"/>
      <c r="C20" s="660"/>
      <c r="D20" s="660"/>
      <c r="E20" s="660"/>
      <c r="F20" s="84"/>
      <c r="G20" s="661"/>
      <c r="H20" s="661"/>
      <c r="I20" s="661"/>
      <c r="J20" s="655"/>
      <c r="K20" s="654"/>
      <c r="L20" s="654"/>
    </row>
    <row r="21" spans="1:12" ht="15">
      <c r="A21" s="649"/>
      <c r="B21" s="660"/>
      <c r="C21" s="660"/>
      <c r="D21" s="660"/>
      <c r="E21" s="660"/>
      <c r="F21" s="84"/>
      <c r="G21" s="661"/>
      <c r="H21" s="661"/>
      <c r="I21" s="661"/>
      <c r="J21" s="655"/>
      <c r="K21" s="655"/>
      <c r="L21" s="654"/>
    </row>
    <row r="22" spans="1:12" ht="15">
      <c r="A22" s="649"/>
      <c r="B22" s="660"/>
      <c r="C22" s="660"/>
      <c r="D22" s="660"/>
      <c r="E22" s="660"/>
      <c r="F22" s="84"/>
      <c r="G22" s="661"/>
      <c r="H22" s="661"/>
      <c r="I22" s="661"/>
      <c r="J22" s="655"/>
      <c r="K22" s="654"/>
      <c r="L22" s="654"/>
    </row>
    <row r="23" spans="1:12" ht="15">
      <c r="A23" s="649"/>
      <c r="B23" s="660"/>
      <c r="C23" s="660"/>
      <c r="D23" s="660"/>
      <c r="E23" s="660"/>
      <c r="F23" s="84"/>
      <c r="G23" s="661"/>
      <c r="H23" s="661"/>
      <c r="I23" s="661"/>
      <c r="J23" s="655"/>
      <c r="K23" s="655"/>
      <c r="L23" s="654"/>
    </row>
    <row r="24" spans="1:12" ht="15">
      <c r="A24" s="649"/>
      <c r="B24" s="656"/>
      <c r="C24" s="656"/>
      <c r="D24" s="656"/>
      <c r="E24" s="656"/>
      <c r="F24" s="84"/>
      <c r="G24" s="657"/>
      <c r="H24" s="657"/>
      <c r="I24" s="657"/>
      <c r="J24" s="658"/>
      <c r="K24" s="659"/>
      <c r="L24" s="659"/>
    </row>
    <row r="25" spans="1:12" ht="15">
      <c r="A25" s="649"/>
      <c r="B25" s="656"/>
      <c r="C25" s="656"/>
      <c r="D25" s="656"/>
      <c r="E25" s="656"/>
      <c r="F25" s="84"/>
      <c r="G25" s="657"/>
      <c r="H25" s="657"/>
      <c r="I25" s="657"/>
      <c r="J25" s="658"/>
      <c r="K25" s="658"/>
      <c r="L25" s="659"/>
    </row>
    <row r="26" spans="1:12" ht="15">
      <c r="A26" s="447"/>
      <c r="B26" s="447"/>
      <c r="C26" s="447"/>
      <c r="D26" s="447"/>
      <c r="E26" s="447"/>
      <c r="F26" s="447"/>
      <c r="G26" s="447"/>
      <c r="H26" s="447"/>
      <c r="I26" s="447"/>
      <c r="J26" s="447"/>
      <c r="K26" s="447"/>
      <c r="L26" s="447"/>
    </row>
    <row r="27" spans="1:12" ht="18.75">
      <c r="A27" s="447"/>
      <c r="B27" s="447"/>
      <c r="C27" s="447"/>
      <c r="D27" s="447"/>
      <c r="E27" s="450" t="s">
        <v>47</v>
      </c>
      <c r="F27" s="451"/>
      <c r="G27" s="451"/>
      <c r="H27" s="451"/>
      <c r="I27" s="451"/>
      <c r="J27" s="447"/>
      <c r="K27" s="447"/>
      <c r="L27" s="447"/>
    </row>
    <row r="28" spans="1:12" ht="6" customHeight="1">
      <c r="A28" s="447"/>
      <c r="B28" s="447"/>
      <c r="C28" s="447"/>
      <c r="D28" s="447"/>
      <c r="E28" s="452"/>
      <c r="F28" s="452"/>
      <c r="G28" s="452"/>
      <c r="H28" s="452"/>
      <c r="I28" s="452"/>
      <c r="J28" s="447"/>
      <c r="K28" s="447"/>
      <c r="L28" s="447"/>
    </row>
    <row r="29" spans="1:12" s="392" customFormat="1" ht="21" customHeight="1">
      <c r="A29" s="453"/>
      <c r="B29" s="444" t="s">
        <v>48</v>
      </c>
      <c r="C29" s="454"/>
      <c r="D29" s="454"/>
      <c r="E29" s="454"/>
      <c r="F29" s="454"/>
      <c r="G29" s="454"/>
      <c r="H29" s="454"/>
      <c r="I29" s="454"/>
      <c r="J29" s="454"/>
      <c r="K29" s="454"/>
      <c r="L29" s="454"/>
    </row>
    <row r="30" spans="1:12" ht="6" customHeight="1">
      <c r="A30" s="447"/>
      <c r="B30" s="455"/>
      <c r="C30" s="447"/>
      <c r="D30" s="447"/>
      <c r="E30" s="447"/>
      <c r="F30" s="447"/>
      <c r="G30" s="447"/>
      <c r="H30" s="447"/>
      <c r="I30" s="447"/>
      <c r="J30" s="447"/>
      <c r="K30" s="447"/>
      <c r="L30" s="447"/>
    </row>
    <row r="31" spans="1:12" ht="45" customHeight="1">
      <c r="A31" s="447"/>
      <c r="B31" s="646" t="s">
        <v>40</v>
      </c>
      <c r="C31" s="646"/>
      <c r="D31" s="646"/>
      <c r="E31" s="646"/>
      <c r="F31" s="448"/>
      <c r="G31" s="647" t="s">
        <v>49</v>
      </c>
      <c r="H31" s="647"/>
      <c r="I31" s="647"/>
      <c r="J31" s="449" t="s">
        <v>41</v>
      </c>
      <c r="K31" s="648" t="s">
        <v>42</v>
      </c>
      <c r="L31" s="648"/>
    </row>
    <row r="32" spans="1:12" ht="18.75" customHeight="1">
      <c r="A32" s="649" t="s">
        <v>50</v>
      </c>
      <c r="B32" s="650"/>
      <c r="C32" s="650"/>
      <c r="D32" s="650"/>
      <c r="E32" s="650"/>
      <c r="F32" s="84"/>
      <c r="G32" s="651"/>
      <c r="H32" s="651"/>
      <c r="I32" s="651"/>
      <c r="J32" s="652"/>
      <c r="K32" s="653"/>
      <c r="L32" s="653"/>
    </row>
    <row r="33" spans="1:12" ht="18.75" customHeight="1">
      <c r="A33" s="649"/>
      <c r="B33" s="650"/>
      <c r="C33" s="650"/>
      <c r="D33" s="650"/>
      <c r="E33" s="650"/>
      <c r="F33" s="84"/>
      <c r="G33" s="651"/>
      <c r="H33" s="651"/>
      <c r="I33" s="651"/>
      <c r="J33" s="652"/>
      <c r="K33" s="652"/>
      <c r="L33" s="653"/>
    </row>
    <row r="34" spans="1:12" ht="18.75" customHeight="1">
      <c r="A34" s="649"/>
      <c r="B34" s="642">
        <f>IF(Recomendaciones!I43="","",Recomendaciones!I43)</f>
      </c>
      <c r="C34" s="642"/>
      <c r="D34" s="642"/>
      <c r="E34" s="642"/>
      <c r="F34" s="84"/>
      <c r="G34" s="643"/>
      <c r="H34" s="643"/>
      <c r="I34" s="643"/>
      <c r="J34" s="644"/>
      <c r="K34" s="645"/>
      <c r="L34" s="645"/>
    </row>
    <row r="35" spans="1:12" ht="18.75" customHeight="1">
      <c r="A35" s="649"/>
      <c r="B35" s="642"/>
      <c r="C35" s="642"/>
      <c r="D35" s="642"/>
      <c r="E35" s="642"/>
      <c r="F35" s="84"/>
      <c r="G35" s="643"/>
      <c r="H35" s="643"/>
      <c r="I35" s="643"/>
      <c r="J35" s="644"/>
      <c r="K35" s="644"/>
      <c r="L35" s="645"/>
    </row>
    <row r="36" spans="1:12" ht="18.75" customHeight="1">
      <c r="A36" s="649"/>
      <c r="B36" s="642">
        <f>+IF(Recomendaciones!I53="","",Recomendaciones!I53)</f>
      </c>
      <c r="C36" s="642"/>
      <c r="D36" s="642"/>
      <c r="E36" s="642"/>
      <c r="F36" s="84"/>
      <c r="G36" s="643"/>
      <c r="H36" s="643"/>
      <c r="I36" s="643"/>
      <c r="J36" s="644"/>
      <c r="K36" s="645"/>
      <c r="L36" s="645"/>
    </row>
    <row r="37" spans="1:12" ht="18.75" customHeight="1">
      <c r="A37" s="649"/>
      <c r="B37" s="642"/>
      <c r="C37" s="642"/>
      <c r="D37" s="642"/>
      <c r="E37" s="642"/>
      <c r="F37" s="84"/>
      <c r="G37" s="643"/>
      <c r="H37" s="643"/>
      <c r="I37" s="643"/>
      <c r="J37" s="644"/>
      <c r="K37" s="644"/>
      <c r="L37" s="645"/>
    </row>
    <row r="38" spans="1:12" ht="18.75" customHeight="1">
      <c r="A38" s="649"/>
      <c r="B38" s="642"/>
      <c r="C38" s="642"/>
      <c r="D38" s="642"/>
      <c r="E38" s="642"/>
      <c r="F38" s="84"/>
      <c r="G38" s="643"/>
      <c r="H38" s="643"/>
      <c r="I38" s="643"/>
      <c r="J38" s="644"/>
      <c r="K38" s="645"/>
      <c r="L38" s="645"/>
    </row>
    <row r="39" spans="1:12" ht="18.75" customHeight="1">
      <c r="A39" s="649"/>
      <c r="B39" s="642"/>
      <c r="C39" s="642"/>
      <c r="D39" s="642"/>
      <c r="E39" s="642"/>
      <c r="F39" s="84"/>
      <c r="G39" s="643"/>
      <c r="H39" s="643"/>
      <c r="I39" s="643"/>
      <c r="J39" s="644"/>
      <c r="K39" s="644"/>
      <c r="L39" s="645"/>
    </row>
    <row r="40" spans="1:12" ht="18.75" customHeight="1">
      <c r="A40" s="649"/>
      <c r="B40" s="642"/>
      <c r="C40" s="642"/>
      <c r="D40" s="642"/>
      <c r="E40" s="642"/>
      <c r="F40" s="84"/>
      <c r="G40" s="643"/>
      <c r="H40" s="643"/>
      <c r="I40" s="643"/>
      <c r="J40" s="644"/>
      <c r="K40" s="645"/>
      <c r="L40" s="645"/>
    </row>
    <row r="41" spans="1:12" ht="18.75" customHeight="1">
      <c r="A41" s="649"/>
      <c r="B41" s="642"/>
      <c r="C41" s="642"/>
      <c r="D41" s="642"/>
      <c r="E41" s="642"/>
      <c r="F41" s="84"/>
      <c r="G41" s="643"/>
      <c r="H41" s="643"/>
      <c r="I41" s="643"/>
      <c r="J41" s="644"/>
      <c r="K41" s="644"/>
      <c r="L41" s="645"/>
    </row>
    <row r="42" spans="1:12" ht="18.75" customHeight="1">
      <c r="A42" s="649"/>
      <c r="B42" s="638"/>
      <c r="C42" s="638"/>
      <c r="D42" s="638"/>
      <c r="E42" s="638"/>
      <c r="F42" s="84"/>
      <c r="G42" s="639"/>
      <c r="H42" s="639"/>
      <c r="I42" s="639"/>
      <c r="J42" s="640"/>
      <c r="K42" s="641"/>
      <c r="L42" s="641"/>
    </row>
    <row r="43" spans="1:12" ht="18.75" customHeight="1">
      <c r="A43" s="649"/>
      <c r="B43" s="638"/>
      <c r="C43" s="638"/>
      <c r="D43" s="638"/>
      <c r="E43" s="638"/>
      <c r="F43" s="84"/>
      <c r="G43" s="639"/>
      <c r="H43" s="639"/>
      <c r="I43" s="639"/>
      <c r="J43" s="640"/>
      <c r="K43" s="640"/>
      <c r="L43" s="641"/>
    </row>
  </sheetData>
  <sheetProtection selectLockedCells="1" selectUnlockedCells="1"/>
  <mergeCells count="66">
    <mergeCell ref="C4:D4"/>
    <mergeCell ref="E4:I4"/>
    <mergeCell ref="J4:K4"/>
    <mergeCell ref="D5:J5"/>
    <mergeCell ref="B2:L2"/>
    <mergeCell ref="C3:D3"/>
    <mergeCell ref="E3:I3"/>
    <mergeCell ref="J3:K3"/>
    <mergeCell ref="G18:I19"/>
    <mergeCell ref="J18:J19"/>
    <mergeCell ref="B22:E23"/>
    <mergeCell ref="G22:I23"/>
    <mergeCell ref="J22:J23"/>
    <mergeCell ref="E6:I6"/>
    <mergeCell ref="B10:L11"/>
    <mergeCell ref="B13:E13"/>
    <mergeCell ref="G13:I13"/>
    <mergeCell ref="K13:L13"/>
    <mergeCell ref="K14:L15"/>
    <mergeCell ref="B16:E17"/>
    <mergeCell ref="G16:I17"/>
    <mergeCell ref="J16:J17"/>
    <mergeCell ref="K16:L17"/>
    <mergeCell ref="A14:A25"/>
    <mergeCell ref="B14:E15"/>
    <mergeCell ref="G14:I15"/>
    <mergeCell ref="J14:J15"/>
    <mergeCell ref="B18:E19"/>
    <mergeCell ref="K22:L23"/>
    <mergeCell ref="B24:E25"/>
    <mergeCell ref="G24:I25"/>
    <mergeCell ref="J24:J25"/>
    <mergeCell ref="K24:L25"/>
    <mergeCell ref="K18:L19"/>
    <mergeCell ref="B20:E21"/>
    <mergeCell ref="G20:I21"/>
    <mergeCell ref="J20:J21"/>
    <mergeCell ref="K20:L21"/>
    <mergeCell ref="B31:E31"/>
    <mergeCell ref="G31:I31"/>
    <mergeCell ref="K31:L31"/>
    <mergeCell ref="A32:A43"/>
    <mergeCell ref="B32:E33"/>
    <mergeCell ref="G32:I33"/>
    <mergeCell ref="J32:J33"/>
    <mergeCell ref="K32:L33"/>
    <mergeCell ref="B34:E35"/>
    <mergeCell ref="G34:I35"/>
    <mergeCell ref="B38:E39"/>
    <mergeCell ref="G38:I39"/>
    <mergeCell ref="J38:J39"/>
    <mergeCell ref="K38:L39"/>
    <mergeCell ref="J34:J35"/>
    <mergeCell ref="K34:L35"/>
    <mergeCell ref="B36:E37"/>
    <mergeCell ref="G36:I37"/>
    <mergeCell ref="J36:J37"/>
    <mergeCell ref="K36:L37"/>
    <mergeCell ref="B42:E43"/>
    <mergeCell ref="G42:I43"/>
    <mergeCell ref="J42:J43"/>
    <mergeCell ref="K42:L43"/>
    <mergeCell ref="B40:E41"/>
    <mergeCell ref="G40:I41"/>
    <mergeCell ref="J40:J41"/>
    <mergeCell ref="K40:L41"/>
  </mergeCells>
  <conditionalFormatting sqref="C4:D4">
    <cfRule type="cellIs" priority="1" dxfId="68" operator="equal" stopIfTrue="1">
      <formula>"C"</formula>
    </cfRule>
    <cfRule type="cellIs" priority="2" dxfId="64" operator="equal" stopIfTrue="1">
      <formula>"B2"</formula>
    </cfRule>
    <cfRule type="cellIs" priority="3" dxfId="65" operator="equal" stopIfTrue="1">
      <formula>"B1"</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70"/>
  <headerFooter alignWithMargins="0">
    <oddFooter>&amp;L&amp;F&amp;C&amp;A&amp;R&amp;D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CCM_Generic_Dashboard_es</dc:title>
  <dc:subject>&amp;lt;p&amp;gt;Setup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dc:subject>
  <dc:creator>Genc Kastrati</dc:creator>
  <cp:keywords/>
  <dc:description>&amp;lt;p&amp;gt;Setup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dc:description>
  <cp:lastModifiedBy>Maria Leydies Portillo</cp:lastModifiedBy>
  <cp:lastPrinted>2011-01-31T13:36:40Z</cp:lastPrinted>
  <dcterms:created xsi:type="dcterms:W3CDTF">2008-11-20T16:06:13Z</dcterms:created>
  <dcterms:modified xsi:type="dcterms:W3CDTF">2015-04-30T00:04:41Z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0x0101004BF1F6075714FF459EA7921B9223C8F9</vt:lpwstr>
  </property>
  <property fmtid="{D5CDD505-2E9C-101B-9397-08002B2CF9AE}" pid="4" name="EktCmsPath">
    <vt:lpwstr>&amp;lt;p&amp;gt;Setup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vt:lpwstr>
  </property>
  <property fmtid="{D5CDD505-2E9C-101B-9397-08002B2CF9AE}" pid="5" name="EktCmsSize">
    <vt:i4>856576</vt:i4>
  </property>
  <property fmtid="{D5CDD505-2E9C-101B-9397-08002B2CF9AE}" pid="6" name="EktContentLanguage">
    <vt:i4>1033</vt:i4>
  </property>
  <property fmtid="{D5CDD505-2E9C-101B-9397-08002B2CF9AE}" pid="7" name="EktContentSubType">
    <vt:i4>0</vt:i4>
  </property>
  <property fmtid="{D5CDD505-2E9C-101B-9397-08002B2CF9AE}" pid="8" name="EktContentType">
    <vt:i4>101</vt:i4>
  </property>
  <property fmtid="{D5CDD505-2E9C-101B-9397-08002B2CF9AE}" pid="9" name="EktDateCreated">
    <vt:filetime>2011-06-15T08:46:35Z</vt:filetime>
  </property>
  <property fmtid="{D5CDD505-2E9C-101B-9397-08002B2CF9AE}" pid="10" name="EktDateModified">
    <vt:filetime>2011-06-15T08:46:36Z</vt:filetime>
  </property>
  <property fmtid="{D5CDD505-2E9C-101B-9397-08002B2CF9AE}" pid="11" name="EktEDescription">
    <vt:lpwstr>Summary &amp;lt;p&amp;gt;Setup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vt:lpwstr>
  </property>
  <property fmtid="{D5CDD505-2E9C-101B-9397-08002B2CF9AE}" pid="12" name="EktExpiryType">
    <vt:i4>1</vt:i4>
  </property>
  <property fmtid="{D5CDD505-2E9C-101B-9397-08002B2CF9AE}" pid="13" name="EktFile_Size">
    <vt:lpwstr>819 KB</vt:lpwstr>
  </property>
  <property fmtid="{D5CDD505-2E9C-101B-9397-08002B2CF9AE}" pid="14" name="EktFile_Type">
    <vt:lpwstr>XLS</vt:lpwstr>
  </property>
  <property fmtid="{D5CDD505-2E9C-101B-9397-08002B2CF9AE}" pid="15" name="EktQuickLink">
    <vt:lpwstr>DownloadAsset.aspx?id=10409</vt:lpwstr>
  </property>
  <property fmtid="{D5CDD505-2E9C-101B-9397-08002B2CF9AE}" pid="16" name="EktSearchable">
    <vt:i4>1</vt:i4>
  </property>
  <property fmtid="{D5CDD505-2E9C-101B-9397-08002B2CF9AE}" pid="17" name="EktTaxCategory">
    <vt:lpwstr> #eksep# \Navigation\documents\ccm #eksep# </vt:lpwstr>
  </property>
  <property fmtid="{D5CDD505-2E9C-101B-9397-08002B2CF9AE}" pid="18" name="Root_Map">
    <vt:lpwstr>C:\Documents and Settings\rfplain\Desktop\Root_Map.xsd</vt:lpwstr>
  </property>
  <property fmtid="{D5CDD505-2E9C-101B-9397-08002B2CF9AE}" pid="19" name="ekttaxonomyenabled">
    <vt:i4>1</vt:i4>
  </property>
</Properties>
</file>